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P:\СОВЕЩАНИЯ_РУКОВОДИТЕЛИ\ПРОЕКТЫ_ДОКУМЕНТЫ\Проект Кухонный калькулятор Быстрая цена\"/>
    </mc:Choice>
  </mc:AlternateContent>
  <xr:revisionPtr revIDLastSave="0" documentId="13_ncr:1_{B533B29A-84C6-4ABA-9FBB-8D04AF1ED445}" xr6:coauthVersionLast="45" xr6:coauthVersionMax="45" xr10:uidLastSave="{00000000-0000-0000-0000-000000000000}"/>
  <bookViews>
    <workbookView xWindow="-120" yWindow="-120" windowWidth="29040" windowHeight="15720" tabRatio="662" xr2:uid="{00000000-000D-0000-FFFF-FFFF00000000}"/>
  </bookViews>
  <sheets>
    <sheet name="Расчет" sheetId="4" r:id="rId1"/>
    <sheet name="Тест 1.10.2025  6680" sheetId="238" state="veryHidden" r:id="rId2"/>
    <sheet name="Заказ" sheetId="225" state="veryHidden" r:id="rId3"/>
    <sheet name="Таблица с признаками" sheetId="1" state="veryHidden" r:id="rId4"/>
    <sheet name="Цены на корпус 18_06_25" sheetId="227" state="veryHidden" r:id="rId5"/>
    <sheet name="Базовые цены" sheetId="10" state="veryHidden" r:id="rId6"/>
    <sheet name="комплекты фурнитуры" sheetId="15" state="veryHidden" r:id="rId7"/>
    <sheet name="Изображения" sheetId="5" state="veryHidden" r:id="rId8"/>
    <sheet name="Инструкция по добавлению" sheetId="228" state="veryHidden" r:id="rId9"/>
    <sheet name="TDSheet" sheetId="226" state="veryHidden" r:id="rId10"/>
    <sheet name="Настройки" sheetId="6" state="veryHidden" r:id="rId11"/>
    <sheet name="Форма заявки НСТ" sheetId="230" state="veryHidden" r:id="rId12"/>
  </sheets>
  <functionGroups builtInGroupCount="19"/>
  <externalReferences>
    <externalReference r:id="rId13"/>
  </externalReferences>
  <definedNames>
    <definedName name="Верхние">[1]Лист2!$A$2:$A$100</definedName>
    <definedName name="Комплектация_">'[1]Тип НСТ'!$A$16:$A$22</definedName>
    <definedName name="КФ_корпуса" localSheetId="6">'комплекты фурнитуры'!$B$3:$D$24</definedName>
    <definedName name="КФ_наполнение">'комплекты фурнитуры'!$B$38:$D$51</definedName>
    <definedName name="КФ_петель_подъемников" localSheetId="6">'комплекты фурнитуры'!$B$57:$D$74</definedName>
    <definedName name="КФ_ящиков">'комплекты фурнитуры'!$B$25:$D$37</definedName>
    <definedName name="Материал_полок_">'[1]Тип НСТ'!$H$2:$H$5</definedName>
    <definedName name="Нижние">[1]Лист1!$A$2:$A$74</definedName>
    <definedName name="Опоры_">'[1]Тип НСТ'!$C$2:$C$4</definedName>
    <definedName name="Освещение_">'[1]Тип НСТ'!$D$2:$D$8</definedName>
    <definedName name="Открывание_">'[1]Тип НСТ'!$E$2:$E$5</definedName>
    <definedName name="Подъемник_">'[1]Тип НСТ'!$F$8:$F$11</definedName>
    <definedName name="Тип_нестандарта">'[1]Тип НСТ'!$I$2:$I$3</definedName>
    <definedName name="Тип_продукции">'[1]Тип НСТ'!$A$11:$A$11</definedName>
  </definedNames>
  <calcPr calcId="191029" refMode="R1C1"/>
  <pivotCaches>
    <pivotCache cacheId="0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U58" i="1" l="1"/>
  <c r="CU32" i="1"/>
  <c r="CU31" i="1"/>
  <c r="CU30" i="1"/>
  <c r="CU29" i="1"/>
  <c r="CU26" i="1"/>
  <c r="CU25" i="1"/>
  <c r="CU24" i="1"/>
  <c r="CU23" i="1"/>
  <c r="CU85" i="1"/>
  <c r="CU84" i="1"/>
  <c r="CU81" i="1"/>
  <c r="CU80" i="1"/>
  <c r="CU79" i="1"/>
  <c r="CU78" i="1"/>
  <c r="CU77" i="1"/>
  <c r="CU75" i="1"/>
  <c r="CU76" i="1"/>
  <c r="CU74" i="1"/>
  <c r="CU73" i="1"/>
  <c r="CU72" i="1"/>
  <c r="CU71" i="1"/>
  <c r="CU70" i="1"/>
  <c r="AP14" i="10" l="1"/>
  <c r="AQ14" i="10"/>
  <c r="AY14" i="10"/>
  <c r="CU69" i="1"/>
  <c r="CU68" i="1"/>
  <c r="CU67" i="1"/>
  <c r="CU66" i="1"/>
  <c r="CU65" i="1"/>
  <c r="CU64" i="1"/>
  <c r="CU63" i="1"/>
  <c r="CU62" i="1"/>
  <c r="CU61" i="1"/>
  <c r="CQ85" i="1"/>
  <c r="CT85" i="1"/>
  <c r="CQ84" i="1"/>
  <c r="CQ81" i="1"/>
  <c r="CQ80" i="1"/>
  <c r="CQ79" i="1"/>
  <c r="CQ78" i="1"/>
  <c r="CT78" i="1"/>
  <c r="CQ77" i="1"/>
  <c r="CQ76" i="1"/>
  <c r="CQ75" i="1"/>
  <c r="CQ74" i="1"/>
  <c r="CT76" i="1"/>
  <c r="CT75" i="1"/>
  <c r="CT74" i="1"/>
  <c r="CQ73" i="1"/>
  <c r="CQ72" i="1"/>
  <c r="CQ71" i="1"/>
  <c r="CT71" i="1"/>
  <c r="CT70" i="1"/>
  <c r="CQ70" i="1"/>
  <c r="CS70" i="1"/>
  <c r="CQ69" i="1"/>
  <c r="CQ68" i="1"/>
  <c r="CQ67" i="1"/>
  <c r="CQ66" i="1"/>
  <c r="CT65" i="1"/>
  <c r="CQ64" i="1"/>
  <c r="CQ63" i="1"/>
  <c r="CQ62" i="1"/>
  <c r="CQ61" i="1"/>
  <c r="CU59" i="1"/>
  <c r="CU83" i="1"/>
  <c r="CU82" i="1"/>
  <c r="CU56" i="1"/>
  <c r="CU55" i="1"/>
  <c r="CU54" i="1"/>
  <c r="CU48" i="1"/>
  <c r="CU49" i="1"/>
  <c r="CU47" i="1"/>
  <c r="CU46" i="1"/>
  <c r="CU45" i="1"/>
  <c r="CU43" i="1"/>
  <c r="CU42" i="1"/>
  <c r="CU41" i="1"/>
  <c r="CU39" i="1"/>
  <c r="CU36" i="1"/>
  <c r="CU35" i="1"/>
  <c r="CU22" i="1"/>
  <c r="CU17" i="1"/>
  <c r="CU16" i="1"/>
  <c r="CU15" i="1"/>
  <c r="CU14" i="1"/>
  <c r="CU13" i="1"/>
  <c r="CU10" i="1"/>
  <c r="CU11" i="1"/>
  <c r="CU12" i="1"/>
  <c r="CU9" i="1"/>
  <c r="CU3" i="1"/>
  <c r="CT26" i="1"/>
  <c r="CS26" i="1"/>
  <c r="CT25" i="1"/>
  <c r="CT16" i="1"/>
  <c r="CT17" i="1"/>
  <c r="CS16" i="1"/>
  <c r="CS15" i="1"/>
  <c r="CS14" i="1"/>
  <c r="CS13" i="1"/>
  <c r="CQ54" i="1"/>
  <c r="CR41" i="1"/>
  <c r="CR58" i="1"/>
  <c r="CQ56" i="1"/>
  <c r="CQ55" i="1"/>
  <c r="CQ49" i="1"/>
  <c r="CQ48" i="1"/>
  <c r="CQ47" i="1"/>
  <c r="CQ46" i="1"/>
  <c r="CQ45" i="1"/>
  <c r="CQ83" i="1"/>
  <c r="CQ82" i="1"/>
  <c r="CQ43" i="1"/>
  <c r="CQ42" i="1"/>
  <c r="CQ39" i="1"/>
  <c r="CQ36" i="1"/>
  <c r="CQ35" i="1"/>
  <c r="CR32" i="1"/>
  <c r="CR31" i="1"/>
  <c r="CQ30" i="1"/>
  <c r="CQ29" i="1"/>
  <c r="CQ24" i="1"/>
  <c r="CQ23" i="1"/>
  <c r="CR22" i="1"/>
  <c r="CQ14" i="1"/>
  <c r="CQ13" i="1"/>
  <c r="CR12" i="1"/>
  <c r="CR11" i="1"/>
  <c r="CR10" i="1"/>
  <c r="CR9" i="1"/>
  <c r="CQ8" i="1"/>
  <c r="CU8" i="1" s="1"/>
  <c r="CQ7" i="1"/>
  <c r="CU7" i="1" s="1"/>
  <c r="CQ4" i="1"/>
  <c r="CU4" i="1" s="1"/>
  <c r="CQ3" i="1"/>
  <c r="V117" i="10" l="1"/>
  <c r="W117" i="10"/>
  <c r="X117" i="10"/>
  <c r="Y117" i="10"/>
  <c r="V116" i="10"/>
  <c r="W116" i="10"/>
  <c r="X116" i="10"/>
  <c r="Y116" i="10"/>
  <c r="AP6" i="10" l="1"/>
  <c r="AQ6" i="10"/>
  <c r="AY6" i="10"/>
  <c r="AP8" i="10"/>
  <c r="AQ8" i="10"/>
  <c r="AY8" i="10"/>
  <c r="D17" i="238"/>
  <c r="D16" i="238"/>
  <c r="D15" i="238"/>
  <c r="C9" i="238" l="1"/>
  <c r="D9" i="238" s="1"/>
  <c r="C11" i="238"/>
  <c r="D11" i="238" s="1"/>
  <c r="C10" i="238"/>
  <c r="D10" i="238" s="1"/>
  <c r="C8" i="238"/>
  <c r="D8" i="238" s="1"/>
  <c r="C7" i="238"/>
  <c r="D7" i="238" s="1"/>
  <c r="C6" i="238"/>
  <c r="D6" i="238" s="1"/>
  <c r="C4" i="238"/>
  <c r="D4" i="238" s="1"/>
  <c r="C5" i="238"/>
  <c r="D5" i="238" s="1"/>
  <c r="C3" i="238"/>
  <c r="D3" i="238" s="1"/>
  <c r="CL78" i="1" l="1"/>
  <c r="BY4" i="10"/>
  <c r="BY5" i="10"/>
  <c r="BY6" i="10"/>
  <c r="BY7" i="10"/>
  <c r="BY8" i="10"/>
  <c r="BY9" i="10"/>
  <c r="BY10" i="10"/>
  <c r="BY11" i="10"/>
  <c r="BY12" i="10"/>
  <c r="BY13" i="10"/>
  <c r="BY14" i="10"/>
  <c r="BY3" i="10"/>
  <c r="BX4" i="10"/>
  <c r="BX5" i="10"/>
  <c r="BX6" i="10"/>
  <c r="BX7" i="10"/>
  <c r="BX8" i="10"/>
  <c r="BX9" i="10"/>
  <c r="BX10" i="10"/>
  <c r="BX11" i="10"/>
  <c r="BX12" i="10"/>
  <c r="BX13" i="10"/>
  <c r="BX14" i="10"/>
  <c r="BX3" i="10"/>
  <c r="CG14" i="10"/>
  <c r="CG13" i="10"/>
  <c r="CG12" i="10"/>
  <c r="CG11" i="10"/>
  <c r="CG10" i="10"/>
  <c r="CG9" i="10"/>
  <c r="CG8" i="10"/>
  <c r="CG7" i="10"/>
  <c r="CG6" i="10"/>
  <c r="CG5" i="10"/>
  <c r="CG4" i="10"/>
  <c r="CG3" i="10"/>
  <c r="V115" i="10" l="1"/>
  <c r="W115" i="10"/>
  <c r="X115" i="10"/>
  <c r="Y115" i="10"/>
  <c r="V114" i="10"/>
  <c r="W114" i="10"/>
  <c r="X114" i="10"/>
  <c r="Y114" i="10"/>
  <c r="V113" i="10"/>
  <c r="W113" i="10"/>
  <c r="X113" i="10"/>
  <c r="Y113" i="10"/>
  <c r="AY28" i="10" l="1"/>
  <c r="AY29" i="10"/>
  <c r="AY30" i="10"/>
  <c r="AY31" i="10"/>
  <c r="AY2" i="10"/>
  <c r="AP20" i="10"/>
  <c r="AQ20" i="10"/>
  <c r="AY20" i="10"/>
  <c r="AP18" i="10"/>
  <c r="AQ18" i="10"/>
  <c r="AY18" i="10"/>
  <c r="AP3" i="10"/>
  <c r="AQ3" i="10"/>
  <c r="AY3" i="10"/>
  <c r="AP4" i="10"/>
  <c r="AQ4" i="10"/>
  <c r="AY4" i="10"/>
  <c r="AP5" i="10"/>
  <c r="AQ5" i="10"/>
  <c r="AY5" i="10"/>
  <c r="AP7" i="10"/>
  <c r="AQ7" i="10"/>
  <c r="AY7" i="10"/>
  <c r="AP10" i="10"/>
  <c r="AQ10" i="10"/>
  <c r="AY10" i="10"/>
  <c r="AP9" i="10"/>
  <c r="AQ9" i="10"/>
  <c r="AY9" i="10"/>
  <c r="AP11" i="10"/>
  <c r="AQ11" i="10"/>
  <c r="AY11" i="10"/>
  <c r="AP13" i="10"/>
  <c r="AQ13" i="10"/>
  <c r="AY13" i="10"/>
  <c r="AP12" i="10"/>
  <c r="AQ12" i="10"/>
  <c r="AY12" i="10"/>
  <c r="AP16" i="10"/>
  <c r="AQ16" i="10"/>
  <c r="AY16" i="10"/>
  <c r="AP15" i="10"/>
  <c r="AQ15" i="10"/>
  <c r="AY15" i="10"/>
  <c r="AP17" i="10"/>
  <c r="AQ17" i="10"/>
  <c r="AY17" i="10"/>
  <c r="AP19" i="10"/>
  <c r="AQ19" i="10"/>
  <c r="AY19" i="10"/>
  <c r="AP21" i="10"/>
  <c r="AQ21" i="10"/>
  <c r="AY21" i="10"/>
  <c r="AP22" i="10"/>
  <c r="AQ22" i="10"/>
  <c r="AY22" i="10"/>
  <c r="AP23" i="10"/>
  <c r="AQ23" i="10"/>
  <c r="AY23" i="10"/>
  <c r="AP24" i="10"/>
  <c r="AQ24" i="10"/>
  <c r="AY24" i="10"/>
  <c r="AP25" i="10"/>
  <c r="AQ25" i="10"/>
  <c r="AY25" i="10"/>
  <c r="AP26" i="10"/>
  <c r="AQ26" i="10"/>
  <c r="AY26" i="10"/>
  <c r="AP27" i="10"/>
  <c r="AQ27" i="10"/>
  <c r="AY27" i="10"/>
  <c r="AP28" i="10"/>
  <c r="AQ28" i="10"/>
  <c r="AP29" i="10"/>
  <c r="AQ29" i="10"/>
  <c r="AP30" i="10"/>
  <c r="AQ30" i="10"/>
  <c r="AP31" i="10"/>
  <c r="AQ31" i="10"/>
  <c r="AP2" i="10"/>
  <c r="AQ2" i="10"/>
  <c r="V22" i="1" l="1"/>
  <c r="W21" i="1"/>
  <c r="AP22" i="1"/>
  <c r="BQ22" i="1" s="1"/>
  <c r="AO22" i="1"/>
  <c r="BP22" i="1" s="1"/>
  <c r="BL6" i="1" l="1"/>
  <c r="BK5" i="1" l="1"/>
  <c r="AN4" i="1"/>
  <c r="AN3" i="1"/>
  <c r="AM4" i="1"/>
  <c r="BP4" i="1" s="1"/>
  <c r="AM3" i="1"/>
  <c r="BP3" i="1" s="1"/>
  <c r="BR4" i="1" l="1"/>
  <c r="BQ4" i="1"/>
  <c r="BR3" i="1"/>
  <c r="BQ3" i="1"/>
  <c r="CP3" i="1"/>
  <c r="CP4" i="1"/>
  <c r="CP5" i="1"/>
  <c r="CP6" i="1"/>
  <c r="CP7" i="1"/>
  <c r="CP8" i="1"/>
  <c r="CP9" i="1"/>
  <c r="CP10" i="1"/>
  <c r="CP11" i="1"/>
  <c r="CP12" i="1"/>
  <c r="CP13" i="1"/>
  <c r="CP14" i="1"/>
  <c r="CP15" i="1"/>
  <c r="CP16" i="1"/>
  <c r="CP17" i="1"/>
  <c r="CP18" i="1"/>
  <c r="CP19" i="1"/>
  <c r="CP20" i="1"/>
  <c r="CP21" i="1"/>
  <c r="CP22" i="1"/>
  <c r="CP23" i="1"/>
  <c r="CP24" i="1"/>
  <c r="CP25" i="1"/>
  <c r="CP26" i="1"/>
  <c r="CP27" i="1"/>
  <c r="CP28" i="1"/>
  <c r="CP29" i="1"/>
  <c r="CP30" i="1"/>
  <c r="CP31" i="1"/>
  <c r="CP32" i="1"/>
  <c r="CP33" i="1"/>
  <c r="CP34" i="1"/>
  <c r="CP35" i="1"/>
  <c r="CP36" i="1"/>
  <c r="CP37" i="1"/>
  <c r="CP38" i="1"/>
  <c r="CP39" i="1"/>
  <c r="CP40" i="1"/>
  <c r="CP41" i="1"/>
  <c r="CP42" i="1"/>
  <c r="CP43" i="1"/>
  <c r="CP44" i="1"/>
  <c r="CP45" i="1"/>
  <c r="CP46" i="1"/>
  <c r="CP47" i="1"/>
  <c r="CP48" i="1"/>
  <c r="CP49" i="1"/>
  <c r="CP50" i="1"/>
  <c r="CP51" i="1"/>
  <c r="CP52" i="1"/>
  <c r="CP53" i="1"/>
  <c r="CP54" i="1"/>
  <c r="CP55" i="1"/>
  <c r="CP56" i="1"/>
  <c r="CP57" i="1"/>
  <c r="CP58" i="1"/>
  <c r="CP59" i="1"/>
  <c r="CP60" i="1"/>
  <c r="CP61" i="1"/>
  <c r="CP62" i="1"/>
  <c r="CP63" i="1"/>
  <c r="CP64" i="1"/>
  <c r="CP65" i="1"/>
  <c r="CP66" i="1"/>
  <c r="CP67" i="1"/>
  <c r="CP68" i="1"/>
  <c r="CP69" i="1"/>
  <c r="CP70" i="1"/>
  <c r="CP71" i="1"/>
  <c r="CP72" i="1"/>
  <c r="CP73" i="1"/>
  <c r="CP74" i="1"/>
  <c r="CP75" i="1"/>
  <c r="CP76" i="1"/>
  <c r="CP77" i="1"/>
  <c r="CP78" i="1"/>
  <c r="CP79" i="1"/>
  <c r="CP80" i="1"/>
  <c r="CP81" i="1"/>
  <c r="CP82" i="1"/>
  <c r="CP83" i="1"/>
  <c r="CP84" i="1"/>
  <c r="CP85" i="1"/>
  <c r="CP2" i="1"/>
  <c r="CN80" i="1" l="1"/>
  <c r="CJ80" i="1" s="1"/>
  <c r="CN81" i="1"/>
  <c r="CJ81" i="1" s="1"/>
  <c r="R2" i="1"/>
  <c r="AE2" i="1"/>
  <c r="BP2" i="1"/>
  <c r="BQ2" i="1"/>
  <c r="BR2" i="1"/>
  <c r="BU2" i="1"/>
  <c r="R3" i="1"/>
  <c r="AE3" i="1"/>
  <c r="BU3" i="1"/>
  <c r="R4" i="1"/>
  <c r="AE4" i="1"/>
  <c r="BU4" i="1"/>
  <c r="R5" i="1"/>
  <c r="AE5" i="1"/>
  <c r="BP5" i="1"/>
  <c r="CU5" i="1" s="1"/>
  <c r="BQ5" i="1"/>
  <c r="BR5" i="1"/>
  <c r="BU5" i="1"/>
  <c r="R6" i="1"/>
  <c r="AE6" i="1"/>
  <c r="BP6" i="1"/>
  <c r="CU6" i="1" s="1"/>
  <c r="BQ6" i="1"/>
  <c r="BR6" i="1"/>
  <c r="BU6" i="1"/>
  <c r="S7" i="1"/>
  <c r="AE7" i="1"/>
  <c r="AM7" i="1"/>
  <c r="BP7" i="1" s="1"/>
  <c r="AN7" i="1"/>
  <c r="BQ7" i="1" s="1"/>
  <c r="BU7" i="1"/>
  <c r="S8" i="1"/>
  <c r="AE8" i="1"/>
  <c r="AM8" i="1"/>
  <c r="BP8" i="1" s="1"/>
  <c r="AN8" i="1"/>
  <c r="BU8" i="1"/>
  <c r="T9" i="1"/>
  <c r="AE9" i="1"/>
  <c r="AJ9" i="1"/>
  <c r="AK9" i="1"/>
  <c r="AO9" i="1"/>
  <c r="AP9" i="1"/>
  <c r="BU9" i="1"/>
  <c r="T10" i="1"/>
  <c r="AE10" i="1"/>
  <c r="AJ10" i="1"/>
  <c r="AK10" i="1"/>
  <c r="AO10" i="1"/>
  <c r="AP10" i="1"/>
  <c r="BU10" i="1"/>
  <c r="U11" i="1"/>
  <c r="AE11" i="1"/>
  <c r="AJ11" i="1"/>
  <c r="AO11" i="1"/>
  <c r="AP11" i="1"/>
  <c r="BU11" i="1"/>
  <c r="U12" i="1"/>
  <c r="AE12" i="1"/>
  <c r="AJ12" i="1"/>
  <c r="AO12" i="1"/>
  <c r="AP12" i="1"/>
  <c r="BU12" i="1"/>
  <c r="R13" i="1"/>
  <c r="AE13" i="1"/>
  <c r="AM13" i="1"/>
  <c r="AN13" i="1"/>
  <c r="BB13" i="1"/>
  <c r="BD13" i="1"/>
  <c r="BF13" i="1"/>
  <c r="BG13" i="1"/>
  <c r="BU13" i="1"/>
  <c r="R14" i="1"/>
  <c r="AE14" i="1"/>
  <c r="AM14" i="1"/>
  <c r="AN14" i="1"/>
  <c r="BB14" i="1"/>
  <c r="BD14" i="1"/>
  <c r="BF14" i="1"/>
  <c r="BG14" i="1"/>
  <c r="BU14" i="1"/>
  <c r="R15" i="1"/>
  <c r="AE15" i="1"/>
  <c r="BB15" i="1"/>
  <c r="BP15" i="1" s="1"/>
  <c r="BD15" i="1"/>
  <c r="BF15" i="1"/>
  <c r="BI15" i="1"/>
  <c r="BR15" i="1" s="1"/>
  <c r="BU15" i="1"/>
  <c r="R16" i="1"/>
  <c r="AE16" i="1"/>
  <c r="BB16" i="1"/>
  <c r="BC16" i="1"/>
  <c r="BD16" i="1"/>
  <c r="BE16" i="1"/>
  <c r="BF16" i="1"/>
  <c r="BH16" i="1"/>
  <c r="BI16" i="1"/>
  <c r="BJ16" i="1"/>
  <c r="BU16" i="1"/>
  <c r="R17" i="1"/>
  <c r="AE17" i="1"/>
  <c r="BC17" i="1"/>
  <c r="BP17" i="1" s="1"/>
  <c r="BE17" i="1"/>
  <c r="BF17" i="1"/>
  <c r="BH17" i="1"/>
  <c r="BJ17" i="1"/>
  <c r="BR17" i="1" s="1"/>
  <c r="BU17" i="1"/>
  <c r="AE18" i="1"/>
  <c r="BC18" i="1"/>
  <c r="CF18" i="1"/>
  <c r="CG18" i="1"/>
  <c r="S19" i="1"/>
  <c r="AE19" i="1"/>
  <c r="BA19" i="1"/>
  <c r="BF19" i="1"/>
  <c r="BU19" i="1"/>
  <c r="Y20" i="1"/>
  <c r="AE20" i="1"/>
  <c r="AQ20" i="1"/>
  <c r="BP20" i="1" s="1"/>
  <c r="AR20" i="1"/>
  <c r="BQ20" i="1" s="1"/>
  <c r="AE21" i="1"/>
  <c r="AH21" i="1" s="1"/>
  <c r="BU21" i="1"/>
  <c r="AE22" i="1"/>
  <c r="BU22" i="1"/>
  <c r="R23" i="1"/>
  <c r="AE23" i="1"/>
  <c r="AM23" i="1"/>
  <c r="AN23" i="1"/>
  <c r="BN23" i="1"/>
  <c r="BU23" i="1"/>
  <c r="R24" i="1"/>
  <c r="AE24" i="1"/>
  <c r="AM24" i="1"/>
  <c r="AN24" i="1"/>
  <c r="BN24" i="1"/>
  <c r="BU24" i="1"/>
  <c r="R25" i="1"/>
  <c r="AE25" i="1"/>
  <c r="BC25" i="1"/>
  <c r="BN25" i="1"/>
  <c r="BU25" i="1"/>
  <c r="R26" i="1"/>
  <c r="AE26" i="1"/>
  <c r="BB26" i="1"/>
  <c r="BC26" i="1"/>
  <c r="BN26" i="1"/>
  <c r="BU26" i="1"/>
  <c r="R27" i="1"/>
  <c r="AH27" i="1" s="1"/>
  <c r="BK27" i="1"/>
  <c r="BN27" i="1"/>
  <c r="BU27" i="1"/>
  <c r="R28" i="1"/>
  <c r="AE28" i="1"/>
  <c r="BL28" i="1"/>
  <c r="BM28" i="1"/>
  <c r="BN28" i="1"/>
  <c r="BU28" i="1"/>
  <c r="R29" i="1"/>
  <c r="AE29" i="1"/>
  <c r="AM29" i="1"/>
  <c r="AN29" i="1"/>
  <c r="BN29" i="1"/>
  <c r="BU29" i="1"/>
  <c r="R30" i="1"/>
  <c r="AE30" i="1"/>
  <c r="AM30" i="1"/>
  <c r="AN30" i="1"/>
  <c r="BN30" i="1"/>
  <c r="BU30" i="1"/>
  <c r="T31" i="1"/>
  <c r="AE31" i="1"/>
  <c r="AJ31" i="1"/>
  <c r="AO31" i="1"/>
  <c r="BN31" i="1"/>
  <c r="T32" i="1"/>
  <c r="AE32" i="1"/>
  <c r="AJ32" i="1"/>
  <c r="AO32" i="1"/>
  <c r="BN32" i="1"/>
  <c r="AD33" i="1"/>
  <c r="AH33" i="1" s="1"/>
  <c r="R34" i="1"/>
  <c r="AF34" i="1"/>
  <c r="AG34" i="1"/>
  <c r="BU34" i="1"/>
  <c r="AF35" i="1"/>
  <c r="AG35" i="1"/>
  <c r="AM35" i="1"/>
  <c r="BP35" i="1" s="1"/>
  <c r="AN35" i="1"/>
  <c r="BR35" i="1" s="1"/>
  <c r="BU35" i="1"/>
  <c r="AF36" i="1"/>
  <c r="AG36" i="1"/>
  <c r="AM36" i="1"/>
  <c r="BP36" i="1" s="1"/>
  <c r="AN36" i="1"/>
  <c r="BQ36" i="1" s="1"/>
  <c r="BU36" i="1"/>
  <c r="R37" i="1"/>
  <c r="AF37" i="1"/>
  <c r="AG37" i="1"/>
  <c r="AN37" i="1"/>
  <c r="AW37" i="1"/>
  <c r="BP37" i="1" s="1"/>
  <c r="CU37" i="1" s="1"/>
  <c r="AX37" i="1"/>
  <c r="AY37" i="1"/>
  <c r="BU37" i="1"/>
  <c r="Y38" i="1"/>
  <c r="AF38" i="1"/>
  <c r="AG38" i="1"/>
  <c r="AN38" i="1"/>
  <c r="AW38" i="1"/>
  <c r="BP38" i="1" s="1"/>
  <c r="CU38" i="1" s="1"/>
  <c r="AY38" i="1"/>
  <c r="AF39" i="1"/>
  <c r="AG39" i="1"/>
  <c r="AM39" i="1"/>
  <c r="BP39" i="1" s="1"/>
  <c r="AN39" i="1"/>
  <c r="BQ39" i="1" s="1"/>
  <c r="BU39" i="1"/>
  <c r="R40" i="1"/>
  <c r="AF40" i="1"/>
  <c r="AG40" i="1"/>
  <c r="AZ40" i="1"/>
  <c r="BR40" i="1" s="1"/>
  <c r="BU40" i="1"/>
  <c r="AA41" i="1"/>
  <c r="AF41" i="1"/>
  <c r="AG41" i="1"/>
  <c r="AJ41" i="1"/>
  <c r="AK41" i="1"/>
  <c r="AO41" i="1"/>
  <c r="AP41" i="1"/>
  <c r="AC42" i="1"/>
  <c r="AF42" i="1"/>
  <c r="AG42" i="1"/>
  <c r="AM42" i="1"/>
  <c r="BP42" i="1" s="1"/>
  <c r="AN42" i="1"/>
  <c r="BQ42" i="1" s="1"/>
  <c r="BU42" i="1"/>
  <c r="AC43" i="1"/>
  <c r="AF43" i="1"/>
  <c r="AG43" i="1"/>
  <c r="AM43" i="1"/>
  <c r="BP43" i="1" s="1"/>
  <c r="AN43" i="1"/>
  <c r="BR43" i="1" s="1"/>
  <c r="BU43" i="1"/>
  <c r="Y44" i="1"/>
  <c r="AF44" i="1"/>
  <c r="AG44" i="1"/>
  <c r="AQ44" i="1"/>
  <c r="BP44" i="1" s="1"/>
  <c r="CU44" i="1" s="1"/>
  <c r="AR44" i="1"/>
  <c r="BQ44" i="1" s="1"/>
  <c r="AB45" i="1"/>
  <c r="AF45" i="1"/>
  <c r="AG45" i="1"/>
  <c r="AM45" i="1"/>
  <c r="AN45" i="1"/>
  <c r="AS45" i="1"/>
  <c r="BU45" i="1"/>
  <c r="AB46" i="1"/>
  <c r="AF46" i="1"/>
  <c r="AG46" i="1"/>
  <c r="AM46" i="1"/>
  <c r="AN46" i="1"/>
  <c r="AT46" i="1"/>
  <c r="BU46" i="1"/>
  <c r="AB47" i="1"/>
  <c r="AF47" i="1"/>
  <c r="AG47" i="1"/>
  <c r="AM47" i="1"/>
  <c r="AN47" i="1"/>
  <c r="AT47" i="1"/>
  <c r="BU47" i="1"/>
  <c r="AB48" i="1"/>
  <c r="AF48" i="1"/>
  <c r="AG48" i="1"/>
  <c r="AM48" i="1"/>
  <c r="AN48" i="1"/>
  <c r="AU48" i="1"/>
  <c r="BU48" i="1"/>
  <c r="AB49" i="1"/>
  <c r="AF49" i="1"/>
  <c r="AG49" i="1"/>
  <c r="AM49" i="1"/>
  <c r="AN49" i="1"/>
  <c r="AV49" i="1"/>
  <c r="BU49" i="1"/>
  <c r="AB50" i="1"/>
  <c r="AF50" i="1"/>
  <c r="AG50" i="1"/>
  <c r="AS50" i="1"/>
  <c r="AZ50" i="1"/>
  <c r="BU50" i="1"/>
  <c r="AB51" i="1"/>
  <c r="AF51" i="1"/>
  <c r="AG51" i="1"/>
  <c r="AS51" i="1"/>
  <c r="AW51" i="1"/>
  <c r="AX51" i="1"/>
  <c r="BU51" i="1"/>
  <c r="AB52" i="1"/>
  <c r="AF52" i="1"/>
  <c r="AG52" i="1"/>
  <c r="AT52" i="1"/>
  <c r="AW52" i="1"/>
  <c r="AX52" i="1"/>
  <c r="BU52" i="1"/>
  <c r="AB53" i="1"/>
  <c r="AF53" i="1"/>
  <c r="AG53" i="1"/>
  <c r="AT53" i="1"/>
  <c r="AW53" i="1"/>
  <c r="AX53" i="1"/>
  <c r="BU53" i="1"/>
  <c r="X54" i="1"/>
  <c r="AH54" i="1" s="1"/>
  <c r="AI54" i="1"/>
  <c r="AM54" i="1"/>
  <c r="AN54" i="1"/>
  <c r="BU54" i="1"/>
  <c r="R55" i="1"/>
  <c r="AF55" i="1"/>
  <c r="AG55" i="1"/>
  <c r="AM55" i="1"/>
  <c r="BP55" i="1" s="1"/>
  <c r="AN55" i="1"/>
  <c r="BQ55" i="1" s="1"/>
  <c r="BO55" i="1"/>
  <c r="BU55" i="1"/>
  <c r="R56" i="1"/>
  <c r="AF56" i="1"/>
  <c r="AG56" i="1"/>
  <c r="AM56" i="1"/>
  <c r="BP56" i="1" s="1"/>
  <c r="AN56" i="1"/>
  <c r="BQ56" i="1" s="1"/>
  <c r="BO56" i="1"/>
  <c r="BU56" i="1"/>
  <c r="R57" i="1"/>
  <c r="AF57" i="1"/>
  <c r="AG57" i="1"/>
  <c r="AZ57" i="1"/>
  <c r="BP57" i="1" s="1"/>
  <c r="CU57" i="1" s="1"/>
  <c r="BO57" i="1"/>
  <c r="BU57" i="1"/>
  <c r="AA58" i="1"/>
  <c r="AF58" i="1"/>
  <c r="AG58" i="1"/>
  <c r="AJ58" i="1"/>
  <c r="AO58" i="1"/>
  <c r="AP58" i="1"/>
  <c r="BQ58" i="1" s="1"/>
  <c r="BO58" i="1"/>
  <c r="BU58" i="1"/>
  <c r="AD59" i="1"/>
  <c r="AH59" i="1" s="1"/>
  <c r="V60" i="1"/>
  <c r="AH60" i="1" s="1"/>
  <c r="AI60" i="1"/>
  <c r="AQ60" i="1"/>
  <c r="AR60" i="1"/>
  <c r="BU60" i="1"/>
  <c r="Y61" i="1"/>
  <c r="AE61" i="1"/>
  <c r="AM61" i="1"/>
  <c r="BP61" i="1" s="1"/>
  <c r="AN61" i="1"/>
  <c r="BU61" i="1"/>
  <c r="AE62" i="1"/>
  <c r="AH62" i="1" s="1"/>
  <c r="AL62" i="1"/>
  <c r="AM62" i="1"/>
  <c r="BU62" i="1"/>
  <c r="Y63" i="1"/>
  <c r="AE63" i="1"/>
  <c r="AM63" i="1"/>
  <c r="BP63" i="1" s="1"/>
  <c r="AN63" i="1"/>
  <c r="BR63" i="1" s="1"/>
  <c r="BU63" i="1"/>
  <c r="Y64" i="1"/>
  <c r="AE64" i="1"/>
  <c r="AM64" i="1"/>
  <c r="BP64" i="1" s="1"/>
  <c r="AN64" i="1"/>
  <c r="BQ64" i="1" s="1"/>
  <c r="BU64" i="1"/>
  <c r="Y65" i="1"/>
  <c r="AE65" i="1"/>
  <c r="BC65" i="1"/>
  <c r="BP65" i="1" s="1"/>
  <c r="BE65" i="1"/>
  <c r="BF65" i="1"/>
  <c r="BI65" i="1"/>
  <c r="BR65" i="1" s="1"/>
  <c r="BU65" i="1"/>
  <c r="Y66" i="1"/>
  <c r="AE66" i="1"/>
  <c r="AM66" i="1"/>
  <c r="BP66" i="1" s="1"/>
  <c r="AN66" i="1"/>
  <c r="BR66" i="1" s="1"/>
  <c r="BU66" i="1"/>
  <c r="AE67" i="1"/>
  <c r="AH67" i="1" s="1"/>
  <c r="AL67" i="1"/>
  <c r="AM67" i="1"/>
  <c r="BU67" i="1"/>
  <c r="Z68" i="1"/>
  <c r="AE68" i="1"/>
  <c r="AM68" i="1"/>
  <c r="BP68" i="1" s="1"/>
  <c r="AN68" i="1"/>
  <c r="BQ68" i="1" s="1"/>
  <c r="BU68" i="1"/>
  <c r="Z69" i="1"/>
  <c r="AE69" i="1"/>
  <c r="AL69" i="1"/>
  <c r="AM69" i="1"/>
  <c r="BU69" i="1"/>
  <c r="Z70" i="1"/>
  <c r="AE70" i="1"/>
  <c r="AM70" i="1"/>
  <c r="AN70" i="1"/>
  <c r="BB70" i="1"/>
  <c r="BC70" i="1"/>
  <c r="BD70" i="1"/>
  <c r="BE70" i="1"/>
  <c r="BF70" i="1"/>
  <c r="BG70" i="1"/>
  <c r="BH70" i="1"/>
  <c r="BI70" i="1"/>
  <c r="BJ70" i="1"/>
  <c r="BU70" i="1"/>
  <c r="Z71" i="1"/>
  <c r="AE71" i="1"/>
  <c r="AM71" i="1"/>
  <c r="AN71" i="1"/>
  <c r="BC71" i="1"/>
  <c r="BE71" i="1"/>
  <c r="BF71" i="1"/>
  <c r="BH71" i="1"/>
  <c r="BI71" i="1"/>
  <c r="BJ71" i="1"/>
  <c r="BU71" i="1"/>
  <c r="Z72" i="1"/>
  <c r="AE72" i="1"/>
  <c r="AH72" i="1" s="1"/>
  <c r="AL72" i="1"/>
  <c r="AM72" i="1"/>
  <c r="BU72" i="1"/>
  <c r="Z73" i="1"/>
  <c r="AE73" i="1"/>
  <c r="AL73" i="1"/>
  <c r="AM73" i="1"/>
  <c r="BU73" i="1"/>
  <c r="Z74" i="1"/>
  <c r="AE74" i="1"/>
  <c r="AM74" i="1"/>
  <c r="AN74" i="1"/>
  <c r="BC74" i="1"/>
  <c r="BE74" i="1"/>
  <c r="BF74" i="1"/>
  <c r="BH74" i="1"/>
  <c r="BI74" i="1"/>
  <c r="BU74" i="1"/>
  <c r="Z75" i="1"/>
  <c r="AE75" i="1"/>
  <c r="AM75" i="1"/>
  <c r="AN75" i="1"/>
  <c r="BC75" i="1"/>
  <c r="BE75" i="1"/>
  <c r="BF75" i="1"/>
  <c r="BH75" i="1"/>
  <c r="BI75" i="1"/>
  <c r="BU75" i="1"/>
  <c r="Z76" i="1"/>
  <c r="AE76" i="1"/>
  <c r="AM76" i="1"/>
  <c r="AN76" i="1"/>
  <c r="BC76" i="1"/>
  <c r="BE76" i="1"/>
  <c r="BF76" i="1"/>
  <c r="BH76" i="1"/>
  <c r="BI76" i="1"/>
  <c r="BU76" i="1"/>
  <c r="AA77" i="1"/>
  <c r="AE77" i="1"/>
  <c r="AM77" i="1"/>
  <c r="AN77" i="1"/>
  <c r="AW77" i="1"/>
  <c r="AX77" i="1"/>
  <c r="AY77" i="1"/>
  <c r="BU77" i="1"/>
  <c r="AE78" i="1"/>
  <c r="AH78" i="1" s="1"/>
  <c r="AL78" i="1"/>
  <c r="AM78" i="1"/>
  <c r="BC78" i="1"/>
  <c r="BH78" i="1"/>
  <c r="BU78" i="1"/>
  <c r="AA79" i="1"/>
  <c r="AE79" i="1"/>
  <c r="AM79" i="1"/>
  <c r="AN79" i="1"/>
  <c r="AW79" i="1"/>
  <c r="AY79" i="1"/>
  <c r="BU79" i="1"/>
  <c r="AF80" i="1"/>
  <c r="AG80" i="1"/>
  <c r="AM80" i="1"/>
  <c r="BP80" i="1" s="1"/>
  <c r="AN80" i="1"/>
  <c r="BQ80" i="1" s="1"/>
  <c r="BU80" i="1"/>
  <c r="CM80" i="1"/>
  <c r="AF81" i="1"/>
  <c r="AG81" i="1"/>
  <c r="AM81" i="1"/>
  <c r="BP81" i="1" s="1"/>
  <c r="AN81" i="1"/>
  <c r="BQ81" i="1" s="1"/>
  <c r="BU81" i="1"/>
  <c r="CM81" i="1"/>
  <c r="AF82" i="1"/>
  <c r="AG82" i="1"/>
  <c r="AM82" i="1"/>
  <c r="BP82" i="1" s="1"/>
  <c r="AN82" i="1"/>
  <c r="BQ82" i="1" s="1"/>
  <c r="BU82" i="1"/>
  <c r="CK82" i="1"/>
  <c r="AF83" i="1"/>
  <c r="AG83" i="1"/>
  <c r="AM83" i="1"/>
  <c r="BP83" i="1" s="1"/>
  <c r="AN83" i="1"/>
  <c r="BQ83" i="1" s="1"/>
  <c r="BU83" i="1"/>
  <c r="CK83" i="1"/>
  <c r="AE84" i="1"/>
  <c r="AM84" i="1"/>
  <c r="BP84" i="1" s="1"/>
  <c r="AN84" i="1"/>
  <c r="BU84" i="1"/>
  <c r="CL84" i="1"/>
  <c r="AE85" i="1"/>
  <c r="AM85" i="1"/>
  <c r="AN85" i="1"/>
  <c r="BC85" i="1"/>
  <c r="BE85" i="1"/>
  <c r="BJ85" i="1"/>
  <c r="BU85" i="1"/>
  <c r="CL85" i="1"/>
  <c r="V105" i="10"/>
  <c r="W105" i="10"/>
  <c r="X105" i="10"/>
  <c r="Y105" i="10"/>
  <c r="V112" i="10"/>
  <c r="W112" i="10"/>
  <c r="X112" i="10"/>
  <c r="Y112" i="10"/>
  <c r="V111" i="10"/>
  <c r="W111" i="10"/>
  <c r="X111" i="10"/>
  <c r="Y111" i="10"/>
  <c r="V110" i="10"/>
  <c r="W110" i="10"/>
  <c r="X110" i="10"/>
  <c r="Y110" i="10"/>
  <c r="V109" i="10"/>
  <c r="W109" i="10"/>
  <c r="X109" i="10"/>
  <c r="Y109" i="10"/>
  <c r="V108" i="10"/>
  <c r="W108" i="10"/>
  <c r="X108" i="10"/>
  <c r="Y108" i="10"/>
  <c r="V107" i="10"/>
  <c r="W107" i="10"/>
  <c r="X107" i="10"/>
  <c r="Y107" i="10"/>
  <c r="V106" i="10"/>
  <c r="W106" i="10"/>
  <c r="X106" i="10"/>
  <c r="Y106" i="10"/>
  <c r="AH3" i="1" l="1"/>
  <c r="AH84" i="1"/>
  <c r="BQ24" i="1"/>
  <c r="BR24" i="1"/>
  <c r="AH12" i="1"/>
  <c r="AH20" i="1"/>
  <c r="BQ15" i="1"/>
  <c r="BP14" i="1"/>
  <c r="BP58" i="1"/>
  <c r="AH77" i="1"/>
  <c r="BQ47" i="1"/>
  <c r="BQ17" i="1"/>
  <c r="BR7" i="1"/>
  <c r="AH76" i="1"/>
  <c r="BP85" i="1"/>
  <c r="BR48" i="1"/>
  <c r="BP31" i="1"/>
  <c r="BQ16" i="1"/>
  <c r="BQ79" i="1"/>
  <c r="BQ61" i="1"/>
  <c r="BR61" i="1"/>
  <c r="BQ14" i="1"/>
  <c r="BR14" i="1"/>
  <c r="AH74" i="1"/>
  <c r="BR37" i="1"/>
  <c r="BR84" i="1"/>
  <c r="BQ84" i="1"/>
  <c r="BP52" i="1"/>
  <c r="CU52" i="1" s="1"/>
  <c r="BP9" i="1"/>
  <c r="BQ63" i="1"/>
  <c r="BP11" i="1"/>
  <c r="BQ8" i="1"/>
  <c r="BR8" i="1"/>
  <c r="BR23" i="1"/>
  <c r="BP16" i="1"/>
  <c r="BR58" i="1"/>
  <c r="BP49" i="1"/>
  <c r="BQ85" i="1"/>
  <c r="BQ74" i="1"/>
  <c r="AH37" i="1"/>
  <c r="AH39" i="1"/>
  <c r="BP46" i="1"/>
  <c r="BQ19" i="1"/>
  <c r="AH15" i="1"/>
  <c r="BP13" i="1"/>
  <c r="AH65" i="1"/>
  <c r="BR46" i="1"/>
  <c r="BQ29" i="1"/>
  <c r="AH6" i="1"/>
  <c r="BQ43" i="1"/>
  <c r="AH23" i="1"/>
  <c r="AH13" i="1"/>
  <c r="BP75" i="1"/>
  <c r="AH85" i="1"/>
  <c r="BR71" i="1"/>
  <c r="AH79" i="1"/>
  <c r="BP71" i="1"/>
  <c r="AH70" i="1"/>
  <c r="BR12" i="1"/>
  <c r="AH71" i="1"/>
  <c r="AH81" i="1"/>
  <c r="AH10" i="1"/>
  <c r="BP78" i="1"/>
  <c r="AH69" i="1"/>
  <c r="BP47" i="1"/>
  <c r="BP27" i="1"/>
  <c r="CU27" i="1" s="1"/>
  <c r="BQ11" i="1"/>
  <c r="AH29" i="1"/>
  <c r="AH66" i="1"/>
  <c r="BP50" i="1"/>
  <c r="CU50" i="1" s="1"/>
  <c r="BP45" i="1"/>
  <c r="BP24" i="1"/>
  <c r="AH19" i="1"/>
  <c r="AH16" i="1"/>
  <c r="AH8" i="1"/>
  <c r="BQ72" i="1"/>
  <c r="AH38" i="1"/>
  <c r="BR26" i="1"/>
  <c r="AH4" i="1"/>
  <c r="AH80" i="1"/>
  <c r="AH68" i="1"/>
  <c r="AH52" i="1"/>
  <c r="BP48" i="1"/>
  <c r="BQ46" i="1"/>
  <c r="AH24" i="1"/>
  <c r="AH2" i="1"/>
  <c r="BR39" i="1"/>
  <c r="BP32" i="1"/>
  <c r="BR30" i="1"/>
  <c r="AH26" i="1"/>
  <c r="BP18" i="1"/>
  <c r="CU18" i="1" s="1"/>
  <c r="BQ12" i="1"/>
  <c r="AH11" i="1"/>
  <c r="BP74" i="1"/>
  <c r="BR78" i="1"/>
  <c r="AH75" i="1"/>
  <c r="BP67" i="1"/>
  <c r="BQ65" i="1"/>
  <c r="AH61" i="1"/>
  <c r="AH48" i="1"/>
  <c r="AH30" i="1"/>
  <c r="AH28" i="1"/>
  <c r="BQ23" i="1"/>
  <c r="BP12" i="1"/>
  <c r="CI80" i="1"/>
  <c r="BP62" i="1"/>
  <c r="BQ45" i="1"/>
  <c r="BQ78" i="1"/>
  <c r="BQ77" i="1"/>
  <c r="BP73" i="1"/>
  <c r="BP69" i="1"/>
  <c r="BR56" i="1"/>
  <c r="BQ49" i="1"/>
  <c r="AH32" i="1"/>
  <c r="BP25" i="1"/>
  <c r="BP23" i="1"/>
  <c r="CI81" i="1"/>
  <c r="AH82" i="1"/>
  <c r="BR74" i="1"/>
  <c r="BQ70" i="1"/>
  <c r="BR27" i="1"/>
  <c r="AH25" i="1"/>
  <c r="AH7" i="1"/>
  <c r="AH31" i="1"/>
  <c r="AH73" i="1"/>
  <c r="BQ66" i="1"/>
  <c r="AH63" i="1"/>
  <c r="BQ40" i="1"/>
  <c r="BQ38" i="1"/>
  <c r="BP10" i="1"/>
  <c r="BP40" i="1"/>
  <c r="CU40" i="1" s="1"/>
  <c r="AH42" i="1"/>
  <c r="AH45" i="1"/>
  <c r="AH83" i="1"/>
  <c r="AH56" i="1"/>
  <c r="AH51" i="1"/>
  <c r="AH44" i="1"/>
  <c r="AH35" i="1"/>
  <c r="AH50" i="1"/>
  <c r="AH36" i="1"/>
  <c r="AH40" i="1"/>
  <c r="AH57" i="1"/>
  <c r="BR81" i="1"/>
  <c r="BP79" i="1"/>
  <c r="AH58" i="1"/>
  <c r="BP54" i="1"/>
  <c r="BQ30" i="1"/>
  <c r="BQ18" i="1"/>
  <c r="BQ9" i="1"/>
  <c r="BR77" i="1"/>
  <c r="BQ60" i="1"/>
  <c r="BQ32" i="1"/>
  <c r="BP30" i="1"/>
  <c r="BP28" i="1"/>
  <c r="CU28" i="1" s="1"/>
  <c r="BR16" i="1"/>
  <c r="BP60" i="1"/>
  <c r="CU60" i="1" s="1"/>
  <c r="BQ13" i="1"/>
  <c r="BP77" i="1"/>
  <c r="BQ67" i="1"/>
  <c r="AH18" i="1"/>
  <c r="BP72" i="1"/>
  <c r="BR55" i="1"/>
  <c r="BR49" i="1"/>
  <c r="BQ35" i="1"/>
  <c r="BR25" i="1"/>
  <c r="AH9" i="1"/>
  <c r="BR75" i="1"/>
  <c r="BP53" i="1"/>
  <c r="CU53" i="1" s="1"/>
  <c r="AH46" i="1"/>
  <c r="BQ27" i="1"/>
  <c r="BQ25" i="1"/>
  <c r="BR51" i="1"/>
  <c r="BQ37" i="1"/>
  <c r="BR10" i="1"/>
  <c r="BR82" i="1"/>
  <c r="BR64" i="1"/>
  <c r="BQ75" i="1"/>
  <c r="BQ31" i="1"/>
  <c r="BP19" i="1"/>
  <c r="CU19" i="1" s="1"/>
  <c r="AH53" i="1"/>
  <c r="BP41" i="1"/>
  <c r="AH55" i="1"/>
  <c r="BR52" i="1"/>
  <c r="AH14" i="1"/>
  <c r="BR73" i="1"/>
  <c r="BQ52" i="1"/>
  <c r="AH49" i="1"/>
  <c r="AH47" i="1"/>
  <c r="AH41" i="1"/>
  <c r="BP26" i="1"/>
  <c r="BQ76" i="1"/>
  <c r="BQ73" i="1"/>
  <c r="AH64" i="1"/>
  <c r="AH43" i="1"/>
  <c r="AH34" i="1"/>
  <c r="BQ26" i="1"/>
  <c r="AH22" i="1"/>
  <c r="AH17" i="1"/>
  <c r="BR13" i="1"/>
  <c r="BP76" i="1"/>
  <c r="BQ71" i="1"/>
  <c r="BP70" i="1"/>
  <c r="BQ50" i="1"/>
  <c r="BR18" i="1"/>
  <c r="AH5" i="1"/>
  <c r="BR76" i="1"/>
  <c r="BR70" i="1"/>
  <c r="BR57" i="1"/>
  <c r="BR54" i="1"/>
  <c r="BQ51" i="1"/>
  <c r="BQ48" i="1"/>
  <c r="BR45" i="1"/>
  <c r="BP29" i="1"/>
  <c r="BR68" i="1"/>
  <c r="BQ57" i="1"/>
  <c r="BQ54" i="1"/>
  <c r="BP51" i="1"/>
  <c r="CU51" i="1" s="1"/>
  <c r="BR32" i="1"/>
  <c r="BR19" i="1"/>
  <c r="BR9" i="1"/>
  <c r="BR83" i="1"/>
  <c r="BR80" i="1"/>
  <c r="BR41" i="1"/>
  <c r="BQ10" i="1"/>
  <c r="BR69" i="1"/>
  <c r="BR62" i="1"/>
  <c r="BQ41" i="1"/>
  <c r="BR28" i="1"/>
  <c r="BR20" i="1"/>
  <c r="BQ62" i="1"/>
  <c r="BR60" i="1"/>
  <c r="BR53" i="1"/>
  <c r="BR36" i="1"/>
  <c r="BQ28" i="1"/>
  <c r="BQ69" i="1"/>
  <c r="BR67" i="1"/>
  <c r="BQ53" i="1"/>
  <c r="BR50" i="1"/>
  <c r="BR47" i="1"/>
  <c r="BR44" i="1"/>
  <c r="BR31" i="1"/>
  <c r="BR85" i="1"/>
  <c r="BR11" i="1"/>
  <c r="BR72" i="1"/>
  <c r="BR42" i="1"/>
  <c r="BR29" i="1"/>
  <c r="BM3" i="225"/>
  <c r="AB3" i="225"/>
  <c r="J3" i="225"/>
  <c r="EE31" i="10" l="1"/>
  <c r="EE32" i="10"/>
  <c r="EE33" i="10"/>
  <c r="EE34" i="10"/>
  <c r="EE35" i="10"/>
  <c r="EE36" i="10"/>
  <c r="EE37" i="10"/>
  <c r="EE38" i="10"/>
  <c r="EE39" i="10"/>
  <c r="EE30" i="10"/>
  <c r="EE4" i="10"/>
  <c r="EE5" i="10"/>
  <c r="EE6" i="10"/>
  <c r="EE7" i="10"/>
  <c r="EE8" i="10"/>
  <c r="EE9" i="10"/>
  <c r="EE10" i="10"/>
  <c r="EE11" i="10"/>
  <c r="EE12" i="10"/>
  <c r="EE13" i="10"/>
  <c r="EE14" i="10"/>
  <c r="EE15" i="10"/>
  <c r="EE16" i="10"/>
  <c r="EE17" i="10"/>
  <c r="EE18" i="10"/>
  <c r="EE19" i="10"/>
  <c r="EE20" i="10"/>
  <c r="EE21" i="10"/>
  <c r="EE22" i="10"/>
  <c r="EE3" i="10"/>
  <c r="V38" i="10" l="1"/>
  <c r="W38" i="10"/>
  <c r="X38" i="10"/>
  <c r="Y38" i="10"/>
  <c r="Y2" i="10" l="1"/>
  <c r="Y3" i="10"/>
  <c r="Y4" i="10"/>
  <c r="DG3" i="10" l="1"/>
  <c r="DG4" i="10"/>
  <c r="DG33" i="10"/>
  <c r="DG16" i="10"/>
  <c r="DG22" i="10"/>
  <c r="DG19" i="10"/>
  <c r="DG34" i="10"/>
  <c r="DG32" i="10"/>
  <c r="DG24" i="10"/>
  <c r="DG23" i="10"/>
  <c r="DG20" i="10"/>
  <c r="DG54" i="10"/>
  <c r="DG26" i="10"/>
  <c r="DG12" i="10"/>
  <c r="DG39" i="10"/>
  <c r="DG50" i="10"/>
  <c r="DG47" i="10"/>
  <c r="DG17" i="10"/>
  <c r="DG41" i="10"/>
  <c r="DG10" i="10"/>
  <c r="DG9" i="10"/>
  <c r="DG8" i="10"/>
  <c r="DG7" i="10"/>
  <c r="DG6" i="10"/>
  <c r="DG5" i="10"/>
  <c r="DG15" i="10"/>
  <c r="DG14" i="10"/>
  <c r="DG13" i="10"/>
  <c r="DG52" i="10"/>
  <c r="DG28" i="10"/>
  <c r="DG57" i="10"/>
  <c r="DG46" i="10"/>
  <c r="DG38" i="10"/>
  <c r="DG51" i="10"/>
  <c r="DG18" i="10"/>
  <c r="DG31" i="10"/>
  <c r="DG11" i="10"/>
  <c r="DG21" i="10"/>
  <c r="DG53" i="10"/>
  <c r="DG25" i="10"/>
  <c r="DG56" i="10"/>
  <c r="DG40" i="10"/>
  <c r="DG27" i="10"/>
  <c r="DG45" i="10"/>
  <c r="DG43" i="10"/>
  <c r="DG58" i="10"/>
  <c r="DG44" i="10"/>
  <c r="DG37" i="10"/>
  <c r="DG36" i="10"/>
  <c r="DG35" i="10"/>
  <c r="DG30" i="10"/>
  <c r="DG29" i="10"/>
  <c r="DG49" i="10"/>
  <c r="DG48" i="10"/>
  <c r="DG42" i="10"/>
  <c r="DG55" i="10"/>
  <c r="DG59" i="10"/>
  <c r="Y104" i="10" l="1"/>
  <c r="X104" i="10"/>
  <c r="W104" i="10"/>
  <c r="V104" i="10"/>
  <c r="Y103" i="10"/>
  <c r="X103" i="10"/>
  <c r="W103" i="10"/>
  <c r="V103" i="10"/>
  <c r="Y102" i="10"/>
  <c r="X102" i="10"/>
  <c r="W102" i="10"/>
  <c r="V102" i="10"/>
  <c r="Y101" i="10"/>
  <c r="X101" i="10"/>
  <c r="W101" i="10"/>
  <c r="V101" i="10"/>
  <c r="Y100" i="10"/>
  <c r="X100" i="10"/>
  <c r="W100" i="10"/>
  <c r="V100" i="10"/>
  <c r="Y99" i="10"/>
  <c r="X99" i="10"/>
  <c r="W99" i="10"/>
  <c r="V99" i="10"/>
  <c r="Y98" i="10"/>
  <c r="X98" i="10"/>
  <c r="W98" i="10"/>
  <c r="V98" i="10"/>
  <c r="Y97" i="10"/>
  <c r="X97" i="10"/>
  <c r="W97" i="10"/>
  <c r="V97" i="10"/>
  <c r="Y96" i="10"/>
  <c r="X96" i="10"/>
  <c r="W96" i="10"/>
  <c r="V96" i="10"/>
  <c r="Y95" i="10"/>
  <c r="X95" i="10"/>
  <c r="W95" i="10"/>
  <c r="V95" i="10"/>
  <c r="Y94" i="10"/>
  <c r="X94" i="10"/>
  <c r="W94" i="10"/>
  <c r="V94" i="10"/>
  <c r="Y93" i="10"/>
  <c r="X93" i="10"/>
  <c r="W93" i="10"/>
  <c r="V93" i="10"/>
  <c r="Y92" i="10"/>
  <c r="X92" i="10"/>
  <c r="W92" i="10"/>
  <c r="V92" i="10"/>
  <c r="Y91" i="10"/>
  <c r="X91" i="10"/>
  <c r="W91" i="10"/>
  <c r="V91" i="10"/>
  <c r="Y90" i="10"/>
  <c r="X90" i="10"/>
  <c r="W90" i="10"/>
  <c r="V90" i="10"/>
  <c r="Y89" i="10"/>
  <c r="X89" i="10"/>
  <c r="W89" i="10"/>
  <c r="V89" i="10"/>
  <c r="Y88" i="10"/>
  <c r="X88" i="10"/>
  <c r="W88" i="10"/>
  <c r="V88" i="10"/>
  <c r="Y87" i="10"/>
  <c r="X87" i="10"/>
  <c r="W87" i="10"/>
  <c r="V87" i="10"/>
  <c r="Y86" i="10"/>
  <c r="X86" i="10"/>
  <c r="W86" i="10"/>
  <c r="V86" i="10"/>
  <c r="Y85" i="10"/>
  <c r="X85" i="10"/>
  <c r="W85" i="10"/>
  <c r="V85" i="10"/>
  <c r="Y84" i="10"/>
  <c r="X84" i="10"/>
  <c r="W84" i="10"/>
  <c r="V84" i="10"/>
  <c r="Y83" i="10"/>
  <c r="X83" i="10"/>
  <c r="W83" i="10"/>
  <c r="V83" i="10"/>
  <c r="Y82" i="10"/>
  <c r="X82" i="10"/>
  <c r="W82" i="10"/>
  <c r="V82" i="10"/>
  <c r="Y81" i="10"/>
  <c r="X81" i="10"/>
  <c r="W81" i="10"/>
  <c r="V81" i="10"/>
  <c r="Y80" i="10"/>
  <c r="X80" i="10"/>
  <c r="W80" i="10"/>
  <c r="V80" i="10"/>
  <c r="Y79" i="10"/>
  <c r="X79" i="10"/>
  <c r="W79" i="10"/>
  <c r="V79" i="10"/>
  <c r="Y78" i="10"/>
  <c r="X78" i="10"/>
  <c r="W78" i="10"/>
  <c r="V78" i="10"/>
  <c r="Y77" i="10"/>
  <c r="X77" i="10"/>
  <c r="W77" i="10"/>
  <c r="V77" i="10"/>
  <c r="Y76" i="10"/>
  <c r="X76" i="10"/>
  <c r="W76" i="10"/>
  <c r="V76" i="10"/>
  <c r="Y75" i="10"/>
  <c r="X75" i="10"/>
  <c r="W75" i="10"/>
  <c r="V75" i="10"/>
  <c r="Y74" i="10"/>
  <c r="X74" i="10"/>
  <c r="W74" i="10"/>
  <c r="V74" i="10"/>
  <c r="Y73" i="10"/>
  <c r="X73" i="10"/>
  <c r="W73" i="10"/>
  <c r="V73" i="10"/>
  <c r="Y72" i="10"/>
  <c r="X72" i="10"/>
  <c r="W72" i="10"/>
  <c r="V72" i="10"/>
  <c r="Y71" i="10"/>
  <c r="X71" i="10"/>
  <c r="W71" i="10"/>
  <c r="V71" i="10"/>
  <c r="Y70" i="10"/>
  <c r="X70" i="10"/>
  <c r="W70" i="10"/>
  <c r="V70" i="10"/>
  <c r="Y69" i="10"/>
  <c r="X69" i="10"/>
  <c r="W69" i="10"/>
  <c r="V69" i="10"/>
  <c r="Y68" i="10"/>
  <c r="X68" i="10"/>
  <c r="W68" i="10"/>
  <c r="V68" i="10"/>
  <c r="Y67" i="10"/>
  <c r="X67" i="10"/>
  <c r="W67" i="10"/>
  <c r="V67" i="10"/>
  <c r="Y66" i="10"/>
  <c r="X66" i="10"/>
  <c r="W66" i="10"/>
  <c r="V66" i="10"/>
  <c r="Y65" i="10"/>
  <c r="X65" i="10"/>
  <c r="W65" i="10"/>
  <c r="V65" i="10"/>
  <c r="Y64" i="10"/>
  <c r="X64" i="10"/>
  <c r="W64" i="10"/>
  <c r="V64" i="10"/>
  <c r="Y63" i="10"/>
  <c r="X63" i="10"/>
  <c r="W63" i="10"/>
  <c r="V63" i="10"/>
  <c r="Y62" i="10"/>
  <c r="X62" i="10"/>
  <c r="W62" i="10"/>
  <c r="V62" i="10"/>
  <c r="Y61" i="10"/>
  <c r="X61" i="10"/>
  <c r="W61" i="10"/>
  <c r="V61" i="10"/>
  <c r="Y60" i="10"/>
  <c r="X60" i="10"/>
  <c r="W60" i="10"/>
  <c r="V60" i="10"/>
  <c r="Y59" i="10"/>
  <c r="X59" i="10"/>
  <c r="W59" i="10"/>
  <c r="V59" i="10"/>
  <c r="Y58" i="10"/>
  <c r="X58" i="10"/>
  <c r="W58" i="10"/>
  <c r="V58" i="10"/>
  <c r="Y57" i="10"/>
  <c r="X57" i="10"/>
  <c r="W57" i="10"/>
  <c r="V57" i="10"/>
  <c r="Y56" i="10"/>
  <c r="X56" i="10"/>
  <c r="W56" i="10"/>
  <c r="V56" i="10"/>
  <c r="Y55" i="10"/>
  <c r="X55" i="10"/>
  <c r="W55" i="10"/>
  <c r="V55" i="10"/>
  <c r="Y54" i="10"/>
  <c r="X54" i="10"/>
  <c r="W54" i="10"/>
  <c r="V54" i="10"/>
  <c r="Y53" i="10"/>
  <c r="X53" i="10"/>
  <c r="W53" i="10"/>
  <c r="V53" i="10"/>
  <c r="Y52" i="10"/>
  <c r="X52" i="10"/>
  <c r="W52" i="10"/>
  <c r="V52" i="10"/>
  <c r="Y51" i="10"/>
  <c r="X51" i="10"/>
  <c r="W51" i="10"/>
  <c r="V51" i="10"/>
  <c r="Y50" i="10"/>
  <c r="X50" i="10"/>
  <c r="W50" i="10"/>
  <c r="V50" i="10"/>
  <c r="Y49" i="10"/>
  <c r="X49" i="10"/>
  <c r="W49" i="10"/>
  <c r="V49" i="10"/>
  <c r="Y48" i="10"/>
  <c r="X48" i="10"/>
  <c r="W48" i="10"/>
  <c r="V48" i="10"/>
  <c r="Y47" i="10"/>
  <c r="X47" i="10"/>
  <c r="W47" i="10"/>
  <c r="V47" i="10"/>
  <c r="Y46" i="10"/>
  <c r="X46" i="10"/>
  <c r="W46" i="10"/>
  <c r="V46" i="10"/>
  <c r="Y45" i="10"/>
  <c r="X45" i="10"/>
  <c r="W45" i="10"/>
  <c r="V45" i="10"/>
  <c r="Y44" i="10"/>
  <c r="X44" i="10"/>
  <c r="W44" i="10"/>
  <c r="V44" i="10"/>
  <c r="Y43" i="10"/>
  <c r="X43" i="10"/>
  <c r="W43" i="10"/>
  <c r="V43" i="10"/>
  <c r="Y42" i="10"/>
  <c r="X42" i="10"/>
  <c r="W42" i="10"/>
  <c r="V42" i="10"/>
  <c r="Y41" i="10"/>
  <c r="X41" i="10"/>
  <c r="W41" i="10"/>
  <c r="V41" i="10"/>
  <c r="Y40" i="10"/>
  <c r="X40" i="10"/>
  <c r="W40" i="10"/>
  <c r="V40" i="10"/>
  <c r="Y39" i="10"/>
  <c r="X39" i="10"/>
  <c r="W39" i="10"/>
  <c r="V39" i="10"/>
  <c r="Y37" i="10"/>
  <c r="X37" i="10"/>
  <c r="W37" i="10"/>
  <c r="V37" i="10"/>
  <c r="Y36" i="10"/>
  <c r="X36" i="10"/>
  <c r="W36" i="10"/>
  <c r="V36" i="10"/>
  <c r="Y35" i="10"/>
  <c r="X35" i="10"/>
  <c r="W35" i="10"/>
  <c r="V35" i="10"/>
  <c r="Y34" i="10"/>
  <c r="X34" i="10"/>
  <c r="W34" i="10"/>
  <c r="V34" i="10"/>
  <c r="Y33" i="10"/>
  <c r="X33" i="10"/>
  <c r="W33" i="10"/>
  <c r="V33" i="10"/>
  <c r="Y32" i="10"/>
  <c r="X32" i="10"/>
  <c r="W32" i="10"/>
  <c r="V32" i="10"/>
  <c r="Y31" i="10"/>
  <c r="X31" i="10"/>
  <c r="W31" i="10"/>
  <c r="V31" i="10"/>
  <c r="Y30" i="10"/>
  <c r="X30" i="10"/>
  <c r="W30" i="10"/>
  <c r="V30" i="10"/>
  <c r="Y29" i="10"/>
  <c r="X29" i="10"/>
  <c r="W29" i="10"/>
  <c r="V29" i="10"/>
  <c r="Y28" i="10"/>
  <c r="X28" i="10"/>
  <c r="W28" i="10"/>
  <c r="V28" i="10"/>
  <c r="Y27" i="10"/>
  <c r="X27" i="10"/>
  <c r="W27" i="10"/>
  <c r="V27" i="10"/>
  <c r="Y26" i="10"/>
  <c r="X26" i="10"/>
  <c r="W26" i="10"/>
  <c r="V26" i="10"/>
  <c r="Y25" i="10"/>
  <c r="X25" i="10"/>
  <c r="W25" i="10"/>
  <c r="V25" i="10"/>
  <c r="Y24" i="10"/>
  <c r="X24" i="10"/>
  <c r="W24" i="10"/>
  <c r="V24" i="10"/>
  <c r="Y23" i="10"/>
  <c r="X23" i="10"/>
  <c r="W23" i="10"/>
  <c r="V23" i="10"/>
  <c r="Y22" i="10"/>
  <c r="X22" i="10"/>
  <c r="W22" i="10"/>
  <c r="V22" i="10"/>
  <c r="Y21" i="10"/>
  <c r="X21" i="10"/>
  <c r="W21" i="10"/>
  <c r="V21" i="10"/>
  <c r="Y20" i="10"/>
  <c r="X20" i="10"/>
  <c r="W20" i="10"/>
  <c r="V20" i="10"/>
  <c r="Y19" i="10"/>
  <c r="X19" i="10"/>
  <c r="W19" i="10"/>
  <c r="V19" i="10"/>
  <c r="Y18" i="10"/>
  <c r="X18" i="10"/>
  <c r="W18" i="10"/>
  <c r="V18" i="10"/>
  <c r="Y17" i="10"/>
  <c r="X17" i="10"/>
  <c r="W17" i="10"/>
  <c r="V17" i="10"/>
  <c r="Y16" i="10"/>
  <c r="X16" i="10"/>
  <c r="W16" i="10"/>
  <c r="V16" i="10"/>
  <c r="Y15" i="10"/>
  <c r="X15" i="10"/>
  <c r="W15" i="10"/>
  <c r="V15" i="10"/>
  <c r="Y14" i="10"/>
  <c r="X14" i="10"/>
  <c r="W14" i="10"/>
  <c r="V14" i="10"/>
  <c r="Y13" i="10"/>
  <c r="X13" i="10"/>
  <c r="W13" i="10"/>
  <c r="V13" i="10"/>
  <c r="Y12" i="10"/>
  <c r="X12" i="10"/>
  <c r="W12" i="10"/>
  <c r="V12" i="10"/>
  <c r="Y11" i="10"/>
  <c r="X11" i="10"/>
  <c r="W11" i="10"/>
  <c r="V11" i="10"/>
  <c r="Y10" i="10"/>
  <c r="X10" i="10"/>
  <c r="W10" i="10"/>
  <c r="V10" i="10"/>
  <c r="Y9" i="10"/>
  <c r="X9" i="10"/>
  <c r="W9" i="10"/>
  <c r="V9" i="10"/>
  <c r="Y8" i="10"/>
  <c r="X8" i="10"/>
  <c r="W8" i="10"/>
  <c r="V8" i="10"/>
  <c r="Y7" i="10"/>
  <c r="X7" i="10"/>
  <c r="W7" i="10"/>
  <c r="V7" i="10"/>
  <c r="Y6" i="10"/>
  <c r="X6" i="10"/>
  <c r="W6" i="10"/>
  <c r="V6" i="10"/>
  <c r="Y5" i="10"/>
  <c r="X5" i="10"/>
  <c r="W5" i="10"/>
  <c r="V5" i="10"/>
  <c r="X4" i="10"/>
  <c r="W4" i="10"/>
  <c r="V4" i="10"/>
  <c r="X3" i="10"/>
  <c r="W3" i="10"/>
  <c r="V3" i="10"/>
  <c r="X2" i="10"/>
  <c r="W2" i="10"/>
  <c r="V2" i="10"/>
  <c r="B23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Камынин Василий Алексеевич</author>
  </authors>
  <commentList>
    <comment ref="AM1" authorId="0" shapeId="0" xr:uid="{00000000-0006-0000-0400-000001000000}">
      <text>
        <r>
          <rPr>
            <b/>
            <sz val="9"/>
            <color indexed="81"/>
            <rFont val="Tahoma"/>
            <family val="2"/>
            <charset val="204"/>
          </rPr>
          <t>Камынин Василий Алексеевич:</t>
        </r>
        <r>
          <rPr>
            <sz val="9"/>
            <color indexed="81"/>
            <rFont val="Tahoma"/>
            <family val="2"/>
            <charset val="204"/>
          </rPr>
          <t xml:space="preserve">
Комплектация №2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 Елена Анатольевна</author>
  </authors>
  <commentList>
    <comment ref="C61" authorId="0" shapeId="0" xr:uid="{00000000-0006-0000-0700-000001000000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Елена Анатольевна: 
приравняла из-за закупочной цены
</t>
        </r>
      </text>
    </comment>
    <comment ref="B89" authorId="0" shapeId="0" xr:uid="{00000000-0006-0000-0700-000002000000}">
      <text>
        <r>
          <rPr>
            <b/>
            <sz val="9"/>
            <color indexed="81"/>
            <rFont val="Tahoma"/>
            <family val="2"/>
            <charset val="204"/>
          </rPr>
          <t>Нурулина Елена Анатольевна:</t>
        </r>
        <r>
          <rPr>
            <sz val="9"/>
            <color indexed="81"/>
            <rFont val="Tahoma"/>
            <family val="2"/>
            <charset val="204"/>
          </rPr>
          <t xml:space="preserve">
в расчёте цены учётные, оставлена старая цена, т.к. ранее цена была расчитана была по курсу
</t>
        </r>
      </text>
    </comment>
  </commentList>
</comments>
</file>

<file path=xl/sharedStrings.xml><?xml version="1.0" encoding="utf-8"?>
<sst xmlns="http://schemas.openxmlformats.org/spreadsheetml/2006/main" count="5355" uniqueCount="1304">
  <si>
    <t>EMN1D</t>
  </si>
  <si>
    <t>EMN3B</t>
  </si>
  <si>
    <t>EVO</t>
  </si>
  <si>
    <t>ENO</t>
  </si>
  <si>
    <t>Артикул</t>
  </si>
  <si>
    <t>Тип</t>
  </si>
  <si>
    <t>Нижний</t>
  </si>
  <si>
    <t>Верхний</t>
  </si>
  <si>
    <t>Открытый</t>
  </si>
  <si>
    <t>Пенал</t>
  </si>
  <si>
    <t>Нет</t>
  </si>
  <si>
    <t>EMN2D</t>
  </si>
  <si>
    <t>EWN1D</t>
  </si>
  <si>
    <t>EWN2D</t>
  </si>
  <si>
    <t>EMN1B1D</t>
  </si>
  <si>
    <t>EMN4B</t>
  </si>
  <si>
    <t>EMN2B</t>
  </si>
  <si>
    <t>ETN1B</t>
  </si>
  <si>
    <t>ESNX1D</t>
  </si>
  <si>
    <t>ERN</t>
  </si>
  <si>
    <t>ERN1D</t>
  </si>
  <si>
    <t>ENG1D</t>
  </si>
  <si>
    <t>ENG2D</t>
  </si>
  <si>
    <t>ENG2B</t>
  </si>
  <si>
    <t>ENG3B</t>
  </si>
  <si>
    <t>EWG1D</t>
  </si>
  <si>
    <t>EWG2D</t>
  </si>
  <si>
    <t>EZ1F</t>
  </si>
  <si>
    <t>EMV2V</t>
  </si>
  <si>
    <t>EHV1D</t>
  </si>
  <si>
    <t>EHV2D</t>
  </si>
  <si>
    <t>EDV1D</t>
  </si>
  <si>
    <t>ERV1D</t>
  </si>
  <si>
    <t>EVG2D</t>
  </si>
  <si>
    <t>EVG2V</t>
  </si>
  <si>
    <t>ESVX1D</t>
  </si>
  <si>
    <t>EP1D</t>
  </si>
  <si>
    <t>EPG1D</t>
  </si>
  <si>
    <t>EPT1B</t>
  </si>
  <si>
    <t>EP2D</t>
  </si>
  <si>
    <t>EPS2D</t>
  </si>
  <si>
    <t>EPSG2D</t>
  </si>
  <si>
    <t>EP3B1D</t>
  </si>
  <si>
    <t>EP2B1D</t>
  </si>
  <si>
    <t>EPSP2D</t>
  </si>
  <si>
    <t>Высота min</t>
  </si>
  <si>
    <t>Высота max</t>
  </si>
  <si>
    <t>Ширина min</t>
  </si>
  <si>
    <t>Ширина max</t>
  </si>
  <si>
    <t>Глубина min</t>
  </si>
  <si>
    <t>Глубина max</t>
  </si>
  <si>
    <t>жесткий размер</t>
  </si>
  <si>
    <t>в прайсе не указан диапазон по ширине и по глубине</t>
  </si>
  <si>
    <t>жесткие размеры</t>
  </si>
  <si>
    <t>жесткий размер по ширине</t>
  </si>
  <si>
    <t>Жесткий размер по ширине</t>
  </si>
  <si>
    <t>жесткие размеры по ширине</t>
  </si>
  <si>
    <t>Шаг 425 525 560</t>
  </si>
  <si>
    <t>Шаг размеров 425 525 560</t>
  </si>
  <si>
    <t>Жесткий размер по высоте</t>
  </si>
  <si>
    <t>жесткий размер по высоте</t>
  </si>
  <si>
    <t>жесткие размеры по ширине 600 800 900</t>
  </si>
  <si>
    <t>жесткие размеры по ширине 450 600</t>
  </si>
  <si>
    <t>жесткие размеры по ширине 450 600 800 900</t>
  </si>
  <si>
    <t>Проверить диапазон</t>
  </si>
  <si>
    <t>Жесткие размеры высота, ширина,глубина</t>
  </si>
  <si>
    <t>Шаг высот 760 834 963</t>
  </si>
  <si>
    <t>Проверить в БЗ</t>
  </si>
  <si>
    <t>Комментарий</t>
  </si>
  <si>
    <t>Угловой</t>
  </si>
  <si>
    <t>Профиль Gola</t>
  </si>
  <si>
    <t>Да</t>
  </si>
  <si>
    <t>Вид модуля</t>
  </si>
  <si>
    <t>Прямой</t>
  </si>
  <si>
    <t>Диагональный</t>
  </si>
  <si>
    <t>Скошенный</t>
  </si>
  <si>
    <t>Радиусный</t>
  </si>
  <si>
    <t>EMV1D</t>
  </si>
  <si>
    <t>EMV1DN</t>
  </si>
  <si>
    <t>EMV1V</t>
  </si>
  <si>
    <t>EMV1VN</t>
  </si>
  <si>
    <t>EMV2D</t>
  </si>
  <si>
    <t>EVG1D</t>
  </si>
  <si>
    <t>EPG2D_EPG2DM</t>
  </si>
  <si>
    <t>EMN1B2D</t>
  </si>
  <si>
    <t>Варианты наполнения</t>
  </si>
  <si>
    <t>Признаки для фильтров</t>
  </si>
  <si>
    <t>Полки</t>
  </si>
  <si>
    <t>Корзина</t>
  </si>
  <si>
    <t>Мойка</t>
  </si>
  <si>
    <t>Духовка</t>
  </si>
  <si>
    <t>Колонна</t>
  </si>
  <si>
    <t>Подъемник</t>
  </si>
  <si>
    <t>Вытяжка</t>
  </si>
  <si>
    <t>Сушилка</t>
  </si>
  <si>
    <t>Ящик</t>
  </si>
  <si>
    <t>1 ниша</t>
  </si>
  <si>
    <t>Холодильник</t>
  </si>
  <si>
    <t>2 ниши</t>
  </si>
  <si>
    <t>Микроволновка</t>
  </si>
  <si>
    <t>Комплектация</t>
  </si>
  <si>
    <t>Материал корпуса</t>
  </si>
  <si>
    <t>Дуб кендал натуральный</t>
  </si>
  <si>
    <t>Дуб кендал коньяк</t>
  </si>
  <si>
    <t>Дуб солсберри</t>
  </si>
  <si>
    <t>Бетон Чикаго</t>
  </si>
  <si>
    <t>Белый премиум</t>
  </si>
  <si>
    <t>Серая галька</t>
  </si>
  <si>
    <t>Оникс серый</t>
  </si>
  <si>
    <t>Маренго</t>
  </si>
  <si>
    <t>Муссон</t>
  </si>
  <si>
    <t>Светло-серый</t>
  </si>
  <si>
    <t>Белый</t>
  </si>
  <si>
    <t>Премиум</t>
  </si>
  <si>
    <t>Категория</t>
  </si>
  <si>
    <t>Базовый</t>
  </si>
  <si>
    <t>Высота</t>
  </si>
  <si>
    <t>Ширина</t>
  </si>
  <si>
    <t>Глубина</t>
  </si>
  <si>
    <t>Номенклатура</t>
  </si>
  <si>
    <t>Количество полок</t>
  </si>
  <si>
    <t>Толщина</t>
  </si>
  <si>
    <t>Цена за м2</t>
  </si>
  <si>
    <t>Кол-во</t>
  </si>
  <si>
    <t>Высота цоколя</t>
  </si>
  <si>
    <t>Коллекция</t>
  </si>
  <si>
    <t>Original</t>
  </si>
  <si>
    <t>Acryline</t>
  </si>
  <si>
    <t>EUN1D_150</t>
  </si>
  <si>
    <t>EUN1D</t>
  </si>
  <si>
    <t>EWU1D_150</t>
  </si>
  <si>
    <t>EWU1D</t>
  </si>
  <si>
    <t>Базовая цена</t>
  </si>
  <si>
    <t>EUG1D_150</t>
  </si>
  <si>
    <t>EUG1D</t>
  </si>
  <si>
    <t>Белый базовый</t>
  </si>
  <si>
    <t>Комплектация №3</t>
  </si>
  <si>
    <t>Для установки цен на фасады Original</t>
  </si>
  <si>
    <t>Ценовая категория пленки</t>
  </si>
  <si>
    <t>МДФ 16 мм</t>
  </si>
  <si>
    <t>МДФ 18/19 мм</t>
  </si>
  <si>
    <t>МДФ 22+ мм</t>
  </si>
  <si>
    <t>EAST</t>
  </si>
  <si>
    <t>WEST</t>
  </si>
  <si>
    <t>Номер пленки</t>
  </si>
  <si>
    <t>Коллекция пленок</t>
  </si>
  <si>
    <t>Категория пленки</t>
  </si>
  <si>
    <t>Цена 16 мм</t>
  </si>
  <si>
    <t>Цена 18/19 мм</t>
  </si>
  <si>
    <t>Цена 22 мм</t>
  </si>
  <si>
    <t>Фрезеровка</t>
  </si>
  <si>
    <t>Тип Фрезеровки</t>
  </si>
  <si>
    <t>Толщина 1</t>
  </si>
  <si>
    <t>Толщина 2</t>
  </si>
  <si>
    <t>101 Венге</t>
  </si>
  <si>
    <t>АЛАБАМА</t>
  </si>
  <si>
    <t>Сложная</t>
  </si>
  <si>
    <t>119 Зебрано темное</t>
  </si>
  <si>
    <t>Простая</t>
  </si>
  <si>
    <t>124 Мокко</t>
  </si>
  <si>
    <t>АРКА СЛОЖНАЯ</t>
  </si>
  <si>
    <t>125 Зебрано светлое</t>
  </si>
  <si>
    <t>АРКА+</t>
  </si>
  <si>
    <t>127 ДУБ</t>
  </si>
  <si>
    <t>АУРА</t>
  </si>
  <si>
    <t>165 Орех рыжий</t>
  </si>
  <si>
    <t>АУРА ГРОСЕТТО</t>
  </si>
  <si>
    <t>168 ВИШНЯ ШИРАЗ</t>
  </si>
  <si>
    <t>БИЛД (МД_РФ)</t>
  </si>
  <si>
    <t>169 ДУБ МЕЛИНГА ТЕМНЫЙ</t>
  </si>
  <si>
    <t>БИЛД ГОРИЗОНТАЛЬ (МДГ_РФ)</t>
  </si>
  <si>
    <t>БОСТОН</t>
  </si>
  <si>
    <t>182 ВИШНЕВЫЙ ГЛЯНЕЦ</t>
  </si>
  <si>
    <t>БРЭДФОРД+</t>
  </si>
  <si>
    <t>185 ОРАНЖЕВЫЙ ГЛЯНЕЦ</t>
  </si>
  <si>
    <t>ВАЛЕНТИНО+</t>
  </si>
  <si>
    <t>186 Бук дымчатый</t>
  </si>
  <si>
    <t>ДАКОТА</t>
  </si>
  <si>
    <t>192 МОККО МЕЛИНГА</t>
  </si>
  <si>
    <t>196 ЯСЕНЬ БЕЛЫЙ</t>
  </si>
  <si>
    <t>КЕМБРИДЖ</t>
  </si>
  <si>
    <t>197 ЯСЕНЬ МАРРОН</t>
  </si>
  <si>
    <t>КЛАССИКА 90+</t>
  </si>
  <si>
    <t>198 ДУБ ШАМОНИ</t>
  </si>
  <si>
    <t>КЛАССИКА ДВОЙНАЯ+</t>
  </si>
  <si>
    <t>201 СЛИВКИ ГЛЯНЕЦ</t>
  </si>
  <si>
    <t>211 БЕЛЫЙ ГЛЯНЕЦ</t>
  </si>
  <si>
    <t>КЛАССИКА+</t>
  </si>
  <si>
    <t>212 ЧЕРНЫЙ ГЛЯНЕЦ</t>
  </si>
  <si>
    <t>ЛА ДЕФАНС</t>
  </si>
  <si>
    <t>217 КРАСНЫЙ ГЛЯНЕЦ</t>
  </si>
  <si>
    <t>ЛАНОС</t>
  </si>
  <si>
    <t>218 КАПУЧИНО ГЛЯНЕЦ</t>
  </si>
  <si>
    <t>ЛЖЕВЫБОРКА</t>
  </si>
  <si>
    <t>22 Береза полированная</t>
  </si>
  <si>
    <t>ЛЖЕВЫБОРКА ГОРИЗОНТАЛЬ</t>
  </si>
  <si>
    <t>222 СЛИВА ГЛЯНЕЦ</t>
  </si>
  <si>
    <t>223 СЛОНОВАЯ КОСТЬ</t>
  </si>
  <si>
    <t>МАГНУМ БИЛД</t>
  </si>
  <si>
    <t>224 МАРЕНГО</t>
  </si>
  <si>
    <t>МОДЕНА</t>
  </si>
  <si>
    <t>226 КРЕМОВЫЙ</t>
  </si>
  <si>
    <t>МОДЕРН</t>
  </si>
  <si>
    <t>229 Лен золотистый</t>
  </si>
  <si>
    <t>МОДЕРН ГОРИЗОНТАЛЬ</t>
  </si>
  <si>
    <t>230 ДУБ ВЫБЕЛЕННЫЙ</t>
  </si>
  <si>
    <t>МОДЕРН ГРОСЕТТО</t>
  </si>
  <si>
    <t>232 ПЭТ ДУБ БОНИФАЧО ГЛЯНЕЦ</t>
  </si>
  <si>
    <t>МОДЕРН с ФРЕЗ. РУЧК. ГОРИЗОНТ</t>
  </si>
  <si>
    <t>233 ПЭТ ФИСТАШКОВЫЙ ГЛЯНЕЦ</t>
  </si>
  <si>
    <t>МОДЕРН с ФРЕЗЕР. РУЧКОЙ</t>
  </si>
  <si>
    <t>236 ДУБ ЧЕСТЕРФИЛД</t>
  </si>
  <si>
    <t>МОНБЕЛЬЯР</t>
  </si>
  <si>
    <t>276 САПФИР</t>
  </si>
  <si>
    <t>НИКОЛЬ</t>
  </si>
  <si>
    <t>277 КЕМБРИЙСКАЯ ГЛИНА</t>
  </si>
  <si>
    <t>ОКСФОРД</t>
  </si>
  <si>
    <t>278 ДОЛОМИТ</t>
  </si>
  <si>
    <t>ПЕТЕРГОФ</t>
  </si>
  <si>
    <t>281 ЙОРКШИРСКИЙ КАШТАН</t>
  </si>
  <si>
    <t>ПИАНО ГОРИЗОНТАЛЬ+</t>
  </si>
  <si>
    <t>283 КАМЕННЫЙ ДУБ</t>
  </si>
  <si>
    <t>ПИАНО+</t>
  </si>
  <si>
    <t>284 ДЖЕССАТО БЕЛЫЙ</t>
  </si>
  <si>
    <t>ПРЯМОУГОЛЬНИК 90+</t>
  </si>
  <si>
    <t>285 ДЖЕССАТО СЕРЫЙ</t>
  </si>
  <si>
    <t>ПРЯМОУГОЛЬНИК ФОЛК</t>
  </si>
  <si>
    <t>ПРЯМОУГОЛЬНИК+</t>
  </si>
  <si>
    <t>296 ГРАВИЙ</t>
  </si>
  <si>
    <t>РИФФЕЛЬ</t>
  </si>
  <si>
    <t>300 ЧЕРНЫЙ ГРИФЕЛЬНЫЙ</t>
  </si>
  <si>
    <t>СКАНДИ</t>
  </si>
  <si>
    <t>301 МАГНОЛИЯ</t>
  </si>
  <si>
    <t>СОРБОННА+</t>
  </si>
  <si>
    <t>307 ПЭТ Рифт светлый глянец</t>
  </si>
  <si>
    <t>ЧЕСТЕР</t>
  </si>
  <si>
    <t>308 Рифт Темный глянец</t>
  </si>
  <si>
    <t>ШЕФФИЛД</t>
  </si>
  <si>
    <t>384 БЕЖЕВЫЙ ГЛЯНЕЦ</t>
  </si>
  <si>
    <t>39 ВИШНЯ МАНХЭТТЕН</t>
  </si>
  <si>
    <t>419 ШОКОЛАД ГЛЯНЕЦ</t>
  </si>
  <si>
    <t>45 ЛЕН СОЛНЕЧНЫЙ</t>
  </si>
  <si>
    <t>500 АРКТИЧЕСКИЙ ГЛЯНЦЕВЫЙ</t>
  </si>
  <si>
    <t>501 БЕЛЫЙ СНЕГ СОФТ</t>
  </si>
  <si>
    <t>503 БЕЖЕВЫЙ МАТОВЫЙ СОФТТАЧ</t>
  </si>
  <si>
    <t>504 КВАРЦ СОФТ</t>
  </si>
  <si>
    <t>505 ГРАФИТ СОФТТАЧ</t>
  </si>
  <si>
    <t>506 МУСКАРИ</t>
  </si>
  <si>
    <t>507 АКОНИТ</t>
  </si>
  <si>
    <t>508 ОБРИЕТА</t>
  </si>
  <si>
    <t>509 НИАГАРА</t>
  </si>
  <si>
    <t>510 РОЗА</t>
  </si>
  <si>
    <t>511 БЕЛАЯ СТРУКТУРНАЯ</t>
  </si>
  <si>
    <t>513 ДУБ ФАКТУРНЫЙ БЕЛЫЙ</t>
  </si>
  <si>
    <t>514 ДУБ ВИНТАЖ БЕЛЫЙ</t>
  </si>
  <si>
    <t>515 ЯСЕНЬ КАПУЧИНО АТЛАСНЫЙ</t>
  </si>
  <si>
    <t>516 МУСКАТ СТРУКТУРНЫЙ</t>
  </si>
  <si>
    <t>518 Дуб Шале серый</t>
  </si>
  <si>
    <t>519 ДУБ ШВЕДСКИЙ</t>
  </si>
  <si>
    <t>520 ПРОВАНС САЛАТОВЫЙ ПАТИНА</t>
  </si>
  <si>
    <t>5211 АЛЬБЕРА ЭВКАЛИПТ</t>
  </si>
  <si>
    <t>522 ПРОВАНС ГОЛУБОЙ ПАТИНА</t>
  </si>
  <si>
    <t>524 ЯСЕНЬ ГРАФИТ АТЛАСНЫЙ</t>
  </si>
  <si>
    <t>525 ДУБ ФАКТУРН.ЧЕРНИЛЬНЫЙ</t>
  </si>
  <si>
    <t>526 БЕЛЫЙ МЕТАЛЛИК АЛЯСКА</t>
  </si>
  <si>
    <t>528 АРЬЯ</t>
  </si>
  <si>
    <t>529 САНСА</t>
  </si>
  <si>
    <t>530 МУССОН</t>
  </si>
  <si>
    <t>533 ДУБ НОРВЕЖСКИЙ БЕЛЫЙ</t>
  </si>
  <si>
    <t>534 ЯСЕНЬ КРЕМОВЫЙ</t>
  </si>
  <si>
    <t>535 ЯСЕНЬ СЕРЫЙ</t>
  </si>
  <si>
    <t>536 АУРА ПЕРЛАМУТРОВАЯ</t>
  </si>
  <si>
    <t>537 АУРА ГРАФИТОВАЯ</t>
  </si>
  <si>
    <t>538 БЕЛАЯ ЛИЛИЯ</t>
  </si>
  <si>
    <t>539 МАКИАТО</t>
  </si>
  <si>
    <t>540 АМАРОК</t>
  </si>
  <si>
    <t>541 БЕТОН ОЛЕННА</t>
  </si>
  <si>
    <t>543 АРКАДИЯ</t>
  </si>
  <si>
    <t>544 ОМБРА</t>
  </si>
  <si>
    <t>545 ИРЛАНДСКИЙ МЯТНЫЙ</t>
  </si>
  <si>
    <t>546 НОТТЕ БОСКО</t>
  </si>
  <si>
    <t>547 ОБСИДИАН</t>
  </si>
  <si>
    <t>548 ДУБ КРЕМОВЫЙ</t>
  </si>
  <si>
    <t>549 ДУБ СВЕТЛЫЙ</t>
  </si>
  <si>
    <t>550 БРИЗ</t>
  </si>
  <si>
    <t>551 РАФ</t>
  </si>
  <si>
    <t>552 КЕРАМИКА</t>
  </si>
  <si>
    <t>553 АРЛЕТТ</t>
  </si>
  <si>
    <t>554 БРАУН ГРЕЙ</t>
  </si>
  <si>
    <t>555 РУБЕЛИТ</t>
  </si>
  <si>
    <t>556 ЛОФТ БАЗИЛИК</t>
  </si>
  <si>
    <t>557 ДИКАЯ МЯТА</t>
  </si>
  <si>
    <t>558 ОРЕХ КАНТРИ</t>
  </si>
  <si>
    <t>6 БЕЛЫЙ</t>
  </si>
  <si>
    <t>64 БЕРЕЗА РОЗОВАЯ</t>
  </si>
  <si>
    <t>709 Ольха</t>
  </si>
  <si>
    <t>77 ЖАСМИН ГЛЯНЕЦ</t>
  </si>
  <si>
    <t>90 АКАЦИЯ СВЕТЛАЯ</t>
  </si>
  <si>
    <t>КФ крепежа корпуса 1</t>
  </si>
  <si>
    <t>КФ опора пластиковая 120</t>
  </si>
  <si>
    <t>KFP-SB-N110</t>
  </si>
  <si>
    <t>KFS-SB-BYT_30</t>
  </si>
  <si>
    <t>Корзина с держателем для бутылок 414*500*520 мм</t>
  </si>
  <si>
    <t>КФ евровинт</t>
  </si>
  <si>
    <t>КФ крепежа корпуса 2</t>
  </si>
  <si>
    <t>КФ крепежа корпуса 4</t>
  </si>
  <si>
    <t>KFP-SB-PY94</t>
  </si>
  <si>
    <t>KFPr-SB-SPL</t>
  </si>
  <si>
    <t>КФ крепежа корпуса 6</t>
  </si>
  <si>
    <t>КФ крепежа корпуса 7</t>
  </si>
  <si>
    <t>KFP-SB-N45</t>
  </si>
  <si>
    <t>KFN-SB-M86</t>
  </si>
  <si>
    <t>KFN-SB-MD</t>
  </si>
  <si>
    <t>КФ ящика Matrix (H=89 мм)_450_GR</t>
  </si>
  <si>
    <t>Комплект ящика INNOTECH ATIRA полного выдв. с  PUSH TO OPEN , Н70,NL470,цвет серебристый</t>
  </si>
  <si>
    <t>KFN-SB-M15</t>
  </si>
  <si>
    <t>Комплект короба INNOTECH ATIRA полного выдв. с Push to open, Н176,NL470,рейлинги, цвет серебристый</t>
  </si>
  <si>
    <t>KFN-SB-M54</t>
  </si>
  <si>
    <t>КФ крепежа корпуса 11</t>
  </si>
  <si>
    <t>KFP-SB-GT45</t>
  </si>
  <si>
    <t>КФ крепежа корпуса 9</t>
  </si>
  <si>
    <t>KFP-SB-P95</t>
  </si>
  <si>
    <t>КФ петли вклад. 95 гр. с крестообр. Планкой</t>
  </si>
  <si>
    <t>КФ  крепления профиля Gola</t>
  </si>
  <si>
    <t>КФ крепежа корпуса 16</t>
  </si>
  <si>
    <t>KFPr-SB-POD</t>
  </si>
  <si>
    <t>KFPr-SB-ZPG</t>
  </si>
  <si>
    <t>КФ НСТ1</t>
  </si>
  <si>
    <t>КФ НСТ11</t>
  </si>
  <si>
    <t xml:space="preserve">KFP-SP-PPGK_71
</t>
  </si>
  <si>
    <t>KFP-SP-PPA</t>
  </si>
  <si>
    <t>KFP-SB-PPHF_W</t>
  </si>
  <si>
    <t>КФ крепежа корпуса 13</t>
  </si>
  <si>
    <t>KFPr-SB-SMRZ_16мм</t>
  </si>
  <si>
    <t>КФ крепежа корпуса 15</t>
  </si>
  <si>
    <t>КФ НСТ 14</t>
  </si>
  <si>
    <t>КФ Сушка AFF 600</t>
  </si>
  <si>
    <t>КФ Сушка AFF 800</t>
  </si>
  <si>
    <t>КФ Сушка AFF 900</t>
  </si>
  <si>
    <t>КФ сушка 45 одноуровневая</t>
  </si>
  <si>
    <t>КФ сушка 60 одноуровневая</t>
  </si>
  <si>
    <t>KFPr-SB-StK</t>
  </si>
  <si>
    <t>КФ крепежа корпуса 10</t>
  </si>
  <si>
    <t>КФ KEKU</t>
  </si>
  <si>
    <t>КФ ящика Matrix (H=175 мм)_450_GR</t>
  </si>
  <si>
    <t>КФ крепежа корпуса 12</t>
  </si>
  <si>
    <t>KFP-SP-PPGK</t>
  </si>
  <si>
    <t>Изделие</t>
  </si>
  <si>
    <t>кодировка КФ</t>
  </si>
  <si>
    <t>Округлённая цена с рент.25% с НДС</t>
  </si>
  <si>
    <t>КФ корпуса</t>
  </si>
  <si>
    <t>КФ крепежа корпуса 3</t>
  </si>
  <si>
    <t>КФ крепежа корпуса 5</t>
  </si>
  <si>
    <t>КФ крепежа корпуса 8</t>
  </si>
  <si>
    <t>КФ крепежа корпуса 14</t>
  </si>
  <si>
    <t>компл.№2</t>
  </si>
  <si>
    <t>KFN-SB-DWD95_350</t>
  </si>
  <si>
    <t>компл.№3 или №4</t>
  </si>
  <si>
    <t>компл.№3T</t>
  </si>
  <si>
    <t>KFS-SB-45 (посудосушители)</t>
  </si>
  <si>
    <t>KFS-SB-BYT</t>
  </si>
  <si>
    <t>КФ сушка 90 одноуровневая</t>
  </si>
  <si>
    <t>компл.№1</t>
  </si>
  <si>
    <t>компл.№3</t>
  </si>
  <si>
    <t>KFP-SB-GT90</t>
  </si>
  <si>
    <t>КФ петли накл.110 гр. с крестообр. Планкой</t>
  </si>
  <si>
    <t>KFP-SB-GT110</t>
  </si>
  <si>
    <t>КФ петли SENS накл.110 гр. с крестообр. Планкой</t>
  </si>
  <si>
    <t>КФ Aventos HK-S 02_Gr</t>
  </si>
  <si>
    <t>КФ Aventos HK-S 04_Gr</t>
  </si>
  <si>
    <t>KFP-SP-PPGK_71</t>
  </si>
  <si>
    <t>КФ навесы для шкафа</t>
  </si>
  <si>
    <t>КФ для полки 4</t>
  </si>
  <si>
    <t>КФ для полки 5</t>
  </si>
  <si>
    <t>КФ для стеклянной полки 4</t>
  </si>
  <si>
    <t>КФ для стеклянной полки 5</t>
  </si>
  <si>
    <t>Профиль Gola для подвесных шкафов алюм.16 мм</t>
  </si>
  <si>
    <t>Профиль Gola 8012 вертик.центральный алюм.16 мм</t>
  </si>
  <si>
    <t>Профиль Gola 8018 вертик.боковой алюм.16 мм</t>
  </si>
  <si>
    <t>Толкатель врезной, Type 3 (синий):26-48 N</t>
  </si>
  <si>
    <t>Толкатель врезной, Type 2 (желтый):22-34 N</t>
  </si>
  <si>
    <t>КФ для DSN</t>
  </si>
  <si>
    <t>QUADRO V6 30/450</t>
  </si>
  <si>
    <t>Комплектация №2</t>
  </si>
  <si>
    <t>Комплектация №3Т</t>
  </si>
  <si>
    <t>EMN1K_150</t>
  </si>
  <si>
    <t>EMN1K_450</t>
  </si>
  <si>
    <t>КФ петли вклад. 95 гр. с крестообр. планкой</t>
  </si>
  <si>
    <t>КKFP-SB-GT45</t>
  </si>
  <si>
    <t>ENG1K_150</t>
  </si>
  <si>
    <t>ENG1K_450</t>
  </si>
  <si>
    <t>EWV1D_450</t>
  </si>
  <si>
    <t>EWV1D_600</t>
  </si>
  <si>
    <t>EWV2D_600</t>
  </si>
  <si>
    <t>EWV2D_800</t>
  </si>
  <si>
    <t>EWV2D_900</t>
  </si>
  <si>
    <t>EWV2V_450</t>
  </si>
  <si>
    <t>EWV1V_450</t>
  </si>
  <si>
    <t>EWV1V_600</t>
  </si>
  <si>
    <t xml:space="preserve"> KFPr-SB-StK </t>
  </si>
  <si>
    <t>Базовая ширина</t>
  </si>
  <si>
    <t>Базовая высота</t>
  </si>
  <si>
    <t>Фасады,м2</t>
  </si>
  <si>
    <t>EPT2D_455</t>
  </si>
  <si>
    <t>EPTG2D_455</t>
  </si>
  <si>
    <t>EPTG2D_595</t>
  </si>
  <si>
    <t>EPT2B1D_382</t>
  </si>
  <si>
    <t>EPT2B1D_455</t>
  </si>
  <si>
    <t>EPT2B1D_595</t>
  </si>
  <si>
    <t>Полки,м2</t>
  </si>
  <si>
    <t>Полки min,шт.</t>
  </si>
  <si>
    <t>Полки max,шт.</t>
  </si>
  <si>
    <t>Цена корпуса</t>
  </si>
  <si>
    <t>Полки,шт.</t>
  </si>
  <si>
    <t>Цена,м2</t>
  </si>
  <si>
    <t>Полки ЛДСП</t>
  </si>
  <si>
    <t>Цена фасадов</t>
  </si>
  <si>
    <t>Цена полок</t>
  </si>
  <si>
    <t>Скидка</t>
  </si>
  <si>
    <t>Цена Gola</t>
  </si>
  <si>
    <t>Базовая цена корпуса</t>
  </si>
  <si>
    <t>Базовая глубина</t>
  </si>
  <si>
    <t>Коэфф.высота</t>
  </si>
  <si>
    <t>Коэфф.ширина</t>
  </si>
  <si>
    <t>Коэфф.глубина</t>
  </si>
  <si>
    <t>Тип фасада</t>
  </si>
  <si>
    <t>Столешницы</t>
  </si>
  <si>
    <t>Название</t>
  </si>
  <si>
    <t>Производитель</t>
  </si>
  <si>
    <t>ARAGON STONE</t>
  </si>
  <si>
    <t>PATINA ROCK</t>
  </si>
  <si>
    <t>RAJA BLACK</t>
  </si>
  <si>
    <t>EMPIRE SLATE</t>
  </si>
  <si>
    <t>REMINGTON MINE</t>
  </si>
  <si>
    <t>RUSTY METAL</t>
  </si>
  <si>
    <t>GRANIC VEIN</t>
  </si>
  <si>
    <t>SMOKE GRANITE</t>
  </si>
  <si>
    <t>GRAY STUCCO</t>
  </si>
  <si>
    <t>SNOW STUCCO</t>
  </si>
  <si>
    <t>LIME ROCK</t>
  </si>
  <si>
    <t>VIOLA CHERRY</t>
  </si>
  <si>
    <t>RESOPAL (Германия)</t>
  </si>
  <si>
    <t>Макс.длина</t>
  </si>
  <si>
    <t>Макс Ширина</t>
  </si>
  <si>
    <t>SHABBY WHITE</t>
  </si>
  <si>
    <t>GRAY MARBLE</t>
  </si>
  <si>
    <t>JURASSIC ROCK</t>
  </si>
  <si>
    <t>SNOW CERAMICS</t>
  </si>
  <si>
    <t>МРАМОР ГРАФИТОВЫЙ</t>
  </si>
  <si>
    <t>ДУБ ФРАНЦУЗСКИЙ</t>
  </si>
  <si>
    <t>ЧЁРНЫЙ</t>
  </si>
  <si>
    <t>МРАМОР СЕРЕБРИСТЫЙ</t>
  </si>
  <si>
    <t>ГАЛИЯ</t>
  </si>
  <si>
    <t>СЕМОЛИНА КАРАМЕЛЬНАЯ</t>
  </si>
  <si>
    <t>SLOTEX (Россия)</t>
  </si>
  <si>
    <t>НЕАПОЛЬ</t>
  </si>
  <si>
    <t>600 х 1200</t>
  </si>
  <si>
    <t>600 х 2100</t>
  </si>
  <si>
    <t>600 х 3000</t>
  </si>
  <si>
    <t>600 х 4200</t>
  </si>
  <si>
    <t>Цвет столешницы</t>
  </si>
  <si>
    <t>Толщина столешницы</t>
  </si>
  <si>
    <t>Стоимость</t>
  </si>
  <si>
    <t>Наличие витрин</t>
  </si>
  <si>
    <t>*Стоимость чёрного профиля равна цене алюминиевого профиля с коэфф.</t>
  </si>
  <si>
    <t>Цвет</t>
  </si>
  <si>
    <t>Сортировка</t>
  </si>
  <si>
    <t>EVU1D</t>
  </si>
  <si>
    <t>Инфо о комплектации</t>
  </si>
  <si>
    <t>Все комплектации доступны</t>
  </si>
  <si>
    <t>Модуль недоступен в компл.№3 и 3T</t>
  </si>
  <si>
    <t>Модуль недоступен в компл. 3T</t>
  </si>
  <si>
    <t>Модуль не доступен в комплектации №2 и №3T</t>
  </si>
  <si>
    <t>Тип модуля</t>
  </si>
  <si>
    <t>Tip-on</t>
  </si>
  <si>
    <t>Уровень модуля</t>
  </si>
  <si>
    <t>Полки по умолчанию</t>
  </si>
  <si>
    <t>ШИНШИЛЛА S.150</t>
  </si>
  <si>
    <t>СВЕТЛО-КОРИЧНЕВЫЙ S.302</t>
  </si>
  <si>
    <t>НАСЫЩЕННЫЙ БЕЛЫЙ S.300</t>
  </si>
  <si>
    <t>ЖЕМЧУЖНО-БЕЛЫЙ S.301</t>
  </si>
  <si>
    <t>* БЕСЦВЕТНОЕ ПРОЗРАЧНОЕ S.051</t>
  </si>
  <si>
    <t>* БЕЛЫЙ САТИНАТ S.100</t>
  </si>
  <si>
    <t>БРОНЗА ПРОЗРАЧНАЯ S.052</t>
  </si>
  <si>
    <t>ЗЕРКАЛО БЕСЦВЕТНОЕ S.500</t>
  </si>
  <si>
    <t>БРОНЗА САТИНАТ S.101</t>
  </si>
  <si>
    <t>МАРЛЕВКА S.155</t>
  </si>
  <si>
    <t>ОВЕС БЕСЦВЕТНОЕ S.104</t>
  </si>
  <si>
    <t>КАФЕДРАЛ S.153</t>
  </si>
  <si>
    <t>Декоративная решётка в витрину</t>
  </si>
  <si>
    <t>Цена</t>
  </si>
  <si>
    <t>Цвет стекла</t>
  </si>
  <si>
    <r>
      <t xml:space="preserve">Комплект углов (внутр.и внешн.) для горизонт. верхнего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</si>
  <si>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(2шт) для горизонт. верхн.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</si>
  <si>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 шт) для горизонт. средн.профиля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</si>
  <si>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суппортов (2 шт) для крепления профиля </t>
    </r>
    <r>
      <rPr>
        <b/>
        <sz val="12"/>
        <rFont val="Calibri"/>
        <family val="2"/>
        <charset val="204"/>
        <scheme val="minor"/>
      </rPr>
      <t>Gola,компл</t>
    </r>
  </si>
  <si>
    <t>Доступ к стеклянным полкам</t>
  </si>
  <si>
    <t>EPT1D_455</t>
  </si>
  <si>
    <t>EPT1D_595</t>
  </si>
  <si>
    <t>EWV1V_900</t>
  </si>
  <si>
    <t>ESVX1D_720</t>
  </si>
  <si>
    <t>ESVX1D_960</t>
  </si>
  <si>
    <t>Количество</t>
  </si>
  <si>
    <t>Комплект для ящика Hettich ATIRA Серый с реллингом, NL-470, H-176</t>
  </si>
  <si>
    <t>Комплект для ящика Hettich ATIRA Серый, NL-470, H-70</t>
  </si>
  <si>
    <t>Толкатель врезной сильная пружина (синий)</t>
  </si>
  <si>
    <t>Цена корпус + полки</t>
  </si>
  <si>
    <t>Базовый комплект</t>
  </si>
  <si>
    <t>ПОДИУМ</t>
  </si>
  <si>
    <t>МОЦАРТ КЛАССИК</t>
  </si>
  <si>
    <t>Фасад глухой, фасад под врезную ручку Grosseto    кв.м</t>
  </si>
  <si>
    <t>Ценовая группа</t>
  </si>
  <si>
    <t>АМАДЕУС</t>
  </si>
  <si>
    <t xml:space="preserve"> </t>
  </si>
  <si>
    <t>Тип покрытия</t>
  </si>
  <si>
    <t>Глянец</t>
  </si>
  <si>
    <t>Матовый</t>
  </si>
  <si>
    <t>Фасад витрина,   кв.м</t>
  </si>
  <si>
    <t>Бленда_Original</t>
  </si>
  <si>
    <t>Бленда_Acryline</t>
  </si>
  <si>
    <t>Цена Глухих</t>
  </si>
  <si>
    <t>МОЦАРТ</t>
  </si>
  <si>
    <t>Добавочная цена от комплектации</t>
  </si>
  <si>
    <t>Цвет стекла для витрины</t>
  </si>
  <si>
    <t>недоступны для решеток</t>
  </si>
  <si>
    <t>Доступны для решеток</t>
  </si>
  <si>
    <t>Цена стекла для витрины</t>
  </si>
  <si>
    <t>Полки Стекло</t>
  </si>
  <si>
    <t>Материал полок</t>
  </si>
  <si>
    <t>Площадь,м2</t>
  </si>
  <si>
    <t>Высота,мм</t>
  </si>
  <si>
    <t>Ширина,мм</t>
  </si>
  <si>
    <t>Наличие решеток</t>
  </si>
  <si>
    <t>КАМПО+</t>
  </si>
  <si>
    <t>Цена Витрин</t>
  </si>
  <si>
    <t>Ручки</t>
  </si>
  <si>
    <t>Название ручки / Артикул ручки</t>
  </si>
  <si>
    <r>
      <t xml:space="preserve">BAVRUS </t>
    </r>
    <r>
      <rPr>
        <sz val="14"/>
        <rFont val="Calibri"/>
        <family val="2"/>
        <charset val="204"/>
      </rPr>
      <t>RK041.064.59</t>
    </r>
  </si>
  <si>
    <t>накладная</t>
  </si>
  <si>
    <t>ПОДИУМ +</t>
  </si>
  <si>
    <r>
      <t xml:space="preserve">NEOCLASSICO </t>
    </r>
    <r>
      <rPr>
        <sz val="14"/>
        <rFont val="Calibri"/>
        <family val="2"/>
        <charset val="204"/>
      </rPr>
      <t>RK001.000.01</t>
    </r>
  </si>
  <si>
    <r>
      <t xml:space="preserve">NEOCLASSICO </t>
    </r>
    <r>
      <rPr>
        <sz val="14"/>
        <rFont val="Calibri"/>
        <family val="2"/>
        <charset val="204"/>
      </rPr>
      <t>RK001.000.03</t>
    </r>
  </si>
  <si>
    <r>
      <t xml:space="preserve">RADICI </t>
    </r>
    <r>
      <rPr>
        <sz val="14"/>
        <rFont val="Calibri"/>
        <family val="2"/>
        <charset val="204"/>
      </rPr>
      <t>RK006.000.09</t>
    </r>
  </si>
  <si>
    <t>кнопка</t>
  </si>
  <si>
    <r>
      <t xml:space="preserve">ELEGANTE </t>
    </r>
    <r>
      <rPr>
        <sz val="14"/>
        <rFont val="Calibri"/>
        <family val="2"/>
        <charset val="204"/>
      </rPr>
      <t>RK 031.128.41</t>
    </r>
  </si>
  <si>
    <t>скоба</t>
  </si>
  <si>
    <t>профильная</t>
  </si>
  <si>
    <t>КЛАССИКА 1</t>
  </si>
  <si>
    <t>КЛАССИКА 2</t>
  </si>
  <si>
    <t>КЛАССИКА 3</t>
  </si>
  <si>
    <t>МОДЕРН 1</t>
  </si>
  <si>
    <t>раковина</t>
  </si>
  <si>
    <t>врезная</t>
  </si>
  <si>
    <t>МОДЕРН 2</t>
  </si>
  <si>
    <t>МОДЕРН 3</t>
  </si>
  <si>
    <t>рейлинг</t>
  </si>
  <si>
    <t>RADICI RK006.000.07</t>
  </si>
  <si>
    <t>RUSTICO RK007.000.03</t>
  </si>
  <si>
    <t>COUNTRY RK008.000.08</t>
  </si>
  <si>
    <t>PROVENZA RK015.000.33</t>
  </si>
  <si>
    <t>VENEZIA RK021.096.70</t>
  </si>
  <si>
    <t>MAROCCO RK023.000.72</t>
  </si>
  <si>
    <r>
      <rPr>
        <sz val="14"/>
        <rFont val="Calibri"/>
        <family val="2"/>
        <charset val="204"/>
      </rPr>
      <t>FERMO RK 032.128.42</t>
    </r>
  </si>
  <si>
    <r>
      <rPr>
        <sz val="14"/>
        <rFont val="Calibri"/>
        <family val="2"/>
        <charset val="204"/>
      </rPr>
      <t>TORRE RK 033.128.43</t>
    </r>
  </si>
  <si>
    <r>
      <rPr>
        <sz val="14"/>
        <rFont val="Calibri"/>
        <family val="2"/>
        <charset val="204"/>
      </rPr>
      <t>LUIGI RK013.000.31</t>
    </r>
  </si>
  <si>
    <t>VIENNA RK001.06.01</t>
  </si>
  <si>
    <t>VIENNA RK002.05.02</t>
  </si>
  <si>
    <t>VIENNA RK003.05.02</t>
  </si>
  <si>
    <t>VIENNA RK003.05.03</t>
  </si>
  <si>
    <t>VIENNA RK004.05.04</t>
  </si>
  <si>
    <t>VIENNA RK004.05.05</t>
  </si>
  <si>
    <t>UNIVERSAL RK 034.096.44</t>
  </si>
  <si>
    <r>
      <t>UNIVERSAL RK 034.096.45</t>
    </r>
    <r>
      <rPr>
        <sz val="11"/>
        <color indexed="8"/>
        <rFont val="Calibri"/>
        <family val="2"/>
        <charset val="204"/>
      </rPr>
      <t/>
    </r>
  </si>
  <si>
    <r>
      <t>UNIVERSAL RK 034.096.46</t>
    </r>
    <r>
      <rPr>
        <sz val="11"/>
        <color indexed="8"/>
        <rFont val="Calibri"/>
        <family val="2"/>
        <charset val="204"/>
      </rPr>
      <t/>
    </r>
  </si>
  <si>
    <t>NEOCLASSICO RK001.000.02</t>
  </si>
  <si>
    <t>UFFICIO RK002.096.01</t>
  </si>
  <si>
    <t>RADICI RK006.128.07</t>
  </si>
  <si>
    <t>RUSTICO RK007.096.03</t>
  </si>
  <si>
    <t>CREMONA RK035.128.31</t>
  </si>
  <si>
    <t>PROVENZA RK014.000.32</t>
  </si>
  <si>
    <t>CLASSICO RK012.000.30</t>
  </si>
  <si>
    <t>FERRARA RK020.096.61</t>
  </si>
  <si>
    <t>MAROCCO RK023.128.72</t>
  </si>
  <si>
    <t>CREMONA RK035.128.64</t>
  </si>
  <si>
    <t>TORINO RK044.128.60</t>
  </si>
  <si>
    <t>NEOCLASSICO RK001.128.03</t>
  </si>
  <si>
    <t>VIAGGIO RK005.096.06</t>
  </si>
  <si>
    <t>RADICI RK006.128.09</t>
  </si>
  <si>
    <t>COUNTRY RK008.096.08</t>
  </si>
  <si>
    <t>PROVENZA RK015.128.33</t>
  </si>
  <si>
    <t>CLASSICO RK012.096.30</t>
  </si>
  <si>
    <t>LUIGI RK013.096.31</t>
  </si>
  <si>
    <t>PROVENZA RK014.128.32</t>
  </si>
  <si>
    <t>FORMULA RK022.192.71</t>
  </si>
  <si>
    <t>GROSSETO RK038.128.48</t>
  </si>
  <si>
    <t>BILD RK018.160.51</t>
  </si>
  <si>
    <t>GROSSETO RK037.128.447</t>
  </si>
  <si>
    <t>MODERNO RK016.128.50</t>
  </si>
  <si>
    <t>MODERNO RK016.192.50</t>
  </si>
  <si>
    <t>MODERNO RK016.256.50</t>
  </si>
  <si>
    <t>OASI RK004.160.05</t>
  </si>
  <si>
    <t>OASI RK004.160.10</t>
  </si>
  <si>
    <t>ESTETICA RK017.160.51</t>
  </si>
  <si>
    <t>ESTETICA RK017.224.51</t>
  </si>
  <si>
    <t>LINEA RK009.256.04</t>
  </si>
  <si>
    <t>CLIP RK 019.160.11</t>
  </si>
  <si>
    <t>NEOCLASSICO</t>
  </si>
  <si>
    <t>BAVRUS</t>
  </si>
  <si>
    <t>Планка для столешницы металл.торцевая с закр.торцом, 600*40 мм</t>
  </si>
  <si>
    <t>Планка для столешницы металл.Т-образная с откр.торцом, 600*40 мм</t>
  </si>
  <si>
    <t>Планка для столешницы металл.соединит.угловая с закр.торцом, 600*40 мм</t>
  </si>
  <si>
    <t>Профиль для стеновой панели соединит.прямой стык, 600*10 мм</t>
  </si>
  <si>
    <t>Профиль для стеновой панели соединит.внутренний угол, 600*10 мм</t>
  </si>
  <si>
    <t>Профиль для стеновой панели соединит.внешний угол, 600*10 мм</t>
  </si>
  <si>
    <t>Стяжка рабочих плит Maxifix 35 B32-41 мм</t>
  </si>
  <si>
    <t>Стеновая панель из стекла 900*600</t>
  </si>
  <si>
    <t>Пристенные бортики (производство Германия, Resopal)</t>
  </si>
  <si>
    <t>Комплект заглушек к пристенным бортикам</t>
  </si>
  <si>
    <t>Уплотнитель для столешниц 3050 мм, цвет транспарент</t>
  </si>
  <si>
    <t>Балюстрада (код 723), шт.</t>
  </si>
  <si>
    <t>Декоративная пилястра (код 603), пог.м</t>
  </si>
  <si>
    <t>Карниз нижний R240E,R255E, шт.</t>
  </si>
  <si>
    <t>Цоколь R240E, шт.</t>
  </si>
  <si>
    <t>Инфо</t>
  </si>
  <si>
    <t>Название товара</t>
  </si>
  <si>
    <t>Балюстрада</t>
  </si>
  <si>
    <t>Декоративная пилястра</t>
  </si>
  <si>
    <t>Карниз</t>
  </si>
  <si>
    <t>ширина 50, 75* Толщина 22</t>
  </si>
  <si>
    <t>Ширина * Глубина * Толщина 410*410 (430*430)*63</t>
  </si>
  <si>
    <t>Ширина * Глубина * Толщина 410*410 (430*430)*42</t>
  </si>
  <si>
    <t>Длина*Высота*Толщина 421 (443)*55*18</t>
  </si>
  <si>
    <t>Длина*Высота*Толщина 421*100 (120) (150)*18</t>
  </si>
  <si>
    <t>Высота*Ширина*Толщина 1410*70*16</t>
  </si>
  <si>
    <t>Длина*Ширина*Толщина 2400 (2550)*80*16</t>
  </si>
  <si>
    <t>Длина*Ширина*Толщина  2400 (2550)*100*22</t>
  </si>
  <si>
    <t>Длина*Ширина*Толщина  2400 (2550)*55*16</t>
  </si>
  <si>
    <t>Цоколь радиусный</t>
  </si>
  <si>
    <t>Погонаж_Original_Select</t>
  </si>
  <si>
    <t>Ценовые_категории_ручек</t>
  </si>
  <si>
    <t>Цены_по_категориям_Acryline</t>
  </si>
  <si>
    <t>Цена за  кв.м</t>
  </si>
  <si>
    <t>Глухой фасад с врезной ручкой Rosberg</t>
  </si>
  <si>
    <t>Глухой фасад под врезную ручку Grosetto</t>
  </si>
  <si>
    <t>Глухой фасад в алюминиевом профиле 810</t>
  </si>
  <si>
    <t>Глухой фасад Модерн</t>
  </si>
  <si>
    <t>Цены_Softline_Marine</t>
  </si>
  <si>
    <t>Цвета_Softline_Marine</t>
  </si>
  <si>
    <t>Цвета</t>
  </si>
  <si>
    <t>БЕЛЫЙ БАЗОВЫЙ SL34</t>
  </si>
  <si>
    <t>ДУБ КЕНДАЛ НАТУРАЛЬНЫЙ SL35</t>
  </si>
  <si>
    <t>ДУБ КЕНДАЛ КОНЬЯК SL36</t>
  </si>
  <si>
    <t>ДУБ СОЛСБЕРИ SL37</t>
  </si>
  <si>
    <t>СВЕТЛО-СЕРЫЙ SL38</t>
  </si>
  <si>
    <t>ОНИКС СЕРЫЙ SL39</t>
  </si>
  <si>
    <t>МАРЕНГО SL40</t>
  </si>
  <si>
    <t>МУССОН SL41</t>
  </si>
  <si>
    <t>БЕТОН ЧИКАГО SL42</t>
  </si>
  <si>
    <t>БЕЛЫЙ ПРЕМИУМ SL43</t>
  </si>
  <si>
    <t>СЕРАЯ ГАЛЬКА SL44</t>
  </si>
  <si>
    <t>Softline Marine</t>
  </si>
  <si>
    <t>RADICI</t>
  </si>
  <si>
    <t>RUSTICO</t>
  </si>
  <si>
    <t>COUNTRY</t>
  </si>
  <si>
    <t>PROVENZA</t>
  </si>
  <si>
    <t>VENEZIA</t>
  </si>
  <si>
    <t>MAROCCO</t>
  </si>
  <si>
    <t>ELEGANTE</t>
  </si>
  <si>
    <t>FERMO</t>
  </si>
  <si>
    <t>TORRE</t>
  </si>
  <si>
    <t>LUIGI</t>
  </si>
  <si>
    <t>VIENNA</t>
  </si>
  <si>
    <t>UNIVERSAL</t>
  </si>
  <si>
    <t>UFFICIO</t>
  </si>
  <si>
    <t>CREMONA</t>
  </si>
  <si>
    <t>CLASSICO</t>
  </si>
  <si>
    <t>FERRARA</t>
  </si>
  <si>
    <t>TORINO</t>
  </si>
  <si>
    <t>VIAGGIO</t>
  </si>
  <si>
    <t>FORMULA</t>
  </si>
  <si>
    <t>GROSSETO</t>
  </si>
  <si>
    <t>BILD</t>
  </si>
  <si>
    <t>MODERNO</t>
  </si>
  <si>
    <t>OASI</t>
  </si>
  <si>
    <t>ESTETICA</t>
  </si>
  <si>
    <t>LINEA</t>
  </si>
  <si>
    <t>CLIP</t>
  </si>
  <si>
    <t>Бленда_Softline Marine</t>
  </si>
  <si>
    <t>Gola</t>
  </si>
  <si>
    <t>Base</t>
  </si>
  <si>
    <t>Furn_for_stol</t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</si>
  <si>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 xml:space="preserve"> горизонтальный средний, 4200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</si>
  <si>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8012</t>
    </r>
    <r>
      <rPr>
        <sz val="12"/>
        <rFont val="Calibri"/>
        <family val="2"/>
        <charset val="204"/>
        <scheme val="minor"/>
      </rPr>
      <t xml:space="preserve"> вертикальный центральный 16 мм, 4700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</si>
  <si>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8018</t>
    </r>
    <r>
      <rPr>
        <sz val="12"/>
        <rFont val="Calibri"/>
        <family val="2"/>
        <charset val="204"/>
        <scheme val="minor"/>
      </rPr>
      <t xml:space="preserve"> вертикальный боковой 16 мм, 4500 мм,шт</t>
    </r>
  </si>
  <si>
    <t>Профиль Gola 8006 горизонтальный верхний, 4200 мм,шт.</t>
  </si>
  <si>
    <t>Толкатель врезной слабая пружина (зеленый)</t>
  </si>
  <si>
    <t>Базовая цена цветной корпус</t>
  </si>
  <si>
    <t>Тип изделия</t>
  </si>
  <si>
    <t>Min Высота</t>
  </si>
  <si>
    <t>Min Ширина</t>
  </si>
  <si>
    <t>МАГНУМ*</t>
  </si>
  <si>
    <t>Max  Высота</t>
  </si>
  <si>
    <t>Разница</t>
  </si>
  <si>
    <t>Цена БЗ</t>
  </si>
  <si>
    <t>Соединенное название</t>
  </si>
  <si>
    <t>ДЛЯ ПЕНАЛА EP3B1D И EP2B1D</t>
  </si>
  <si>
    <t>Тип фрезеровки</t>
  </si>
  <si>
    <t>Скидка на фрезеровку</t>
  </si>
  <si>
    <t>Скидка для фрезеровки</t>
  </si>
  <si>
    <t>№3 – Без доводчиков</t>
  </si>
  <si>
    <t>№3T – Открывание по нажатию</t>
  </si>
  <si>
    <t>Корзина выдв.посудосуш.600 мм + напр. L450 Hettich (ХРОМ)</t>
  </si>
  <si>
    <t>КФ НСТ19</t>
  </si>
  <si>
    <t>EPTP1D_595</t>
  </si>
  <si>
    <t>EMN1W1B</t>
  </si>
  <si>
    <t>Цена за м3</t>
  </si>
  <si>
    <t>237 Арктик матовый</t>
  </si>
  <si>
    <t>Кол-во фасадов</t>
  </si>
  <si>
    <t>Кол-во фасадов в модуле</t>
  </si>
  <si>
    <t>ENO Открытый+Полки+Нижний</t>
  </si>
  <si>
    <t>EMN1D 1 дверь+Полки+Нижний</t>
  </si>
  <si>
    <t>EMN2D 2 двери+Полки+Нижний</t>
  </si>
  <si>
    <t>EMN1K_150 1 дверь+Корзина_150</t>
  </si>
  <si>
    <t>EMN1K_450 1 дверь+Корзина_450</t>
  </si>
  <si>
    <t>EWN1D 1 дверь+Мойка</t>
  </si>
  <si>
    <t>EWN2D 2 двери+Мойка</t>
  </si>
  <si>
    <t>EUN1D 1 дверь+Бленда+Полки+Угловой_отступ_250</t>
  </si>
  <si>
    <t>EUN1D_150 1 дверь+Бленда+Полки+Угловой_отступ_150</t>
  </si>
  <si>
    <t>EWU1D 1 дверь+Бленда+Мойка+Угловой_отступ_250</t>
  </si>
  <si>
    <t>EWU1D_150 1 дверь+Бленда+Мойка+Угловой_отступ_150</t>
  </si>
  <si>
    <t>EMN1B1D 1 дверь+1 Ящик+Полки</t>
  </si>
  <si>
    <t>EMN1B2D 2 двери+1 Ящик+Полки</t>
  </si>
  <si>
    <t>EMN4B 4 Ящика</t>
  </si>
  <si>
    <t>EMN3B 3 Ящика</t>
  </si>
  <si>
    <t>EMN2B 2 Ящика</t>
  </si>
  <si>
    <t>EMN1W1B 2 Ящика + Сушилка</t>
  </si>
  <si>
    <t>ETN1B 1 ящик+Духовка</t>
  </si>
  <si>
    <t>ESNX1D 1 дверь+Скошенный+Торцевой+Полки</t>
  </si>
  <si>
    <t>ERN Открытый+Радиус+Торцевой+Полки</t>
  </si>
  <si>
    <t>ERN1D 1 дверь+Радиус+Торцевой+Полки</t>
  </si>
  <si>
    <t>ENG1D Gola+1 дверь</t>
  </si>
  <si>
    <t>ENG2D Gola+2 двери</t>
  </si>
  <si>
    <t>ENG2B Gola+2 Ящика</t>
  </si>
  <si>
    <t>ENG3B Gola+3 Ящика</t>
  </si>
  <si>
    <t>ENG1K_150 Gola+Корзина_150</t>
  </si>
  <si>
    <t>ENG1K_450 Gola+Корзина_450</t>
  </si>
  <si>
    <t>EWG1D Gola+1 дверь+Мойка</t>
  </si>
  <si>
    <t>EWG2D Gola+2 двери+Мойка</t>
  </si>
  <si>
    <t>EUG1D Gola+1 дверь+Бленда+Полки+Угловой_Отступ_250+Низ</t>
  </si>
  <si>
    <t>EUG1D_150 Gola+1 дверь+Бленда+Полки+Угловой_Отступ_150+Низ</t>
  </si>
  <si>
    <t>EVO Открытый+Полки+Верхний</t>
  </si>
  <si>
    <t>EMV1D 1 дверь+Полки+Верхний</t>
  </si>
  <si>
    <t>EMV1DN 1 дверь+Микроволновая печь</t>
  </si>
  <si>
    <t>EMV1V 1 фасад+Подъемник поворотный_h_360</t>
  </si>
  <si>
    <t>EMV1VN 1 дверь+Подъемник поворотный+Микроволновая печь</t>
  </si>
  <si>
    <t>EMV2D 2 двери+Полки+Верхний</t>
  </si>
  <si>
    <t>EMV2V 2 фасада+Подъемник складной</t>
  </si>
  <si>
    <t>EVU1D 1 дверь+Бленда+Полки+Угловой</t>
  </si>
  <si>
    <t>EHV1D 1 дверь+Вытяжка</t>
  </si>
  <si>
    <t>EHV2D 2 двери+Вытяжка</t>
  </si>
  <si>
    <t>EDV1D 1 дверь+Диагональный+Полки</t>
  </si>
  <si>
    <t>EWV1D_450 1 дверь+Сушилка_450</t>
  </si>
  <si>
    <t>EWV1D_600 1 дверь+Сушилка_600</t>
  </si>
  <si>
    <t>EWV2D_600 2 двери+Сушилка_600</t>
  </si>
  <si>
    <t>EWV2D_800 2 двери+Сушилка_800</t>
  </si>
  <si>
    <t>EWV2D_900 2 двери+Сушилка_900</t>
  </si>
  <si>
    <t>EWV2V_450 2 фасада+Подъемник складной+Сушилка_450</t>
  </si>
  <si>
    <t>EWV1V_450 1 фасад+Подъемник поворотный+Сушилка_450</t>
  </si>
  <si>
    <t>EWV1V_600 1 фасад+Подъемник поворотный+Сушилка_600</t>
  </si>
  <si>
    <t>EWV1V_900 1 фасад+Подъемник поворотный+Сушилка_900</t>
  </si>
  <si>
    <t>ERV1D 1 дверь+Радиус+Торцевой+1 Полка+Верхний</t>
  </si>
  <si>
    <t>EVG1D Gola+1 дверь+Полки</t>
  </si>
  <si>
    <t>EVG2D Gola+2 двери+Полки</t>
  </si>
  <si>
    <t>EVG2V Gola+Складной подъемник</t>
  </si>
  <si>
    <t>ESVX1D 1 дверь+Скошенный+Полки h=720</t>
  </si>
  <si>
    <t>EP1D 1 дверь+ Полки + Пенал</t>
  </si>
  <si>
    <t>EPG1D Gola+1 дверь+Полки+Пенал</t>
  </si>
  <si>
    <t>EPT1D_455 1 дверь+1 Ниша под технику_455+Полки</t>
  </si>
  <si>
    <t>EPT1D_595 1 дверь+1 Ниша под технику_595+Полки</t>
  </si>
  <si>
    <t>EPT1B 1 ящик+1 Ниша под технику_380</t>
  </si>
  <si>
    <t>EP2D 2 двери+Полки + Пенал</t>
  </si>
  <si>
    <t>EPG2D_EPG2DM Gola+2 двери+Полки+Пенал</t>
  </si>
  <si>
    <t>EPS2D 2 двери+ Холодильник</t>
  </si>
  <si>
    <t>EPSG2D Gola+2 двери+Холодильник</t>
  </si>
  <si>
    <t>EP3B1D 1 дверь+3 Ящика</t>
  </si>
  <si>
    <t>EP2B1D 1 дверь+2 Ящика</t>
  </si>
  <si>
    <t>EPTG2D_455 Gola+2 двери +1 Ниша под технику_455</t>
  </si>
  <si>
    <t>EPTG2D_595 Gola+2 двери +1 Ниша под технику_595</t>
  </si>
  <si>
    <t>EPTP1D_595 1 подъемник+1 дверь+2 Ниши под технику_382_595</t>
  </si>
  <si>
    <t>EPSP2D 1 подъемник+2 двери+Холодильник</t>
  </si>
  <si>
    <t>ALT1UV ЧЁРНЫЙ</t>
  </si>
  <si>
    <t>ALT1MUV ЧЁРНЫЙ МАТОВЫЙ</t>
  </si>
  <si>
    <t>ALT2 КРАСНЫЙ</t>
  </si>
  <si>
    <t>ALT3UV БЕЛЫЙ</t>
  </si>
  <si>
    <t>ALT5 КАПУЧИНО</t>
  </si>
  <si>
    <t>ALT5UV КАПУЧИНО</t>
  </si>
  <si>
    <t>ALT9 АНТРАЦИТ МЕТАЛЛИК</t>
  </si>
  <si>
    <t>AL12 БАКЛАЖАН</t>
  </si>
  <si>
    <t>ALT12UV БАКЛАЖАН</t>
  </si>
  <si>
    <t>AL14 ЖАСМИН</t>
  </si>
  <si>
    <t>ALT14UV ЖАСМИН</t>
  </si>
  <si>
    <t>ALT26UV ЛИМОН</t>
  </si>
  <si>
    <t>ALT28UV БЕЛЫЙ СНЕЖНЫЙ</t>
  </si>
  <si>
    <t>ALT36UV МОРОЗНАЯ ЧЕРНИКА</t>
  </si>
  <si>
    <t>ALT39МUVAF ТАУП МАТОВЫЙ</t>
  </si>
  <si>
    <t>ALT40UV ГОЛУБОЙ МЕТАЛЛИК</t>
  </si>
  <si>
    <t>ALD41МUVAF ГРАФИТ МАТОВЫЙ</t>
  </si>
  <si>
    <t>ALT42МUVAF КАДЕТ МАТОВЫЙ</t>
  </si>
  <si>
    <t>ALT43МUVAF САПФИР МАТОВЫЙ</t>
  </si>
  <si>
    <t>ALD44МUVAF МЕЙСОН МАТОВЫЙ</t>
  </si>
  <si>
    <t>ALD45МUVAF КАШЕМИР МАТОВЫЙ</t>
  </si>
  <si>
    <t>ALD46МUVAF ТЕРРАКОТ МАТОВЫЙ</t>
  </si>
  <si>
    <t>ALD47МUVAF ЭНИГМА МАТОВЫЙ</t>
  </si>
  <si>
    <t>Цена в БЗ</t>
  </si>
  <si>
    <t>разница</t>
  </si>
  <si>
    <t>Столбец1</t>
  </si>
  <si>
    <t>Max Ширина</t>
  </si>
  <si>
    <t>Итог</t>
  </si>
  <si>
    <t>EZ1F 1 фасад+Колонна + Нижний</t>
  </si>
  <si>
    <t>EZ1F 1 фасад+Колонна нижний</t>
  </si>
  <si>
    <t>Карниз верхний N2, шт.</t>
  </si>
  <si>
    <t>Карниз верхний N1, R240E, 255E, шт.</t>
  </si>
  <si>
    <t>Карниз верхний N2, R240E, 255E, шт.</t>
  </si>
  <si>
    <t>Карниз нижний N2, шт.</t>
  </si>
  <si>
    <t>Карниз верхний N1+, N3, шт.</t>
  </si>
  <si>
    <t>Комплектация для вывода на экран</t>
  </si>
  <si>
    <t>EVUG1D</t>
  </si>
  <si>
    <t>EVUG1D Gola+1 дверь+Бленда+Полки+Угловой</t>
  </si>
  <si>
    <t>Продукция</t>
  </si>
  <si>
    <t>TextBoxSkidkaKorp</t>
  </si>
  <si>
    <t>TextBoxSkidkaFas</t>
  </si>
  <si>
    <t>TextBoxSkidkaStol</t>
  </si>
  <si>
    <t>TextBoxSkidkaHandles</t>
  </si>
  <si>
    <t>TextBoxNacenka</t>
  </si>
  <si>
    <t>Цена пленки</t>
  </si>
  <si>
    <t>Высота стандарт</t>
  </si>
  <si>
    <t>Ширина стандарт</t>
  </si>
  <si>
    <t>EMV1DL</t>
  </si>
  <si>
    <t>EMV2DL</t>
  </si>
  <si>
    <t>EHV1D_312</t>
  </si>
  <si>
    <t>EHV2D_312</t>
  </si>
  <si>
    <t>EPN2D_380_1510</t>
  </si>
  <si>
    <t>EPN1B1D_380_1510</t>
  </si>
  <si>
    <t>Комплектация 3Т</t>
  </si>
  <si>
    <t>Модули требующие изменений</t>
  </si>
  <si>
    <t>Модули, которых еще не было</t>
  </si>
  <si>
    <t>Ал.витрина</t>
  </si>
  <si>
    <t>EMV1DL 1 дверь + ал.витрина+ подсветка</t>
  </si>
  <si>
    <t>EMV2DL 2 двери + ал.витрина+ подсветка</t>
  </si>
  <si>
    <t>EHV2D_312 2 двери + Вытяжка + настр.ниша</t>
  </si>
  <si>
    <t>EHV1D_312 1 дверь + Вытяжка + настр.ниша</t>
  </si>
  <si>
    <t>Еще одна комплектация №1</t>
  </si>
  <si>
    <t>Комплектация №1</t>
  </si>
  <si>
    <t>Комплектация №1T</t>
  </si>
  <si>
    <t>Не заполнять</t>
  </si>
  <si>
    <t>Период</t>
  </si>
  <si>
    <t>Регистратор</t>
  </si>
  <si>
    <t>Номер строки</t>
  </si>
  <si>
    <t>Контрагент</t>
  </si>
  <si>
    <t>Входящие параметры</t>
  </si>
  <si>
    <t>Ограничивающие параметры</t>
  </si>
  <si>
    <t>Коэффициент</t>
  </si>
  <si>
    <t>Добавка</t>
  </si>
  <si>
    <t>Способ расчета цены</t>
  </si>
  <si>
    <t>Формула расчета</t>
  </si>
  <si>
    <t>Не учитывать нестандарт</t>
  </si>
  <si>
    <t>Не учитывать скидку</t>
  </si>
  <si>
    <t>Индивидуальный объемный коэффициент</t>
  </si>
  <si>
    <t>Кратность</t>
  </si>
  <si>
    <t>23.05.2025</t>
  </si>
  <si>
    <t>Заявка на разработку изделия 000026353 от 23.05.2025 9:18:38</t>
  </si>
  <si>
    <t>JP053</t>
  </si>
  <si>
    <t>EAST 3 гр.пленок глух/витр. 16 мм 565</t>
  </si>
  <si>
    <t>За м2</t>
  </si>
  <si>
    <t>EAST 3 гр.пленок решетка 16 мм 565</t>
  </si>
  <si>
    <t>EAST 1 гр.пленок глух/витр. 16 мм</t>
  </si>
  <si>
    <t>EAST 1 гр.пленок решетка 16 мм</t>
  </si>
  <si>
    <t>EAST 2 гр.пленок глух/витр. 16 мм 566</t>
  </si>
  <si>
    <t>EAST 2 гр.пленок решетка 16 мм 566</t>
  </si>
  <si>
    <t>WEST 1 гр.пленок глух/витр. 16 мм</t>
  </si>
  <si>
    <t>WEST 1 гр.пленок решетка 16 мм</t>
  </si>
  <si>
    <t>WEST 2 гр.пленок глух/витр. 16 мм +237</t>
  </si>
  <si>
    <t>WEST 2 гр.пленок решетка 16 мм +237</t>
  </si>
  <si>
    <t>WEST 3 гр.пленок глух/витр. 16 мм</t>
  </si>
  <si>
    <t>WEST 3 гр.пленок решетка 16 мм</t>
  </si>
  <si>
    <t>WEST 4 гр.пленок глух/витр. 16 мм</t>
  </si>
  <si>
    <t>WEST 4 гр.пленок решетка 16 мм</t>
  </si>
  <si>
    <t>EAST 1 гр.пленок глух/витр. 18_19 мм</t>
  </si>
  <si>
    <t>EAST 1 гр.пленок решетка 19 мм</t>
  </si>
  <si>
    <t>EAST 2 гр.пленок глух/витр. 18_19 мм 566</t>
  </si>
  <si>
    <t>EAST 2 гр.пленок решетка 19 мм 566</t>
  </si>
  <si>
    <t>EAST 3 гр.пленок глух/витр. 18_19 мм 565</t>
  </si>
  <si>
    <t>EAST 3 гр.пленок решетка 19 мм 565</t>
  </si>
  <si>
    <t>WEST 1 гр.пленок глух/витр. 18_19 мм</t>
  </si>
  <si>
    <t>WEST 1 гр.пленок решетка 19 мм</t>
  </si>
  <si>
    <t>WEST 2 гр.пленок глух/витр. 18_19 мм +237</t>
  </si>
  <si>
    <t>WEST 2 гр.пленок решетка 19 мм +237</t>
  </si>
  <si>
    <t>WEST 3 гр.пленок глух/витр. 18_19 мм</t>
  </si>
  <si>
    <t>WEST 3 гр.пленок решетка 19 мм</t>
  </si>
  <si>
    <t>WEST 4 гр.пленок глух/витр. 18_19 мм</t>
  </si>
  <si>
    <t>WEST 4 гр.пленок решетка 19 мм</t>
  </si>
  <si>
    <t>WEST 3 гр.пленок глух/витр. 22 мм 28.03.22</t>
  </si>
  <si>
    <t>ЕВРОДИЗАЙН</t>
  </si>
  <si>
    <t>EAST 3 гр.пленок глух/витр. 16 мм 28.03.22 (Для Евродизайн)</t>
  </si>
  <si>
    <t>28.05.2025</t>
  </si>
  <si>
    <t>Заявка на разработку изделия 000026356 от 28.05.2025 8:43:02</t>
  </si>
  <si>
    <t>EP2D(DZS)</t>
  </si>
  <si>
    <t>материал исполнения</t>
  </si>
  <si>
    <t>Равно коэффициенту</t>
  </si>
  <si>
    <t>K+K*0.008*Окр((H-2.04)/0.01,0)+K*0.0065*Окр((W-0.6)/0.01,0) +?((G-0.56)&gt;0,K*0.03*Окр((G-0.56)/0.01,0),0)</t>
  </si>
  <si>
    <t>Заявка на разработку изделия 000026357 от 28.05.2025 10:34:41</t>
  </si>
  <si>
    <t>EP2D(DZT)</t>
  </si>
  <si>
    <t>29.05.2025</t>
  </si>
  <si>
    <t>Заявка на разработку изделия 000026358 от 29.05.2025 12:05:11</t>
  </si>
  <si>
    <t>JO796</t>
  </si>
  <si>
    <t>11.06.2025</t>
  </si>
  <si>
    <t>Заявка на разработку изделия 000026362 от 11.06.2025 10:39:20</t>
  </si>
  <si>
    <t>EHV1D_312(DZV)</t>
  </si>
  <si>
    <t>K+K*0.0095*Окр((H-0.72)/0.01,0)+K*0.0065*Окр((W-0.5)/0.01,0) +?((G-0.315)&gt;0,K*0.03*Окр((G-0.315)/0.01,0),0)</t>
  </si>
  <si>
    <t>материал исполнения premium</t>
  </si>
  <si>
    <t>По формуле и входящие параметры</t>
  </si>
  <si>
    <t>Заявка на разработку изделия 000026363 от 11.06.2025 11:22:15</t>
  </si>
  <si>
    <t>EVG1D(DZU)</t>
  </si>
  <si>
    <t>K+K*0.008*Окр((H-0.72)/0.01,0)+K*0.0065*Окр((W-0.3)/0.01,0) +?((G-0.315)&gt;0,K*0.03*Окр((G-0.315)/0.01,0),0)</t>
  </si>
  <si>
    <t>16.06.2025</t>
  </si>
  <si>
    <t>Заявка на разработку изделия 000026438 от 16.06.2025 0:00:00</t>
  </si>
  <si>
    <t>Полка отдельностоящая_S</t>
  </si>
  <si>
    <t>полка из ДСП белая и бежевая</t>
  </si>
  <si>
    <t>Заявка на разработку изделия 000026364 от 16.06.2025 0:00:00</t>
  </si>
  <si>
    <t>K+K*0.0095*Окр((H-0.72)/0.01,0)+K*0.0065*Окр((W-0.3)/0.01,0) +?((G-0.56)&gt;0,K*0.03*Окр((G-0.56)/0.01,0),0)</t>
  </si>
  <si>
    <t>Заявка на разработку изделия 000026365 от 16.06.2025 0:00:00</t>
  </si>
  <si>
    <t>K+K*0.008*Окр((H-0.72)/0.01,0)+K*0.0065*Окр((W-0.3)/0.01,0) +?((G-0.56)&gt;0,K*0.03*Окр((G-0.56)/0.01,0),0)</t>
  </si>
  <si>
    <t>Заявка на разработку изделия 000026366 от 16.06.2025 0:00:00</t>
  </si>
  <si>
    <t>Заявка на разработку изделия 000026368 от 16.06.2025 0:00:00</t>
  </si>
  <si>
    <t>K+K*0.008*Окр((H-0.72)/0.01,0)+K*0.0065*Окр((W-0.45)/0.01,0) +?((G-0.56)&gt;0,K*0.03*Окр((G-0.56)/0.01,0),0)</t>
  </si>
  <si>
    <t>Заявка на разработку изделия 000026369 от 16.06.2025 0:00:00</t>
  </si>
  <si>
    <t>K+K*0.0065*Окр((H-0.72)/0.01,0)+K*0.0065*Окр((W-0.45)/0.01,0) +?((G-0.56)&gt;0,K*0.03*Окр((G-0.56)/0.01,0),0)</t>
  </si>
  <si>
    <t>Заявка на разработку изделия 000026370 от 16.06.2025 0:00:00</t>
  </si>
  <si>
    <t>K+K*0.008*Окр((H-0.72)/0.01,0)+K*0.0065*Окр((W-0.75)/0.01,0) +?((G-0.560)&gt;0,K*0.03*Окр((G-0.560)/0.01,0),0)</t>
  </si>
  <si>
    <t>Заявка на разработку изделия 000026372 от 16.06.2025 0:00:00</t>
  </si>
  <si>
    <t>K+K*0.008*Окр((H-0.72)/0.01,0)+K*0.0065*Окр((W-0.75)/0.01,0)</t>
  </si>
  <si>
    <t>Заявка на разработку изделия 000026374 от 16.06.2025 0:00:00</t>
  </si>
  <si>
    <t>K+K*0.008*Окр((H-0.72)/0.01,0)+K*0.0065*Окр((W-0.3)/0.01,0)</t>
  </si>
  <si>
    <t>Заявка на разработку изделия 000026376 от 16.06.2025 0:00:00</t>
  </si>
  <si>
    <t>Заявка на разработку изделия 000026377 от 16.06.2025 0:00:00</t>
  </si>
  <si>
    <t>Заявка на разработку изделия 000026378 от 16.06.2025 0:00:00</t>
  </si>
  <si>
    <t>Заявка на разработку изделия 000026380 от 16.06.2025 0:00:00</t>
  </si>
  <si>
    <t>K+K*0.008*Окр((H-0.72)/0.01,0)+K*0.0065*Окр((W-0.45)/0.01,0)</t>
  </si>
  <si>
    <t>Заявка на разработку изделия 000026375 от 16.06.2025 0:00:00</t>
  </si>
  <si>
    <t>Заявка на разработку изделия 000026382 от 16.06.2025 0:00:00</t>
  </si>
  <si>
    <t>K+K*0.008*Окр((H-0.72)/0.01,0)+K*0.0065*Окр((W-0.315)/0.01,0) +?((G-0.56)&gt;0,K*0.03*Окр((G-0.56)/0.01,0),0)</t>
  </si>
  <si>
    <t>Заявка на разработку изделия 000026383 от 16.06.2025 0:00:00</t>
  </si>
  <si>
    <t>Заявка на разработку изделия 000026384 от 16.06.2025 0:00:00</t>
  </si>
  <si>
    <t>Заявка на разработку изделия 000026385 от 16.06.2025 0:00:00</t>
  </si>
  <si>
    <t>Заявка на разработку изделия 000026367 от 16.06.2025 0:00:00</t>
  </si>
  <si>
    <t>EMN1K</t>
  </si>
  <si>
    <t>Заявка на разработку изделия 000026388 от 16.06.2025 0:00:00</t>
  </si>
  <si>
    <t>ENG1K</t>
  </si>
  <si>
    <t>Заявка на разработку изделия 000026389 от 16.06.2025 0:00:00</t>
  </si>
  <si>
    <t>Заявка на разработку изделия 000026390 от 16.06.2025 0:00:00</t>
  </si>
  <si>
    <t>Заявка на разработку изделия 000026391 от 16.06.2025 0:00:00</t>
  </si>
  <si>
    <t>Заявка на разработку изделия 000026393 от 16.06.2025 0:00:00</t>
  </si>
  <si>
    <t>Заявка на разработку изделия 000026394 от 16.06.2025 0:00:00</t>
  </si>
  <si>
    <t>Заявка на разработку изделия 000026419 от 16.06.2025 0:00:00</t>
  </si>
  <si>
    <t>K+K*0.008*Окр((H-1.32)/0.01,0)+K*0.0065*Окр((W-0.6)/0.01,0) +?((G-0.56)&gt;0,K*0.03*Окр((G-0.56)/0.01,0),0)</t>
  </si>
  <si>
    <t>Заявка на разработку изделия 000026421 от 16.06.2025 0:00:00</t>
  </si>
  <si>
    <t>EPT1D</t>
  </si>
  <si>
    <t>Заявка на разработку изделия 000026423 от 16.06.2025 0:00:00</t>
  </si>
  <si>
    <t>Заявка на разработку изделия 000026397 от 16.06.2025 0:00:00</t>
  </si>
  <si>
    <t>Заявка на разработку изделия 000026399 от 16.06.2025 0:00:00</t>
  </si>
  <si>
    <t>Заявка на разработку изделия 000026401 от 16.06.2025 0:00:00</t>
  </si>
  <si>
    <t>Заявка на разработку изделия 000026407 от 16.06.2025 0:00:00</t>
  </si>
  <si>
    <t>K+K*0.008*Окр((H-0.72)/0.01,0)+K*0.0065*Окр((W-0.6)/0.01,0)</t>
  </si>
  <si>
    <t>Заявка на разработку изделия 000026428 от 16.06.2025 0:00:00</t>
  </si>
  <si>
    <t>K+K*0.008*Окр((H-2.04)/0.01,0)+K*0.0065*Окр((W-0.6)/0.01,0)</t>
  </si>
  <si>
    <t>Заявка на разработку изделия 000026429 от 16.06.2025 0:00:00</t>
  </si>
  <si>
    <t>Заявка на разработку изделия 000026433 от 16.06.2025 0:00:00</t>
  </si>
  <si>
    <t>EPTP1D</t>
  </si>
  <si>
    <t>Заявка на разработку изделия 000026426 от 16.06.2025 0:00:00</t>
  </si>
  <si>
    <t>Заявка на разработку изделия 000026432 от 16.06.2025 0:00:00</t>
  </si>
  <si>
    <t>EPT2B1D</t>
  </si>
  <si>
    <t>Заявка на разработку изделия 000026436 от 16.06.2025 0:00:00</t>
  </si>
  <si>
    <t>K+K*0.008*Окр((H-2.28)/0.01,0)+K*0.0065*Окр((W-0.6)/0.01,0) +?((G-0.56)&gt;0,K*0.03*Окр((G-0.56)/0.01,0),0)</t>
  </si>
  <si>
    <t>Заявка на разработку изделия 000026412 от 16.06.2025 0:00:00</t>
  </si>
  <si>
    <t>Заявка на разработку изделия 000026413 от 16.06.2025 0:00:00</t>
  </si>
  <si>
    <t>Заявка на разработку изделия 000026402 от 16.06.2025 0:00:00</t>
  </si>
  <si>
    <t>EUV1D</t>
  </si>
  <si>
    <t>Заявка на разработку изделия 000026408 от 16.06.2025 0:00:00</t>
  </si>
  <si>
    <t>EWV1D</t>
  </si>
  <si>
    <t>K+K*0.0095*Окр((H-0.72)/0.01,0)+K*0.0065*Окр((W-0.45)/0.01,0) +?((G-0.315)&gt;0,K*0.03*Окр((G-0.315)/0.01,0),0)</t>
  </si>
  <si>
    <t>Заявка на разработку изделия 000026409 от 16.06.2025 0:00:00</t>
  </si>
  <si>
    <t>EWV2D</t>
  </si>
  <si>
    <t>Заявка на разработку изделия 000026403 от 16.06.2025 0:00:00</t>
  </si>
  <si>
    <t>K+K*0.0095*Окр((H-0.68)/0.01,0)+K*0.0065*Окр((W-0.5)/0.01,0) +?((G-0.315)&gt;0,K*0.03*Окр((G-0.315)/0.01,0),0)</t>
  </si>
  <si>
    <t>Заявка на разработку изделия 000026418 от 16.06.2025 0:00:00</t>
  </si>
  <si>
    <t>EWV1V</t>
  </si>
  <si>
    <t>Заявка на разработку изделия 000026414 от 16.06.2025 0:00:00</t>
  </si>
  <si>
    <t>Заявка на разработку изделия 000026410 от 16.06.2025 0:00:00</t>
  </si>
  <si>
    <t>EWV2V</t>
  </si>
  <si>
    <t>K+K*0.008*Окр((H-0.72)/0.01,0)+K*0.0065*Окр((W-0.45)/0.01,0) +?((G-0.315)&gt;0,K*0.03*Окр((G-0.315)/0.01,0),0)</t>
  </si>
  <si>
    <t>Заявка на разработку изделия 000026416 от 16.06.2025 0:00:00</t>
  </si>
  <si>
    <t>K+K*0.008*Окр((H-0.72)/0.01,0)+K*0.0065*Окр((W-0.1)/0.01,0) +?((G-0.56)&gt;0,K*0.03*Окр((G-0.56)/0.01,0),0)</t>
  </si>
  <si>
    <t>Заявка на разработку изделия 000026411 от 16.06.2025 0:00:00</t>
  </si>
  <si>
    <t>K+K*0.008*Окр((H-0.72)/0.01,0)+K*0.0065*Окр((W-0.315)/0.01,0)</t>
  </si>
  <si>
    <t>Заявка на разработку изделия 000026405 от 16.06.2025 0:00:00</t>
  </si>
  <si>
    <t>Заявка на разработку изделия 000026386 от 16.06.2025 0:00:00</t>
  </si>
  <si>
    <t>Заявка на разработку изделия 000026387 от 16.06.2025 0:00:00</t>
  </si>
  <si>
    <t>Заявка на разработку изделия 000026415 от 16.06.2025 0:00:00</t>
  </si>
  <si>
    <t>EUVG1D</t>
  </si>
  <si>
    <t>Заявка на разработку изделия 000026381 от 16.06.2025 0:00:00</t>
  </si>
  <si>
    <t>K+K*0.008*Окр((H-0.72)/0.01,0)+K*0.0065*Окр((W-0.23)/0.01,0) +?((G-0.54)&gt;0,K*0.03*Окр((G-0.54)/0.01,0),0)</t>
  </si>
  <si>
    <t>Заявка на разработку изделия 000026417 от 16.06.2025 0:00:00</t>
  </si>
  <si>
    <t>K+K*0.008*Окр((H-0.96)/0.01,0)+K*0.0065*Окр((W-0.21)/0.01,0) +?((G-0.315)&gt;0,K*0.03*Окр((G-0.315)/0.01,0),0)</t>
  </si>
  <si>
    <t>Заявка на разработку изделия 000026422 от 16.06.2025 0:00:00</t>
  </si>
  <si>
    <t>K+K*0.008*Окр((H-1.32)/0.01,0)+K*0.0065*Окр((W-0.6)/0.01,0)</t>
  </si>
  <si>
    <t>Заявка на разработку изделия 000026373 от 16.06.2025 0:00:00</t>
  </si>
  <si>
    <t>Заявка на разработку изделия 000026371 от 16.06.2025 0:00:00</t>
  </si>
  <si>
    <t>Заявка на разработку изделия 000026392 от 16.06.2025 0:00:00</t>
  </si>
  <si>
    <t>Заявка на разработку изделия 000026427 от 16.06.2025 0:00:00</t>
  </si>
  <si>
    <t>Заявка на разработку изделия 000026431 от 16.06.2025 0:00:00</t>
  </si>
  <si>
    <t>EPTG2D</t>
  </si>
  <si>
    <t>Заявка на разработку изделия 000026435 от 16.06.2025 0:00:00</t>
  </si>
  <si>
    <t>EPTG1B1D</t>
  </si>
  <si>
    <t>Заявка на разработку изделия 000026424 от 16.06.2025 0:00:00</t>
  </si>
  <si>
    <t>EPG2D</t>
  </si>
  <si>
    <t>Заявка на разработку изделия 000026425 от 16.06.2025 0:00:00</t>
  </si>
  <si>
    <t>EPG2DM</t>
  </si>
  <si>
    <t>Заявка на разработку изделия 000026420 от 16.06.2025 0:00:00</t>
  </si>
  <si>
    <t>Заявка на разработку изделия 000026437 от 16.06.2025 0:00:00</t>
  </si>
  <si>
    <t>Комплекты фурнитуры</t>
  </si>
  <si>
    <t>KFP-SB-PPHF</t>
  </si>
  <si>
    <t>КФ крепежа корпуса 1, 19</t>
  </si>
  <si>
    <t>КФ крепежа корпуса 12, 20</t>
  </si>
  <si>
    <t>КФ крепежа корпуса 13,18</t>
  </si>
  <si>
    <t>КФ петля полунакладная угловая 45/95 град. с крест</t>
  </si>
  <si>
    <t>КФ петли накл.110 гр. с крестообр. планкой</t>
  </si>
  <si>
    <t>КФ Aventos HK 03</t>
  </si>
  <si>
    <t>KFPr-SB-Z(заглушки 5мм)</t>
  </si>
  <si>
    <t>KFPr-SB-ZKK(заглушки 15мм) 8шт</t>
  </si>
  <si>
    <t>KFPr-SB-ZKK(заглушки 15мм) 4шт</t>
  </si>
  <si>
    <t>KFPr-SB-SMRZ_16мм КФ Шурупы</t>
  </si>
  <si>
    <t>КФ опора пластиковая 120_150</t>
  </si>
  <si>
    <t>KFS-SB-60</t>
  </si>
  <si>
    <t>KFS-SB-80</t>
  </si>
  <si>
    <t>KFS-SB-90</t>
  </si>
  <si>
    <t>KFPr-SB-ZP - заглушки для KFPr-SB-POD</t>
  </si>
  <si>
    <t>KFS-SB-45</t>
  </si>
  <si>
    <t>KFP-SB-GT120</t>
  </si>
  <si>
    <t>КФ петли SENS накл.110 гр. с крестообр. планкой</t>
  </si>
  <si>
    <t>Комплекты светильников</t>
  </si>
  <si>
    <t>КФ сушка 90 двухуровневая</t>
  </si>
  <si>
    <t>КФ сушка 45 двухуровневая</t>
  </si>
  <si>
    <t>КФ сушка 60 двухуровневая</t>
  </si>
  <si>
    <t>КФ сушка 80 двухуровневая</t>
  </si>
  <si>
    <t>КФ крепления ящика Hettich</t>
  </si>
  <si>
    <t>КФ крепежа корпуса 17</t>
  </si>
  <si>
    <t>КФ петли под фасад из ал.профиля</t>
  </si>
  <si>
    <t>КФ EMV1DL/2DL + рассеиватель</t>
  </si>
  <si>
    <t>Заявка на разработку изделия 000026439 от 16.06.2025 0:00:00</t>
  </si>
  <si>
    <t>Панель</t>
  </si>
  <si>
    <t>материал исполнения premium полки</t>
  </si>
  <si>
    <t>Заявка на разработку изделия 000026443 от 16.06.2025 0:00:00</t>
  </si>
  <si>
    <t>Глухой для верх.ряда RS02</t>
  </si>
  <si>
    <t>(0-5]</t>
  </si>
  <si>
    <t>Глухой для нижн.ряда RS03</t>
  </si>
  <si>
    <t>Глухой для с ручкой-раковиной RS01</t>
  </si>
  <si>
    <t>Глухой в алюминиевом профиле 810</t>
  </si>
  <si>
    <t>Глухой МД Softline Marine</t>
  </si>
  <si>
    <t>Бленда Softline Marine</t>
  </si>
  <si>
    <t>За МП По высоте</t>
  </si>
  <si>
    <t>Заявка на разработку изделия 000026398 от 16.06.2025 0:00:00</t>
  </si>
  <si>
    <t>K+K*0.008*Окр((H-0.72)/0.01,0)+K*0.0065*Окр((W-0.6)/0.01,0) +?((G-0.350)&gt;0,K*0.003*Окр((G-0.350)/0.01,0),0)</t>
  </si>
  <si>
    <t>Заявка на разработку изделия 000026396 от 16.06.2025 0:00:00</t>
  </si>
  <si>
    <t>K+K*0.008*Окр((H-0.72)/0.01,0)+K*0.0065*Окр((W-0.3)/0.01,0) +?((G-0.315)&gt;0,K*0.003*Окр((G-0.315)/0.01,0),0)</t>
  </si>
  <si>
    <t>Заявка на разработку изделия 000026379 от 16.06.2025 0:00:00</t>
  </si>
  <si>
    <t>Заявка на разработку изделия 000026441 от 16.06.2025 0:00:00</t>
  </si>
  <si>
    <t>Цоколь для опор 120 мм</t>
  </si>
  <si>
    <t>идеальный цоколь</t>
  </si>
  <si>
    <t>Заявка на разработку изделия 000026440 от 16.06.2025 0:00:00</t>
  </si>
  <si>
    <t>Цоколь для опор 150 мм</t>
  </si>
  <si>
    <t>Заявка на разработку изделия 000026404 от 16.06.2025 0:00:00</t>
  </si>
  <si>
    <t>Заявка на разработку изделия 000026406 от 16.06.2025 0:00:00</t>
  </si>
  <si>
    <t>Заявка на разработку изделия 000026434 от 16.06.2025 0:00:00</t>
  </si>
  <si>
    <t>EPN1B1D</t>
  </si>
  <si>
    <t>Заявка на разработку изделия 000026430 от 16.06.2025 0:00:00</t>
  </si>
  <si>
    <t>EPN2D</t>
  </si>
  <si>
    <t>Заявка на разработку изделия 000026395 от 16.06.2025 0:00:00</t>
  </si>
  <si>
    <t>Заявка на разработку изделия 000026445 от 16.06.2025 0:00:00</t>
  </si>
  <si>
    <t>Профиль подсветки вр.гор.</t>
  </si>
  <si>
    <t>профиль рассеиватель HLBL</t>
  </si>
  <si>
    <t>Заявка на разработку изделия 000026400 от 16.06.2025 0:00:00</t>
  </si>
  <si>
    <t>Заявка на разработку изделия 000026444 от 16.06.2025 8:42:33</t>
  </si>
  <si>
    <t>JP057</t>
  </si>
  <si>
    <t>Названия столбцов</t>
  </si>
  <si>
    <t>Общий итог</t>
  </si>
  <si>
    <t>Названия строк</t>
  </si>
  <si>
    <t>Сумма по полю Коэффициент</t>
  </si>
  <si>
    <t>EPT2B1D_382 1 дверь+2 ящика+1 Ниша под технику_382</t>
  </si>
  <si>
    <t>EPT2B1D_455 1 дверь+2 ящика + 1 Ниша под технику_455</t>
  </si>
  <si>
    <t>EPT2B1D_595 1 дверь+2 ящика + 1 Ниша под технику_595</t>
  </si>
  <si>
    <t>Заказ 849 для проверки</t>
  </si>
  <si>
    <t>КФ НСТ20</t>
  </si>
  <si>
    <t>КФ EMV1DL/2DL</t>
  </si>
  <si>
    <t>560 КРОКУС КРЕМОВЫЙ</t>
  </si>
  <si>
    <t>561 БАУНТИ</t>
  </si>
  <si>
    <t>562 ДЮНА</t>
  </si>
  <si>
    <t>563 ТОФФИ</t>
  </si>
  <si>
    <t>564 ОРЕХ ЛУЧИСТЫЙ</t>
  </si>
  <si>
    <t>565 МОНТЕ АНТИК</t>
  </si>
  <si>
    <t>566 ЛОФТ ДЮНА</t>
  </si>
  <si>
    <t>559 СЛОНОВАЯ КОСТЬ</t>
  </si>
  <si>
    <t>КФ НСТ12</t>
  </si>
  <si>
    <t>КФ НСТ 12</t>
  </si>
  <si>
    <t>Комплект петли Hettich с доводчиком для алюм.профиля</t>
  </si>
  <si>
    <t>1. Проставить параметры из 1С (высота, ширина, глубина)</t>
  </si>
  <si>
    <t>2. Проставить формулы расчета полок</t>
  </si>
  <si>
    <t>3. Проставить формулы расчета фасадов</t>
  </si>
  <si>
    <t>4. Проставить всю фурнитуру</t>
  </si>
  <si>
    <t>5.Посчитать комплектацию (правильно просуммировать навески и опоры)</t>
  </si>
  <si>
    <t>Color</t>
  </si>
  <si>
    <t>Contour</t>
  </si>
  <si>
    <t>Тип НСТ</t>
  </si>
  <si>
    <t>1: Габариты/Проработка ниши для техники(НСТ без наценки)</t>
  </si>
  <si>
    <t>2: изменения конструктива</t>
  </si>
  <si>
    <t>Освещение</t>
  </si>
  <si>
    <t>Линейная подсветка</t>
  </si>
  <si>
    <t>Открывание</t>
  </si>
  <si>
    <t>Левое</t>
  </si>
  <si>
    <t>Правое</t>
  </si>
  <si>
    <t>Опоры</t>
  </si>
  <si>
    <t>Поворотный</t>
  </si>
  <si>
    <t>Складной(2 фасада)</t>
  </si>
  <si>
    <t>ЛДСП</t>
  </si>
  <si>
    <t>Стекло</t>
  </si>
  <si>
    <t xml:space="preserve">Комплектация </t>
  </si>
  <si>
    <t>Комплектация №1 - алюмин рама с доводчиками</t>
  </si>
  <si>
    <t>Комплектация №1T - алюмин рама с Tip-ON</t>
  </si>
  <si>
    <t>Комплектация №2(петли Hettich; складной подъемник Hafele поворотный)</t>
  </si>
  <si>
    <t>Комплектация №2Р Ящики с доводчиком Hettich</t>
  </si>
  <si>
    <t>Комплектация №2T Ящики с push to open Hettich</t>
  </si>
  <si>
    <t>Комплектация №3(петли, ящики, подъемники Hafele(ящики с доп. доводчиком)</t>
  </si>
  <si>
    <t>Комплектация №3Т(петли Hafele с Tip-On)</t>
  </si>
  <si>
    <t>Вопрос</t>
  </si>
  <si>
    <t>Номер заказа</t>
  </si>
  <si>
    <t>Номер контрагента по БЗ</t>
  </si>
  <si>
    <t>Заявка №</t>
  </si>
  <si>
    <t>Дата</t>
  </si>
  <si>
    <t>Комплектация:</t>
  </si>
  <si>
    <t>Тип продукции:</t>
  </si>
  <si>
    <t>Кухни Sidak</t>
  </si>
  <si>
    <t>Тип НСТ:</t>
  </si>
  <si>
    <t>Высота:</t>
  </si>
  <si>
    <t>Ширина:</t>
  </si>
  <si>
    <t>Глубина:</t>
  </si>
  <si>
    <t>Материал</t>
  </si>
  <si>
    <t>Техника / ниша(верх)*</t>
  </si>
  <si>
    <t>Техника / ниша(низ)*</t>
  </si>
  <si>
    <t>Модель фасада</t>
  </si>
  <si>
    <t>Толщина фасада</t>
  </si>
  <si>
    <t>Проверьте : Размеры на эскизе и в заявке совпадают?</t>
  </si>
  <si>
    <t>Коротко опишите необходимые изменения</t>
  </si>
  <si>
    <t>Заявка к заказу №</t>
  </si>
  <si>
    <t>На изготовление НСТ</t>
  </si>
  <si>
    <t>От дизайнера</t>
  </si>
  <si>
    <t>От представительства / мебельного салона:</t>
  </si>
  <si>
    <t>TextBoxNumber_order</t>
  </si>
  <si>
    <t>TextBoxName_Kontr</t>
  </si>
  <si>
    <t>TextBoxNubmer_Kontr</t>
  </si>
  <si>
    <t>TextBoxNumber_Zayav</t>
  </si>
  <si>
    <t>TextBoxDate</t>
  </si>
  <si>
    <t>ComboBoxTypeMod</t>
  </si>
  <si>
    <t>ComboBoxModule</t>
  </si>
  <si>
    <t>ComboBoxType_NST</t>
  </si>
  <si>
    <t>TextBoxVys_NST</t>
  </si>
  <si>
    <t>TextBoxShir_NST</t>
  </si>
  <si>
    <t>TextBoxGlub_NST</t>
  </si>
  <si>
    <t>ComboBoxColor_korp</t>
  </si>
  <si>
    <t>ComboBoxLighting</t>
  </si>
  <si>
    <t>ComboBoxType_open</t>
  </si>
  <si>
    <t>ComboBoxType_opor</t>
  </si>
  <si>
    <t>ComboBoxType_pod</t>
  </si>
  <si>
    <t>TextBoxColPolki</t>
  </si>
  <si>
    <t>ComboBoxMat_polki</t>
  </si>
  <si>
    <t>TextBoxLink_niz</t>
  </si>
  <si>
    <t>TextBoxLink_verh</t>
  </si>
  <si>
    <t>ComboBoxCollerction_Fas</t>
  </si>
  <si>
    <t>TextBoxTolshina_Fas</t>
  </si>
  <si>
    <t>ComboBoxVopros</t>
  </si>
  <si>
    <t>TextBoxOpisanie</t>
  </si>
  <si>
    <t>TextBoxFIO</t>
  </si>
  <si>
    <t>ComboBoxPredstavitel</t>
  </si>
  <si>
    <t>Наименование элемента</t>
  </si>
  <si>
    <t>Адрес ячейки</t>
  </si>
  <si>
    <t>B1</t>
  </si>
  <si>
    <t>D1</t>
  </si>
  <si>
    <t>F1</t>
  </si>
  <si>
    <t>H1</t>
  </si>
  <si>
    <t>J1</t>
  </si>
  <si>
    <t>ComboBoxKompl</t>
  </si>
  <si>
    <t>B2</t>
  </si>
  <si>
    <t>B5</t>
  </si>
  <si>
    <t>B6</t>
  </si>
  <si>
    <t>Параметры НЕСТАНДАРТА</t>
  </si>
  <si>
    <t>B7</t>
  </si>
  <si>
    <t>B8</t>
  </si>
  <si>
    <t>Цвет корпуса</t>
  </si>
  <si>
    <t>B11</t>
  </si>
  <si>
    <t>B12</t>
  </si>
  <si>
    <t>B13</t>
  </si>
  <si>
    <t>B14</t>
  </si>
  <si>
    <t>B15</t>
  </si>
  <si>
    <t>ТЕХНИКА</t>
  </si>
  <si>
    <t>ФАСАДЫ</t>
  </si>
  <si>
    <t>МЕСТО ДЛЯ ЭСКИЗА</t>
  </si>
  <si>
    <t>B18</t>
  </si>
  <si>
    <t>B19</t>
  </si>
  <si>
    <t>B21</t>
  </si>
  <si>
    <t>G21</t>
  </si>
  <si>
    <t>E23</t>
  </si>
  <si>
    <t>E24</t>
  </si>
  <si>
    <t>I53</t>
  </si>
  <si>
    <t>H55</t>
  </si>
  <si>
    <t>Наличие подсветки на нижнем горизонте</t>
  </si>
  <si>
    <t>Frame</t>
  </si>
  <si>
    <t>Подсветка</t>
  </si>
  <si>
    <t>№2 – С доводчиками</t>
  </si>
  <si>
    <t>Высота ниши</t>
  </si>
  <si>
    <t>EPN2D 2 двери + 1 Ниша под технику (настр.)</t>
  </si>
  <si>
    <t>EPN1B1D 1 дверь + 1 ящик + 1 Ниша под технику (настр.)</t>
  </si>
  <si>
    <t>алюминий (803)</t>
  </si>
  <si>
    <t>чёрный браш (811)</t>
  </si>
  <si>
    <t>ФАСАДЫ ИЗ АЛЮМИНИЕВОГО ПРОФИЛЯ</t>
  </si>
  <si>
    <t>Цвета_Frame</t>
  </si>
  <si>
    <t>Цена Глухих2</t>
  </si>
  <si>
    <t>№1 – С доводчиками Ал.профиль</t>
  </si>
  <si>
    <t>ALD1UV ЧЁРНЫЙ</t>
  </si>
  <si>
    <t>ALD27МUVAF ЛАТТЕ МАТОВЫЙ</t>
  </si>
  <si>
    <t>ALD28МUVAF БЕЛЫЙ СНЕЖНЫЙ МАТОВЫЙ</t>
  </si>
  <si>
    <t>Цоколь с уплотнителем, клипсами  и вентрешёткой для опор 120 и 150 мм. Длина 2700 или 2750 мм</t>
  </si>
  <si>
    <t>Заказ 4281</t>
  </si>
  <si>
    <t>Высота верхней частти пенала</t>
  </si>
  <si>
    <t>04.07.2025</t>
  </si>
  <si>
    <t>B9</t>
  </si>
  <si>
    <t>Название шкафа</t>
  </si>
  <si>
    <t>D16</t>
  </si>
  <si>
    <t>G16</t>
  </si>
  <si>
    <t>номер заказа</t>
  </si>
  <si>
    <t>EPNG1B1D</t>
  </si>
  <si>
    <t>EPNG1B1D Gola+1 дверь+1 ящик+Ниша под технику (настр.)</t>
  </si>
  <si>
    <t>568 БЕТОН БРОМО</t>
  </si>
  <si>
    <t>569 БЕТОН СВЕТЛЫЙ</t>
  </si>
  <si>
    <t>567 ЗЕЛЕНЫЙ ТРОСТНИК</t>
  </si>
  <si>
    <t>БАРБАРА</t>
  </si>
  <si>
    <t>Цены_Softline_Новые_горизонты</t>
  </si>
  <si>
    <t>Цвета_Softline_Новые_горизонты</t>
  </si>
  <si>
    <t>SOFTLINE NH</t>
  </si>
  <si>
    <t>ДЖУТ КРЕМОВЫЙ SL4</t>
  </si>
  <si>
    <t>ДЖУТ КАПУЧИНО SL5</t>
  </si>
  <si>
    <t>ДЖУТ МАРЕНГО SL6</t>
  </si>
  <si>
    <t>ЛАВА МАТОВАЯ SL12</t>
  </si>
  <si>
    <t>АЛЬПИЙСКИЙ SL45</t>
  </si>
  <si>
    <t>ФАРФОР SL46</t>
  </si>
  <si>
    <t>ПЕПЕЛ SL47</t>
  </si>
  <si>
    <t>ЛУНА SL48</t>
  </si>
  <si>
    <t>МИСТ SL49</t>
  </si>
  <si>
    <t>АКВАМАРИН SL50</t>
  </si>
  <si>
    <t>ЭВКАЛИПТ SL51</t>
  </si>
  <si>
    <t>АСФАЛЬТ SL52</t>
  </si>
  <si>
    <t>Бленда_Softline_Новые_горизонты</t>
  </si>
  <si>
    <t>Softline NH</t>
  </si>
  <si>
    <t>Архивные стекла</t>
  </si>
  <si>
    <t>КЛАССИКА РОМАНСКАЯ</t>
  </si>
  <si>
    <t>ALD27UV ЛАТТЕ</t>
  </si>
  <si>
    <t>АМАДЕУС ГЛЯНЦЕВЫЙ</t>
  </si>
  <si>
    <t>цены БЗ</t>
  </si>
  <si>
    <t>EMN1D,Шкаф нижний,Левый,ЛДСП Белый базовый 16 мм,Комплектация №2,720,450,525,Одна,Деревянная,120</t>
  </si>
  <si>
    <t>Модуль БЗ</t>
  </si>
  <si>
    <t>Цена Калькулятор</t>
  </si>
  <si>
    <t>EMN1D,Шкаф нижний,Правый,ЛДСП Белый базовый 16 мм,Комплектация №2,720,600,560,Одна,Деревянная,120</t>
  </si>
  <si>
    <t>EWU1D,Шкаф нижний,Левый,ЛДСП Дуб Кендал коньяк 16 мм ,Комплектация №3,720,800,525,120</t>
  </si>
  <si>
    <t>Заказ 6680 от 1.10.2025</t>
  </si>
  <si>
    <t>EMV1DL,Шкаф верхний,Левый,ЛДСП Дуб Кендал натуральный 16 мм,Комплектация №1,1 250,500,380,Три,Деревянная,Черный,врезной снизу, черный</t>
  </si>
  <si>
    <t>Подсветка добавляется в общую сумму заказа</t>
  </si>
  <si>
    <t>EHV1D_312,Шкаф верхний,Левый,ЛДСП Белый базовый 16 мм,Комплектация №3T,1 250,600,315,Две,Деревянная</t>
  </si>
  <si>
    <t>EHV1D_312,Шкаф верхний,Правый,ЛДСП Дуб Кендал натуральный 16 мм,Комплектация №3T,961,500,315,Две,Деревянная</t>
  </si>
  <si>
    <t>EPN1B1D,Пенал,Левый,ЛДСП Белый базовый 16 мм,Комплектация №2P,2 610,600,560,380,1 859,Одна,Деревянная,120</t>
  </si>
  <si>
    <t>EPN1B1D,Пенал,Левый,ЛДСП Белый базовый 16 мм,Комплектация №2P,2 040,600,560,595,1 074,Три,Деревянная,120</t>
  </si>
  <si>
    <t>EPN1B1D,Пенал,Левый,ЛДСП Дуб Солсберри 16 мм,Комплектация №2P,2 300,600,560,430,1 499,Три,Деревянная,120</t>
  </si>
  <si>
    <t>Пока не понял в чем причина. Но 1,66% не критично.</t>
  </si>
  <si>
    <t>АРГлухая  0.716*0.446 (№ALM3, МДФ SL45M18, МД 00)NALM3</t>
  </si>
  <si>
    <t>Фасады БЗ</t>
  </si>
  <si>
    <t>Под стекло с/ч  0.716*0.446 (№22, МДФ белый 19 мм НСЛС, БАР 52)_S.100</t>
  </si>
  <si>
    <t>АРГлухая  0.716*0.446 (№ALM3, МДФ ALD3MUVAFM18 мм, МД 00)NALM3</t>
  </si>
  <si>
    <t>ALD5MUVAF КАПУЧИНО МАТОВЫЙ AF</t>
  </si>
  <si>
    <t>ALD3MUVAF БЕЛЫЙ МАТОВЫЙ AF</t>
  </si>
  <si>
    <t>570 Серый</t>
  </si>
  <si>
    <t>571 Теракот</t>
  </si>
  <si>
    <t>№2J - С доводчиками</t>
  </si>
  <si>
    <t>КФ петли JET накл. 105 гр.</t>
  </si>
  <si>
    <t>КФ петли JET угловая 180 гр.</t>
  </si>
  <si>
    <t>Ящик JETBOX ULTRA 80 с доводчиком антрацит</t>
  </si>
  <si>
    <t>Ящик JETBOX ULTRA 170 с доводчиком антрацит</t>
  </si>
  <si>
    <t>№2J – С доводчиками</t>
  </si>
  <si>
    <t>ALD14МUVAF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</si>
</sst>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_-* #,##0.00\ _₽_-;\-* #,##0.00\ _₽_-;_-* &quot;-&quot;??\ _₽_-;_-@_-"/>
    <numFmt numFmtId="165" formatCode="0.0"/>
    <numFmt numFmtId="166" formatCode="0.000"/>
    <numFmt numFmtId="167" formatCode="0.000000"/>
    <numFmt numFmtId="168" formatCode="#,##0.0000"/>
    <numFmt numFmtId="169" formatCode="0.0000"/>
  </numFmts>
  <fonts count="58" x14ac:knownFonts="1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"/>
      <family val="2"/>
    </font>
    <font>
      <sz val="11"/>
      <name val="Arial"/>
      <family val="2"/>
      <charset val="204"/>
    </font>
    <font>
      <sz val="9"/>
      <name val="Times New Roman"/>
      <family val="1"/>
      <charset val="204"/>
    </font>
    <font>
      <sz val="10"/>
      <color theme="2" tint="-0.499984740745262"/>
      <name val="Arial Cyr"/>
      <charset val="204"/>
    </font>
    <font>
      <sz val="9"/>
      <color theme="2" tint="-0.499984740745262"/>
      <name val="Arial Cyr"/>
      <charset val="204"/>
    </font>
    <font>
      <sz val="11"/>
      <name val="Times New Roman"/>
      <family val="1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0"/>
      <color indexed="8"/>
      <name val="Arial"/>
      <family val="2"/>
    </font>
    <font>
      <b/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name val="Arial Cyr"/>
      <charset val="204"/>
    </font>
    <font>
      <sz val="8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  <font>
      <sz val="8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  <font>
      <sz val="12"/>
      <name val="Calibri"/>
      <family val="2"/>
      <charset val="204"/>
    </font>
    <font>
      <sz val="14"/>
      <name val="Calibri"/>
      <family val="2"/>
      <charset val="204"/>
      <scheme val="minor"/>
    </font>
    <font>
      <b/>
      <sz val="18"/>
      <name val="Calibri"/>
      <family val="2"/>
      <charset val="204"/>
      <scheme val="minor"/>
    </font>
    <font>
      <sz val="14"/>
      <name val="Calibri"/>
      <family val="2"/>
      <charset val="204"/>
    </font>
    <font>
      <b/>
      <sz val="16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color theme="0"/>
      <name val="Calibri"/>
      <family val="2"/>
      <charset val="204"/>
      <scheme val="minor"/>
    </font>
    <font>
      <sz val="11"/>
      <color theme="4" tint="-0.249977111117893"/>
      <name val="Calibri"/>
      <family val="2"/>
      <charset val="204"/>
      <scheme val="minor"/>
    </font>
    <font>
      <i/>
      <sz val="14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8"/>
      <name val="Calibri"/>
      <family val="2"/>
      <charset val="204"/>
      <scheme val="minor"/>
    </font>
    <font>
      <sz val="8"/>
      <name val="Arial"/>
      <family val="2"/>
      <charset val="204"/>
    </font>
    <font>
      <sz val="11"/>
      <name val="Calibri"/>
      <family val="2"/>
      <charset val="204"/>
      <scheme val="minor"/>
    </font>
    <font>
      <b/>
      <sz val="12"/>
      <color rgb="FF000000"/>
      <name val="Calibri"/>
      <family val="2"/>
      <charset val="204"/>
    </font>
    <font>
      <b/>
      <sz val="11"/>
      <color theme="0"/>
      <name val="Times New Roman"/>
      <family val="1"/>
      <charset val="204"/>
    </font>
    <font>
      <sz val="8"/>
      <name val="Arial"/>
      <family val="2"/>
      <charset val="204"/>
    </font>
    <font>
      <sz val="10"/>
      <color rgb="FF4D4D4D"/>
      <name val="Arial"/>
      <family val="2"/>
      <charset val="204"/>
    </font>
    <font>
      <sz val="8"/>
      <color rgb="FF333333"/>
      <name val="Arial"/>
      <family val="2"/>
    </font>
    <font>
      <sz val="9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sz val="6.5"/>
      <color theme="1"/>
      <name val="Calibri"/>
      <family val="2"/>
      <charset val="204"/>
      <scheme val="minor"/>
    </font>
    <font>
      <u/>
      <sz val="9"/>
      <color theme="1"/>
      <name val="Calibri"/>
      <family val="2"/>
      <charset val="204"/>
      <scheme val="minor"/>
    </font>
    <font>
      <i/>
      <sz val="9"/>
      <color theme="1"/>
      <name val="Calibri"/>
      <family val="2"/>
      <charset val="204"/>
      <scheme val="minor"/>
    </font>
    <font>
      <sz val="11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2F2F2"/>
        <bgColor auto="1"/>
      </patternFill>
    </fill>
    <fill>
      <patternFill patternType="solid">
        <fgColor rgb="FFFFFFFF"/>
        <bgColor auto="1"/>
      </patternFill>
    </fill>
    <fill>
      <patternFill patternType="solid">
        <fgColor theme="5"/>
        <bgColor indexed="64"/>
      </patternFill>
    </fill>
    <fill>
      <patternFill patternType="solid">
        <fgColor rgb="FFA8F6CF"/>
        <bgColor indexed="64"/>
      </patternFill>
    </fill>
    <fill>
      <patternFill patternType="solid">
        <fgColor rgb="FFA6F8D9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theme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</borders>
  <cellStyleXfs count="22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" fillId="0" borderId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7" fillId="0" borderId="0"/>
    <xf numFmtId="0" fontId="8" fillId="0" borderId="0"/>
    <xf numFmtId="44" fontId="2" fillId="0" borderId="0" applyFont="0" applyFill="0" applyBorder="0" applyAlignment="0" applyProtection="0"/>
    <xf numFmtId="0" fontId="27" fillId="0" borderId="0"/>
    <xf numFmtId="0" fontId="30" fillId="6" borderId="0" applyNumberFormat="0" applyBorder="0" applyAlignment="0" applyProtection="0"/>
    <xf numFmtId="0" fontId="8" fillId="0" borderId="0"/>
    <xf numFmtId="0" fontId="38" fillId="0" borderId="0"/>
    <xf numFmtId="0" fontId="39" fillId="0" borderId="0"/>
    <xf numFmtId="0" fontId="38" fillId="0" borderId="0"/>
    <xf numFmtId="0" fontId="2" fillId="0" borderId="0"/>
    <xf numFmtId="0" fontId="9" fillId="0" borderId="0"/>
    <xf numFmtId="0" fontId="45" fillId="0" borderId="0"/>
    <xf numFmtId="0" fontId="9" fillId="0" borderId="0"/>
    <xf numFmtId="0" fontId="49" fillId="0" borderId="0"/>
  </cellStyleXfs>
  <cellXfs count="36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7" fillId="0" borderId="0" xfId="0" applyFont="1"/>
    <xf numFmtId="0" fontId="0" fillId="0" borderId="0" xfId="0" applyAlignment="1">
      <alignment horizontal="center"/>
    </xf>
    <xf numFmtId="0" fontId="12" fillId="0" borderId="0" xfId="5" applyFont="1" applyAlignment="1">
      <alignment horizontal="center" vertical="center"/>
    </xf>
    <xf numFmtId="0" fontId="11" fillId="0" borderId="0" xfId="5" applyFont="1"/>
    <xf numFmtId="164" fontId="11" fillId="0" borderId="7" xfId="6" applyFont="1" applyFill="1" applyBorder="1" applyAlignment="1">
      <alignment vertical="center"/>
    </xf>
    <xf numFmtId="0" fontId="18" fillId="0" borderId="0" xfId="5" applyFont="1"/>
    <xf numFmtId="164" fontId="11" fillId="4" borderId="7" xfId="6" applyFont="1" applyFill="1" applyBorder="1" applyAlignment="1">
      <alignment vertical="center"/>
    </xf>
    <xf numFmtId="164" fontId="11" fillId="5" borderId="15" xfId="6" applyFont="1" applyFill="1" applyBorder="1" applyAlignment="1">
      <alignment vertical="center"/>
    </xf>
    <xf numFmtId="164" fontId="11" fillId="5" borderId="17" xfId="6" applyFont="1" applyFill="1" applyBorder="1" applyAlignment="1">
      <alignment vertical="center"/>
    </xf>
    <xf numFmtId="164" fontId="11" fillId="5" borderId="19" xfId="6" applyFont="1" applyFill="1" applyBorder="1" applyAlignment="1">
      <alignment vertical="center"/>
    </xf>
    <xf numFmtId="164" fontId="18" fillId="5" borderId="17" xfId="6" applyFont="1" applyFill="1" applyBorder="1" applyAlignment="1">
      <alignment vertical="center"/>
    </xf>
    <xf numFmtId="164" fontId="18" fillId="3" borderId="17" xfId="6" applyFont="1" applyFill="1" applyBorder="1" applyAlignment="1">
      <alignment vertical="center"/>
    </xf>
    <xf numFmtId="164" fontId="11" fillId="3" borderId="15" xfId="6" applyFont="1" applyFill="1" applyBorder="1" applyAlignment="1">
      <alignment vertical="center"/>
    </xf>
    <xf numFmtId="164" fontId="11" fillId="3" borderId="17" xfId="6" applyFont="1" applyFill="1" applyBorder="1" applyAlignment="1">
      <alignment vertical="center"/>
    </xf>
    <xf numFmtId="0" fontId="1" fillId="0" borderId="0" xfId="0" applyFont="1"/>
    <xf numFmtId="164" fontId="13" fillId="0" borderId="0" xfId="6" applyFont="1" applyFill="1" applyBorder="1" applyAlignment="1">
      <alignment horizontal="center" vertical="center" wrapText="1"/>
    </xf>
    <xf numFmtId="0" fontId="21" fillId="0" borderId="0" xfId="0" applyFont="1"/>
    <xf numFmtId="0" fontId="23" fillId="0" borderId="0" xfId="5" applyFont="1" applyAlignment="1">
      <alignment horizontal="center" vertical="center" wrapText="1"/>
    </xf>
    <xf numFmtId="0" fontId="22" fillId="0" borderId="0" xfId="5" applyFont="1" applyAlignment="1">
      <alignment horizontal="center" vertical="center"/>
    </xf>
    <xf numFmtId="0" fontId="23" fillId="0" borderId="0" xfId="5" applyFont="1" applyAlignment="1">
      <alignment horizontal="center" vertical="center"/>
    </xf>
    <xf numFmtId="0" fontId="23" fillId="0" borderId="0" xfId="0" applyFont="1" applyAlignment="1">
      <alignment horizontal="center" vertical="center" wrapText="1"/>
    </xf>
    <xf numFmtId="1" fontId="23" fillId="0" borderId="0" xfId="0" applyNumberFormat="1" applyFont="1" applyAlignment="1">
      <alignment horizontal="center" vertical="center" wrapText="1"/>
    </xf>
    <xf numFmtId="0" fontId="22" fillId="0" borderId="0" xfId="9" applyFont="1" applyAlignment="1">
      <alignment horizontal="center" vertical="center" wrapText="1"/>
    </xf>
    <xf numFmtId="1" fontId="23" fillId="0" borderId="0" xfId="5" applyNumberFormat="1" applyFont="1" applyAlignment="1">
      <alignment horizontal="center" vertical="center"/>
    </xf>
    <xf numFmtId="0" fontId="24" fillId="0" borderId="0" xfId="0" applyFont="1" applyAlignment="1">
      <alignment horizontal="center" vertical="center" wrapText="1"/>
    </xf>
    <xf numFmtId="44" fontId="22" fillId="0" borderId="0" xfId="10" applyFont="1" applyFill="1" applyBorder="1" applyAlignment="1">
      <alignment horizontal="center" vertical="center"/>
    </xf>
    <xf numFmtId="0" fontId="22" fillId="0" borderId="0" xfId="5" applyFont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1" fontId="31" fillId="0" borderId="0" xfId="12" applyNumberFormat="1" applyFont="1" applyFill="1" applyBorder="1" applyAlignment="1">
      <alignment horizontal="center" vertical="center" wrapText="1"/>
    </xf>
    <xf numFmtId="1" fontId="31" fillId="0" borderId="0" xfId="0" applyNumberFormat="1" applyFont="1" applyAlignment="1">
      <alignment horizontal="center" vertical="center"/>
    </xf>
    <xf numFmtId="1" fontId="31" fillId="0" borderId="0" xfId="0" applyNumberFormat="1" applyFont="1" applyAlignment="1">
      <alignment horizontal="center" vertical="center" wrapText="1"/>
    </xf>
    <xf numFmtId="1" fontId="32" fillId="0" borderId="0" xfId="0" applyNumberFormat="1" applyFont="1" applyAlignment="1">
      <alignment horizontal="center" vertical="center"/>
    </xf>
    <xf numFmtId="0" fontId="31" fillId="0" borderId="0" xfId="12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 vertical="center"/>
    </xf>
    <xf numFmtId="0" fontId="31" fillId="0" borderId="0" xfId="14" applyFont="1" applyAlignment="1">
      <alignment horizontal="left" vertical="center" wrapText="1"/>
    </xf>
    <xf numFmtId="0" fontId="31" fillId="0" borderId="0" xfId="0" applyFont="1" applyAlignment="1">
      <alignment horizontal="center" vertical="center" wrapText="1"/>
    </xf>
    <xf numFmtId="0" fontId="31" fillId="0" borderId="8" xfId="14" applyFont="1" applyBorder="1" applyAlignment="1">
      <alignment vertical="center" wrapText="1"/>
    </xf>
    <xf numFmtId="0" fontId="31" fillId="0" borderId="0" xfId="12" applyFont="1" applyFill="1" applyBorder="1" applyAlignment="1">
      <alignment vertical="center" wrapText="1"/>
    </xf>
    <xf numFmtId="0" fontId="33" fillId="0" borderId="0" xfId="12" applyFont="1" applyFill="1" applyBorder="1" applyAlignment="1">
      <alignment vertical="center" wrapText="1"/>
    </xf>
    <xf numFmtId="0" fontId="23" fillId="4" borderId="0" xfId="0" applyFont="1" applyFill="1" applyAlignment="1">
      <alignment horizontal="center" vertical="center" wrapText="1"/>
    </xf>
    <xf numFmtId="0" fontId="23" fillId="5" borderId="0" xfId="5" applyFont="1" applyFill="1" applyAlignment="1">
      <alignment horizontal="center" vertical="center"/>
    </xf>
    <xf numFmtId="44" fontId="40" fillId="4" borderId="0" xfId="10" applyFont="1" applyFill="1" applyBorder="1" applyAlignment="1">
      <alignment horizontal="center" vertical="center" wrapText="1"/>
    </xf>
    <xf numFmtId="0" fontId="28" fillId="0" borderId="24" xfId="0" applyFont="1" applyBorder="1" applyAlignment="1">
      <alignment horizontal="center" vertical="center"/>
    </xf>
    <xf numFmtId="0" fontId="31" fillId="0" borderId="0" xfId="0" applyFont="1" applyAlignment="1">
      <alignment vertical="center"/>
    </xf>
    <xf numFmtId="37" fontId="42" fillId="0" borderId="0" xfId="4" applyNumberFormat="1" applyFont="1" applyFill="1" applyBorder="1" applyAlignment="1">
      <alignment horizontal="center" vertical="center" wrapText="1"/>
    </xf>
    <xf numFmtId="37" fontId="36" fillId="0" borderId="0" xfId="4" applyNumberFormat="1" applyFont="1" applyFill="1" applyBorder="1" applyAlignment="1">
      <alignment vertical="center" wrapText="1"/>
    </xf>
    <xf numFmtId="0" fontId="42" fillId="0" borderId="0" xfId="0" applyFont="1" applyAlignment="1">
      <alignment horizontal="center" vertical="center"/>
    </xf>
    <xf numFmtId="0" fontId="34" fillId="0" borderId="0" xfId="0" applyFont="1" applyAlignment="1">
      <alignment vertical="center"/>
    </xf>
    <xf numFmtId="0" fontId="36" fillId="0" borderId="0" xfId="9" applyFont="1" applyAlignment="1">
      <alignment vertical="center" wrapText="1"/>
    </xf>
    <xf numFmtId="0" fontId="34" fillId="0" borderId="0" xfId="9" applyFont="1" applyAlignment="1">
      <alignment horizontal="center" vertical="center" wrapText="1"/>
    </xf>
    <xf numFmtId="0" fontId="36" fillId="0" borderId="0" xfId="0" applyFont="1" applyAlignment="1">
      <alignment horizontal="center" vertical="center"/>
    </xf>
    <xf numFmtId="37" fontId="36" fillId="0" borderId="0" xfId="4" applyNumberFormat="1" applyFont="1" applyFill="1" applyBorder="1" applyAlignment="1">
      <alignment horizontal="center" vertical="center" wrapText="1"/>
    </xf>
    <xf numFmtId="0" fontId="36" fillId="0" borderId="0" xfId="9" applyFont="1" applyAlignment="1">
      <alignment horizontal="center" vertical="center" wrapText="1"/>
    </xf>
    <xf numFmtId="0" fontId="23" fillId="0" borderId="0" xfId="5" applyFont="1" applyAlignment="1">
      <alignment vertical="center"/>
    </xf>
    <xf numFmtId="0" fontId="22" fillId="0" borderId="0" xfId="9" applyFont="1" applyAlignment="1">
      <alignment vertical="center" wrapText="1"/>
    </xf>
    <xf numFmtId="0" fontId="35" fillId="0" borderId="0" xfId="9" applyFont="1" applyAlignment="1">
      <alignment vertical="center" wrapText="1"/>
    </xf>
    <xf numFmtId="0" fontId="31" fillId="0" borderId="0" xfId="9" applyFont="1" applyAlignment="1">
      <alignment horizontal="center" vertical="center" wrapText="1"/>
    </xf>
    <xf numFmtId="0" fontId="31" fillId="0" borderId="0" xfId="9" applyFont="1" applyAlignment="1">
      <alignment vertical="center" wrapText="1"/>
    </xf>
    <xf numFmtId="37" fontId="34" fillId="0" borderId="0" xfId="4" applyNumberFormat="1" applyFont="1" applyFill="1" applyBorder="1" applyAlignment="1">
      <alignment horizontal="center" vertical="center" wrapText="1"/>
    </xf>
    <xf numFmtId="0" fontId="31" fillId="0" borderId="0" xfId="0" applyFont="1" applyAlignment="1">
      <alignment horizontal="center" vertical="center"/>
    </xf>
    <xf numFmtId="0" fontId="31" fillId="0" borderId="20" xfId="0" applyFont="1" applyBorder="1" applyAlignment="1">
      <alignment horizontal="center" vertical="center"/>
    </xf>
    <xf numFmtId="0" fontId="34" fillId="0" borderId="0" xfId="5" applyFont="1" applyAlignment="1">
      <alignment horizontal="center" vertical="center"/>
    </xf>
    <xf numFmtId="0" fontId="5" fillId="0" borderId="24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" fontId="23" fillId="0" borderId="20" xfId="0" applyNumberFormat="1" applyFont="1" applyBorder="1" applyAlignment="1">
      <alignment horizontal="center" vertical="center" wrapText="1"/>
    </xf>
    <xf numFmtId="1" fontId="22" fillId="0" borderId="0" xfId="0" applyNumberFormat="1" applyFont="1" applyAlignment="1">
      <alignment horizontal="center" vertical="center" wrapText="1"/>
    </xf>
    <xf numFmtId="1" fontId="14" fillId="0" borderId="0" xfId="0" applyNumberFormat="1" applyFont="1" applyAlignment="1">
      <alignment horizontal="center" vertical="center"/>
    </xf>
    <xf numFmtId="0" fontId="37" fillId="0" borderId="0" xfId="9" applyFont="1" applyAlignment="1">
      <alignment vertical="center" wrapText="1"/>
    </xf>
    <xf numFmtId="0" fontId="31" fillId="0" borderId="0" xfId="8" applyFont="1" applyAlignment="1">
      <alignment vertical="center" wrapText="1"/>
    </xf>
    <xf numFmtId="1" fontId="34" fillId="0" borderId="0" xfId="9" applyNumberFormat="1" applyFont="1" applyAlignment="1">
      <alignment horizontal="center" vertical="center" wrapText="1"/>
    </xf>
    <xf numFmtId="1" fontId="34" fillId="0" borderId="0" xfId="4" applyNumberFormat="1" applyFont="1" applyFill="1" applyBorder="1" applyAlignment="1">
      <alignment horizontal="center" vertical="center" wrapText="1"/>
    </xf>
    <xf numFmtId="49" fontId="31" fillId="0" borderId="0" xfId="0" applyNumberFormat="1" applyFont="1" applyAlignment="1">
      <alignment vertical="center"/>
    </xf>
    <xf numFmtId="0" fontId="34" fillId="0" borderId="0" xfId="8" applyFont="1" applyAlignment="1">
      <alignment horizontal="center" vertical="center" wrapText="1"/>
    </xf>
    <xf numFmtId="0" fontId="22" fillId="0" borderId="0" xfId="5" applyFont="1" applyAlignment="1">
      <alignment vertical="center"/>
    </xf>
    <xf numFmtId="0" fontId="35" fillId="0" borderId="0" xfId="0" applyFont="1" applyAlignment="1">
      <alignment horizontal="center" vertical="center" wrapText="1"/>
    </xf>
    <xf numFmtId="0" fontId="31" fillId="0" borderId="8" xfId="14" applyFont="1" applyBorder="1" applyAlignment="1">
      <alignment horizontal="left" vertical="center" wrapText="1"/>
    </xf>
    <xf numFmtId="1" fontId="34" fillId="0" borderId="0" xfId="5" applyNumberFormat="1" applyFont="1" applyAlignment="1">
      <alignment horizontal="center" vertical="center"/>
    </xf>
    <xf numFmtId="1" fontId="34" fillId="0" borderId="0" xfId="0" applyNumberFormat="1" applyFont="1" applyAlignment="1">
      <alignment horizontal="center" vertical="center" wrapText="1"/>
    </xf>
    <xf numFmtId="1" fontId="31" fillId="0" borderId="8" xfId="4" applyNumberFormat="1" applyFont="1" applyFill="1" applyBorder="1" applyAlignment="1">
      <alignment horizontal="center" vertical="center" wrapText="1"/>
    </xf>
    <xf numFmtId="1" fontId="31" fillId="0" borderId="13" xfId="4" applyNumberFormat="1" applyFont="1" applyFill="1" applyBorder="1" applyAlignment="1">
      <alignment horizontal="center" vertical="center" wrapText="1"/>
    </xf>
    <xf numFmtId="0" fontId="23" fillId="2" borderId="0" xfId="0" applyFont="1" applyFill="1" applyAlignment="1">
      <alignment horizontal="center" vertical="center" wrapText="1"/>
    </xf>
    <xf numFmtId="1" fontId="14" fillId="2" borderId="0" xfId="0" applyNumberFormat="1" applyFont="1" applyFill="1" applyAlignment="1">
      <alignment horizontal="center" vertical="center"/>
    </xf>
    <xf numFmtId="0" fontId="23" fillId="0" borderId="0" xfId="9" applyFont="1" applyAlignment="1">
      <alignment horizontal="center" vertical="center" wrapText="1"/>
    </xf>
    <xf numFmtId="0" fontId="23" fillId="2" borderId="0" xfId="9" applyFont="1" applyFill="1" applyAlignment="1">
      <alignment horizontal="center" vertical="center" wrapText="1"/>
    </xf>
    <xf numFmtId="0" fontId="22" fillId="0" borderId="24" xfId="5" applyFont="1" applyBorder="1" applyAlignment="1">
      <alignment horizontal="center" vertical="center"/>
    </xf>
    <xf numFmtId="0" fontId="44" fillId="0" borderId="0" xfId="0" applyFont="1" applyAlignment="1">
      <alignment horizontal="left" vertical="center" wrapText="1"/>
    </xf>
    <xf numFmtId="0" fontId="44" fillId="0" borderId="0" xfId="0" applyFont="1" applyAlignment="1">
      <alignment horizontal="center" vertical="center" wrapText="1"/>
    </xf>
    <xf numFmtId="37" fontId="36" fillId="0" borderId="0" xfId="4" applyNumberFormat="1" applyFont="1" applyFill="1" applyAlignment="1">
      <alignment horizontal="center" vertical="center" wrapText="1"/>
    </xf>
    <xf numFmtId="37" fontId="42" fillId="0" borderId="0" xfId="4" applyNumberFormat="1" applyFont="1" applyFill="1" applyAlignment="1">
      <alignment horizontal="center" vertical="center" wrapText="1"/>
    </xf>
    <xf numFmtId="1" fontId="34" fillId="0" borderId="0" xfId="4" applyNumberFormat="1" applyFont="1" applyFill="1" applyAlignment="1">
      <alignment horizontal="center" vertical="center" wrapText="1"/>
    </xf>
    <xf numFmtId="0" fontId="21" fillId="2" borderId="0" xfId="0" applyFont="1" applyFill="1"/>
    <xf numFmtId="0" fontId="21" fillId="2" borderId="24" xfId="0" applyFont="1" applyFill="1" applyBorder="1"/>
    <xf numFmtId="164" fontId="20" fillId="0" borderId="0" xfId="6" applyFont="1" applyFill="1" applyBorder="1" applyAlignment="1">
      <alignment horizontal="center" vertical="center"/>
    </xf>
    <xf numFmtId="164" fontId="13" fillId="0" borderId="0" xfId="6" applyFont="1" applyFill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49" fontId="3" fillId="0" borderId="0" xfId="1" applyNumberFormat="1" applyFont="1" applyAlignment="1">
      <alignment horizontal="center" vertical="center" wrapText="1" shrinkToFit="1"/>
    </xf>
    <xf numFmtId="49" fontId="3" fillId="0" borderId="0" xfId="1" applyNumberFormat="1" applyFont="1" applyAlignment="1">
      <alignment vertical="center" wrapText="1" shrinkToFit="1"/>
    </xf>
    <xf numFmtId="0" fontId="46" fillId="0" borderId="0" xfId="0" applyFont="1"/>
    <xf numFmtId="0" fontId="24" fillId="0" borderId="0" xfId="16" applyFont="1" applyAlignment="1">
      <alignment horizontal="center" vertical="center"/>
    </xf>
    <xf numFmtId="1" fontId="24" fillId="0" borderId="0" xfId="16" applyNumberFormat="1" applyFont="1" applyAlignment="1">
      <alignment horizontal="center" vertical="center"/>
    </xf>
    <xf numFmtId="1" fontId="23" fillId="0" borderId="0" xfId="5" applyNumberFormat="1" applyFont="1" applyAlignment="1">
      <alignment horizontal="center" vertical="center" wrapText="1"/>
    </xf>
    <xf numFmtId="165" fontId="23" fillId="0" borderId="0" xfId="5" applyNumberFormat="1" applyFont="1" applyAlignment="1">
      <alignment horizontal="center" vertical="center" wrapText="1"/>
    </xf>
    <xf numFmtId="0" fontId="22" fillId="0" borderId="24" xfId="5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9" fontId="22" fillId="0" borderId="0" xfId="3" applyFont="1" applyFill="1" applyBorder="1" applyAlignment="1">
      <alignment horizontal="center" vertical="center" wrapText="1"/>
    </xf>
    <xf numFmtId="37" fontId="31" fillId="0" borderId="0" xfId="4" applyNumberFormat="1" applyFont="1" applyFill="1" applyBorder="1" applyAlignment="1">
      <alignment vertical="center" wrapText="1"/>
    </xf>
    <xf numFmtId="165" fontId="23" fillId="0" borderId="0" xfId="5" applyNumberFormat="1" applyFont="1" applyAlignment="1">
      <alignment horizontal="center" vertical="center"/>
    </xf>
    <xf numFmtId="37" fontId="22" fillId="0" borderId="0" xfId="6" applyNumberFormat="1" applyFont="1" applyFill="1" applyBorder="1" applyAlignment="1">
      <alignment horizontal="center" vertical="center" wrapText="1"/>
    </xf>
    <xf numFmtId="0" fontId="40" fillId="4" borderId="0" xfId="9" applyFont="1" applyFill="1" applyAlignment="1">
      <alignment horizontal="center" vertical="center" wrapText="1"/>
    </xf>
    <xf numFmtId="1" fontId="22" fillId="0" borderId="0" xfId="9" applyNumberFormat="1" applyFont="1" applyAlignment="1">
      <alignment horizontal="center" vertical="center" wrapText="1"/>
    </xf>
    <xf numFmtId="44" fontId="40" fillId="5" borderId="0" xfId="10" applyFont="1" applyFill="1" applyBorder="1" applyAlignment="1">
      <alignment horizontal="center" vertical="center" wrapText="1"/>
    </xf>
    <xf numFmtId="49" fontId="3" fillId="0" borderId="1" xfId="1" applyNumberFormat="1" applyFont="1" applyBorder="1" applyAlignment="1">
      <alignment horizontal="center" vertical="center"/>
    </xf>
    <xf numFmtId="49" fontId="3" fillId="0" borderId="1" xfId="1" applyNumberFormat="1" applyFont="1" applyBorder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/>
    </xf>
    <xf numFmtId="49" fontId="3" fillId="0" borderId="2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 wrapText="1" shrinkToFit="1"/>
    </xf>
    <xf numFmtId="0" fontId="3" fillId="0" borderId="1" xfId="2" applyFont="1" applyBorder="1" applyAlignment="1">
      <alignment horizontal="center" vertical="center" wrapText="1"/>
    </xf>
    <xf numFmtId="49" fontId="3" fillId="0" borderId="4" xfId="2" applyNumberFormat="1" applyFont="1" applyBorder="1" applyAlignment="1">
      <alignment horizontal="center" vertical="center" wrapText="1" shrinkToFit="1"/>
    </xf>
    <xf numFmtId="49" fontId="3" fillId="0" borderId="1" xfId="0" applyNumberFormat="1" applyFont="1" applyBorder="1" applyAlignment="1">
      <alignment horizontal="center" vertical="center" wrapText="1" shrinkToFit="1"/>
    </xf>
    <xf numFmtId="49" fontId="3" fillId="0" borderId="5" xfId="2" applyNumberFormat="1" applyFont="1" applyBorder="1" applyAlignment="1">
      <alignment horizontal="center" vertical="center" wrapText="1" shrinkToFit="1"/>
    </xf>
    <xf numFmtId="0" fontId="4" fillId="0" borderId="3" xfId="2" applyFont="1" applyBorder="1" applyAlignment="1">
      <alignment horizontal="center" vertical="center" wrapText="1"/>
    </xf>
    <xf numFmtId="49" fontId="5" fillId="0" borderId="1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/>
    </xf>
    <xf numFmtId="49" fontId="3" fillId="0" borderId="6" xfId="2" applyNumberFormat="1" applyFont="1" applyBorder="1" applyAlignment="1">
      <alignment horizontal="center" vertical="center" wrapText="1" shrinkToFit="1"/>
    </xf>
    <xf numFmtId="0" fontId="46" fillId="8" borderId="0" xfId="0" applyFont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8" borderId="0" xfId="0" applyFill="1"/>
    <xf numFmtId="0" fontId="23" fillId="0" borderId="0" xfId="5" applyFont="1" applyAlignment="1">
      <alignment horizontal="center" vertical="center"/>
    </xf>
    <xf numFmtId="164" fontId="11" fillId="4" borderId="12" xfId="6" applyFont="1" applyFill="1" applyBorder="1" applyAlignment="1">
      <alignment horizontal="center" vertical="center"/>
    </xf>
    <xf numFmtId="0" fontId="46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49" fontId="3" fillId="10" borderId="0" xfId="1" applyNumberFormat="1" applyFont="1" applyFill="1" applyAlignment="1">
      <alignment vertical="center" wrapText="1" shrinkToFit="1"/>
    </xf>
    <xf numFmtId="49" fontId="3" fillId="7" borderId="0" xfId="1" applyNumberFormat="1" applyFont="1" applyFill="1" applyAlignment="1">
      <alignment vertical="center" wrapText="1" shrinkToFit="1"/>
    </xf>
    <xf numFmtId="49" fontId="3" fillId="9" borderId="0" xfId="1" applyNumberFormat="1" applyFont="1" applyFill="1" applyAlignment="1">
      <alignment vertical="center" wrapText="1" shrinkToFit="1"/>
    </xf>
    <xf numFmtId="49" fontId="3" fillId="11" borderId="0" xfId="1" applyNumberFormat="1" applyFont="1" applyFill="1" applyAlignment="1">
      <alignment vertical="center" wrapText="1" shrinkToFit="1"/>
    </xf>
    <xf numFmtId="0" fontId="0" fillId="0" borderId="0" xfId="0" applyFill="1" applyAlignment="1">
      <alignment horizontal="center" vertical="center" wrapText="1"/>
    </xf>
    <xf numFmtId="0" fontId="0" fillId="12" borderId="0" xfId="0" applyFill="1" applyAlignment="1">
      <alignment horizontal="center" vertical="center" wrapText="1"/>
    </xf>
    <xf numFmtId="0" fontId="0" fillId="12" borderId="0" xfId="0" applyFill="1"/>
    <xf numFmtId="0" fontId="0" fillId="12" borderId="0" xfId="0" applyFill="1" applyAlignment="1">
      <alignment horizontal="left"/>
    </xf>
    <xf numFmtId="49" fontId="48" fillId="12" borderId="0" xfId="1" applyNumberFormat="1" applyFont="1" applyFill="1" applyAlignment="1">
      <alignment vertical="center" wrapText="1" shrinkToFit="1"/>
    </xf>
    <xf numFmtId="0" fontId="50" fillId="14" borderId="26" xfId="21" applyFont="1" applyFill="1" applyBorder="1" applyAlignment="1">
      <alignment horizontal="left" vertical="top"/>
    </xf>
    <xf numFmtId="0" fontId="49" fillId="0" borderId="0" xfId="21"/>
    <xf numFmtId="0" fontId="51" fillId="15" borderId="26" xfId="21" applyFont="1" applyFill="1" applyBorder="1" applyAlignment="1">
      <alignment horizontal="left" vertical="top"/>
    </xf>
    <xf numFmtId="1" fontId="51" fillId="15" borderId="26" xfId="21" applyNumberFormat="1" applyFont="1" applyFill="1" applyBorder="1" applyAlignment="1">
      <alignment horizontal="right" vertical="top"/>
    </xf>
    <xf numFmtId="168" fontId="51" fillId="15" borderId="26" xfId="21" applyNumberFormat="1" applyFont="1" applyFill="1" applyBorder="1" applyAlignment="1">
      <alignment horizontal="right" vertical="top"/>
    </xf>
    <xf numFmtId="0" fontId="51" fillId="15" borderId="26" xfId="21" applyFont="1" applyFill="1" applyBorder="1" applyAlignment="1">
      <alignment horizontal="right" vertical="top"/>
    </xf>
    <xf numFmtId="169" fontId="51" fillId="15" borderId="26" xfId="21" applyNumberFormat="1" applyFont="1" applyFill="1" applyBorder="1" applyAlignment="1">
      <alignment horizontal="right" vertical="top"/>
    </xf>
    <xf numFmtId="0" fontId="49" fillId="0" borderId="0" xfId="21" applyAlignment="1">
      <alignment horizontal="left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2" fontId="0" fillId="0" borderId="0" xfId="0" applyNumberFormat="1" applyFill="1" applyAlignment="1">
      <alignment horizontal="center" vertical="center"/>
    </xf>
    <xf numFmtId="164" fontId="11" fillId="4" borderId="12" xfId="6" applyFont="1" applyFill="1" applyBorder="1" applyAlignment="1">
      <alignment vertical="center"/>
    </xf>
    <xf numFmtId="0" fontId="11" fillId="8" borderId="0" xfId="5" applyFont="1" applyFill="1"/>
    <xf numFmtId="0" fontId="23" fillId="0" borderId="0" xfId="5" applyNumberFormat="1" applyFont="1" applyAlignment="1">
      <alignment horizontal="center" vertical="center"/>
    </xf>
    <xf numFmtId="0" fontId="11" fillId="0" borderId="0" xfId="5" applyFont="1" applyAlignment="1">
      <alignment horizontal="center" vertical="center"/>
    </xf>
    <xf numFmtId="2" fontId="11" fillId="0" borderId="0" xfId="5" applyNumberFormat="1" applyFont="1" applyAlignment="1">
      <alignment horizontal="center" vertical="center"/>
    </xf>
    <xf numFmtId="0" fontId="11" fillId="0" borderId="0" xfId="5" applyFont="1" applyAlignment="1">
      <alignment horizontal="left"/>
    </xf>
    <xf numFmtId="2" fontId="11" fillId="0" borderId="7" xfId="5" applyNumberFormat="1" applyFont="1" applyBorder="1" applyAlignment="1">
      <alignment horizontal="left" vertical="center" wrapText="1"/>
    </xf>
    <xf numFmtId="0" fontId="19" fillId="0" borderId="11" xfId="8" applyFont="1" applyBorder="1" applyAlignment="1">
      <alignment horizontal="left"/>
    </xf>
    <xf numFmtId="2" fontId="11" fillId="4" borderId="7" xfId="5" applyNumberFormat="1" applyFont="1" applyFill="1" applyBorder="1" applyAlignment="1">
      <alignment horizontal="left" vertical="center" wrapText="1"/>
    </xf>
    <xf numFmtId="2" fontId="11" fillId="16" borderId="27" xfId="5" applyNumberFormat="1" applyFont="1" applyFill="1" applyBorder="1" applyAlignment="1">
      <alignment horizontal="left" vertical="center" wrapText="1"/>
    </xf>
    <xf numFmtId="2" fontId="11" fillId="5" borderId="14" xfId="5" applyNumberFormat="1" applyFont="1" applyFill="1" applyBorder="1" applyAlignment="1">
      <alignment horizontal="left" vertical="center" wrapText="1"/>
    </xf>
    <xf numFmtId="2" fontId="11" fillId="5" borderId="16" xfId="5" applyNumberFormat="1" applyFont="1" applyFill="1" applyBorder="1" applyAlignment="1">
      <alignment horizontal="left" vertical="center" wrapText="1"/>
    </xf>
    <xf numFmtId="2" fontId="11" fillId="5" borderId="18" xfId="5" applyNumberFormat="1" applyFont="1" applyFill="1" applyBorder="1" applyAlignment="1">
      <alignment horizontal="left" vertical="center" wrapText="1"/>
    </xf>
    <xf numFmtId="0" fontId="0" fillId="13" borderId="0" xfId="0" applyFill="1" applyAlignment="1">
      <alignment horizontal="left"/>
    </xf>
    <xf numFmtId="164" fontId="11" fillId="13" borderId="7" xfId="6" applyFont="1" applyFill="1" applyBorder="1" applyAlignment="1">
      <alignment vertical="center"/>
    </xf>
    <xf numFmtId="2" fontId="11" fillId="13" borderId="7" xfId="5" applyNumberFormat="1" applyFont="1" applyFill="1" applyBorder="1" applyAlignment="1">
      <alignment horizontal="left" vertical="center" wrapText="1"/>
    </xf>
    <xf numFmtId="0" fontId="27" fillId="13" borderId="23" xfId="11" applyFill="1" applyBorder="1" applyAlignment="1">
      <alignment horizontal="left"/>
    </xf>
    <xf numFmtId="3" fontId="27" fillId="13" borderId="23" xfId="11" applyNumberFormat="1" applyFill="1" applyBorder="1" applyAlignment="1">
      <alignment horizontal="right"/>
    </xf>
    <xf numFmtId="0" fontId="19" fillId="13" borderId="11" xfId="8" applyFont="1" applyFill="1" applyBorder="1" applyAlignment="1">
      <alignment horizontal="left"/>
    </xf>
    <xf numFmtId="4" fontId="27" fillId="13" borderId="7" xfId="20" applyNumberFormat="1" applyFont="1" applyFill="1" applyBorder="1" applyAlignment="1">
      <alignment horizontal="right"/>
    </xf>
    <xf numFmtId="0" fontId="0" fillId="0" borderId="0" xfId="0" applyAlignment="1">
      <alignment horizontal="left" indent="1"/>
    </xf>
    <xf numFmtId="2" fontId="11" fillId="5" borderId="7" xfId="5" applyNumberFormat="1" applyFont="1" applyFill="1" applyBorder="1" applyAlignment="1">
      <alignment horizontal="left" vertical="center" wrapText="1"/>
    </xf>
    <xf numFmtId="164" fontId="11" fillId="5" borderId="7" xfId="6" applyFont="1" applyFill="1" applyBorder="1" applyAlignment="1">
      <alignment vertical="center"/>
    </xf>
    <xf numFmtId="0" fontId="0" fillId="0" borderId="0" xfId="0" applyFill="1"/>
    <xf numFmtId="0" fontId="2" fillId="0" borderId="7" xfId="0" applyFont="1" applyBorder="1"/>
    <xf numFmtId="0" fontId="2" fillId="0" borderId="0" xfId="0" applyFont="1"/>
    <xf numFmtId="0" fontId="2" fillId="0" borderId="10" xfId="0" applyFont="1" applyBorder="1" applyAlignment="1">
      <alignment horizontal="center" vertical="center" wrapText="1"/>
    </xf>
    <xf numFmtId="0" fontId="2" fillId="0" borderId="8" xfId="0" applyFont="1" applyBorder="1" applyAlignment="1">
      <alignment vertical="center" wrapText="1"/>
    </xf>
    <xf numFmtId="0" fontId="2" fillId="0" borderId="8" xfId="0" applyFont="1" applyBorder="1"/>
    <xf numFmtId="0" fontId="2" fillId="0" borderId="20" xfId="0" applyFont="1" applyBorder="1" applyAlignment="1">
      <alignment vertical="center" wrapText="1"/>
    </xf>
    <xf numFmtId="0" fontId="2" fillId="0" borderId="13" xfId="0" applyFont="1" applyBorder="1"/>
    <xf numFmtId="0" fontId="52" fillId="0" borderId="0" xfId="0" applyFont="1"/>
    <xf numFmtId="0" fontId="52" fillId="0" borderId="29" xfId="0" applyFont="1" applyBorder="1"/>
    <xf numFmtId="0" fontId="52" fillId="0" borderId="0" xfId="0" applyFont="1" applyBorder="1"/>
    <xf numFmtId="0" fontId="54" fillId="0" borderId="0" xfId="0" applyFont="1" applyBorder="1" applyAlignment="1">
      <alignment horizontal="center" vertical="center"/>
    </xf>
    <xf numFmtId="0" fontId="52" fillId="0" borderId="34" xfId="0" applyFont="1" applyBorder="1"/>
    <xf numFmtId="0" fontId="52" fillId="0" borderId="35" xfId="0" applyFont="1" applyBorder="1"/>
    <xf numFmtId="0" fontId="52" fillId="0" borderId="0" xfId="0" applyFont="1" applyAlignment="1">
      <alignment horizontal="right"/>
    </xf>
    <xf numFmtId="0" fontId="55" fillId="0" borderId="0" xfId="0" applyFont="1" applyFill="1" applyAlignment="1">
      <alignment horizontal="left" vertical="center"/>
    </xf>
    <xf numFmtId="0" fontId="55" fillId="0" borderId="0" xfId="0" applyFont="1" applyFill="1" applyAlignment="1">
      <alignment horizontal="center" vertical="center"/>
    </xf>
    <xf numFmtId="0" fontId="52" fillId="0" borderId="20" xfId="0" applyFont="1" applyBorder="1"/>
    <xf numFmtId="0" fontId="52" fillId="0" borderId="0" xfId="0" applyFont="1" applyFill="1" applyBorder="1" applyAlignment="1">
      <alignment horizontal="right"/>
    </xf>
    <xf numFmtId="0" fontId="53" fillId="0" borderId="0" xfId="0" applyFont="1" applyFill="1" applyBorder="1" applyAlignment="1">
      <alignment horizontal="left"/>
    </xf>
    <xf numFmtId="0" fontId="52" fillId="0" borderId="0" xfId="0" applyFont="1" applyBorder="1" applyAlignment="1">
      <alignment horizontal="right" vertical="center"/>
    </xf>
    <xf numFmtId="0" fontId="52" fillId="0" borderId="39" xfId="0" applyFont="1" applyBorder="1"/>
    <xf numFmtId="0" fontId="52" fillId="0" borderId="34" xfId="0" applyFont="1" applyBorder="1" applyAlignment="1">
      <alignment horizontal="right"/>
    </xf>
    <xf numFmtId="0" fontId="53" fillId="17" borderId="0" xfId="0" applyFont="1" applyFill="1" applyBorder="1" applyAlignment="1">
      <alignment horizontal="center"/>
    </xf>
    <xf numFmtId="0" fontId="53" fillId="17" borderId="0" xfId="0" applyFont="1" applyFill="1" applyBorder="1" applyAlignment="1">
      <alignment horizontal="center" vertical="center"/>
    </xf>
    <xf numFmtId="0" fontId="53" fillId="17" borderId="0" xfId="0" applyFont="1" applyFill="1" applyBorder="1" applyAlignment="1">
      <alignment horizontal="center" vertical="center" wrapText="1"/>
    </xf>
    <xf numFmtId="0" fontId="54" fillId="0" borderId="0" xfId="0" applyFont="1" applyBorder="1" applyAlignment="1">
      <alignment horizontal="center" vertical="center" wrapText="1"/>
    </xf>
    <xf numFmtId="14" fontId="53" fillId="17" borderId="0" xfId="0" applyNumberFormat="1" applyFont="1" applyFill="1" applyBorder="1" applyAlignment="1">
      <alignment horizontal="center" vertical="center"/>
    </xf>
    <xf numFmtId="0" fontId="52" fillId="0" borderId="29" xfId="0" applyFont="1" applyBorder="1" applyAlignment="1">
      <alignment horizontal="right" vertical="center"/>
    </xf>
    <xf numFmtId="0" fontId="53" fillId="17" borderId="29" xfId="0" applyFont="1" applyFill="1" applyBorder="1" applyAlignment="1">
      <alignment horizontal="center" vertical="center"/>
    </xf>
    <xf numFmtId="0" fontId="56" fillId="0" borderId="29" xfId="0" applyFont="1" applyBorder="1" applyAlignment="1">
      <alignment horizontal="right" vertical="center"/>
    </xf>
    <xf numFmtId="0" fontId="52" fillId="0" borderId="36" xfId="0" applyFont="1" applyBorder="1" applyAlignment="1">
      <alignment horizontal="right"/>
    </xf>
    <xf numFmtId="0" fontId="52" fillId="0" borderId="38" xfId="0" applyFont="1" applyBorder="1" applyAlignment="1">
      <alignment horizontal="right"/>
    </xf>
    <xf numFmtId="0" fontId="52" fillId="0" borderId="12" xfId="0" applyFont="1" applyBorder="1" applyAlignment="1">
      <alignment horizontal="right"/>
    </xf>
    <xf numFmtId="0" fontId="27" fillId="0" borderId="23" xfId="0" applyFont="1" applyBorder="1" applyAlignment="1">
      <alignment horizontal="left" vertical="center"/>
    </xf>
    <xf numFmtId="0" fontId="0" fillId="0" borderId="25" xfId="0" applyFill="1" applyBorder="1" applyAlignment="1">
      <alignment horizontal="center" vertical="center"/>
    </xf>
    <xf numFmtId="2" fontId="46" fillId="0" borderId="25" xfId="0" applyNumberFormat="1" applyFont="1" applyFill="1" applyBorder="1" applyAlignment="1">
      <alignment horizontal="center" vertical="center"/>
    </xf>
    <xf numFmtId="0" fontId="22" fillId="0" borderId="0" xfId="5" applyFont="1" applyAlignment="1">
      <alignment horizontal="center" vertical="center"/>
    </xf>
    <xf numFmtId="0" fontId="23" fillId="0" borderId="0" xfId="5" applyFont="1" applyAlignment="1">
      <alignment horizontal="center" vertical="center"/>
    </xf>
    <xf numFmtId="0" fontId="23" fillId="0" borderId="0" xfId="5" applyFont="1" applyFill="1" applyAlignment="1">
      <alignment horizontal="center" vertical="center"/>
    </xf>
    <xf numFmtId="0" fontId="34" fillId="0" borderId="0" xfId="0" applyFont="1" applyAlignment="1">
      <alignment horizontal="center" vertical="center" wrapText="1"/>
    </xf>
    <xf numFmtId="0" fontId="31" fillId="0" borderId="0" xfId="0" applyNumberFormat="1" applyFont="1" applyAlignment="1">
      <alignment horizontal="center" vertical="center"/>
    </xf>
    <xf numFmtId="0" fontId="31" fillId="0" borderId="0" xfId="3" applyNumberFormat="1" applyFont="1" applyFill="1" applyAlignment="1">
      <alignment horizontal="center" vertical="center"/>
    </xf>
    <xf numFmtId="0" fontId="31" fillId="0" borderId="13" xfId="14" applyFont="1" applyBorder="1" applyAlignment="1">
      <alignment vertical="center" wrapText="1"/>
    </xf>
    <xf numFmtId="0" fontId="22" fillId="0" borderId="24" xfId="5" applyFont="1" applyFill="1" applyBorder="1" applyAlignment="1">
      <alignment horizontal="center" vertical="center" wrapText="1"/>
    </xf>
    <xf numFmtId="0" fontId="46" fillId="8" borderId="0" xfId="0" applyFont="1" applyFill="1"/>
    <xf numFmtId="0" fontId="30" fillId="8" borderId="0" xfId="0" applyFont="1" applyFill="1"/>
    <xf numFmtId="0" fontId="23" fillId="0" borderId="0" xfId="5" applyFont="1" applyAlignment="1">
      <alignment horizontal="center" vertical="center"/>
    </xf>
    <xf numFmtId="0" fontId="46" fillId="8" borderId="0" xfId="0" applyFont="1" applyFill="1" applyAlignment="1">
      <alignment horizontal="left" vertical="center"/>
    </xf>
    <xf numFmtId="165" fontId="10" fillId="8" borderId="0" xfId="0" applyNumberFormat="1" applyFont="1" applyFill="1" applyAlignment="1">
      <alignment horizontal="center" vertical="center"/>
    </xf>
    <xf numFmtId="165" fontId="46" fillId="8" borderId="0" xfId="0" applyNumberFormat="1" applyFont="1" applyFill="1" applyAlignment="1">
      <alignment horizontal="center" vertical="center"/>
    </xf>
    <xf numFmtId="2" fontId="46" fillId="8" borderId="0" xfId="0" applyNumberFormat="1" applyFont="1" applyFill="1" applyAlignment="1">
      <alignment horizontal="center" vertical="center"/>
    </xf>
    <xf numFmtId="2" fontId="0" fillId="8" borderId="0" xfId="0" applyNumberFormat="1" applyFill="1" applyAlignment="1">
      <alignment horizontal="center" vertical="center"/>
    </xf>
    <xf numFmtId="166" fontId="0" fillId="8" borderId="0" xfId="0" applyNumberFormat="1" applyFill="1" applyAlignment="1">
      <alignment horizontal="center" vertical="center"/>
    </xf>
    <xf numFmtId="0" fontId="46" fillId="8" borderId="0" xfId="0" applyFont="1" applyFill="1" applyBorder="1" applyAlignment="1">
      <alignment horizontal="center" vertical="center"/>
    </xf>
    <xf numFmtId="0" fontId="46" fillId="8" borderId="0" xfId="0" applyFont="1" applyFill="1" applyBorder="1" applyAlignment="1">
      <alignment horizontal="left" vertical="center"/>
    </xf>
    <xf numFmtId="165" fontId="10" fillId="8" borderId="0" xfId="0" applyNumberFormat="1" applyFont="1" applyFill="1" applyBorder="1" applyAlignment="1">
      <alignment horizontal="center" vertical="center"/>
    </xf>
    <xf numFmtId="0" fontId="46" fillId="8" borderId="0" xfId="0" applyNumberFormat="1" applyFont="1" applyFill="1" applyBorder="1" applyAlignment="1">
      <alignment horizontal="center" vertical="center"/>
    </xf>
    <xf numFmtId="165" fontId="46" fillId="8" borderId="0" xfId="0" applyNumberFormat="1" applyFont="1" applyFill="1" applyBorder="1" applyAlignment="1">
      <alignment horizontal="center" vertical="center"/>
    </xf>
    <xf numFmtId="165" fontId="46" fillId="8" borderId="22" xfId="0" applyNumberFormat="1" applyFont="1" applyFill="1" applyBorder="1" applyAlignment="1">
      <alignment horizontal="center" vertical="center"/>
    </xf>
    <xf numFmtId="2" fontId="46" fillId="8" borderId="0" xfId="0" applyNumberFormat="1" applyFont="1" applyFill="1" applyBorder="1" applyAlignment="1">
      <alignment horizontal="center" vertical="center"/>
    </xf>
    <xf numFmtId="2" fontId="0" fillId="8" borderId="0" xfId="0" applyNumberForma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0" fontId="28" fillId="0" borderId="0" xfId="0" applyFont="1" applyFill="1" applyBorder="1" applyAlignment="1">
      <alignment horizontal="center" vertical="center"/>
    </xf>
    <xf numFmtId="0" fontId="28" fillId="0" borderId="0" xfId="0" applyFont="1" applyFill="1" applyAlignment="1">
      <alignment horizontal="center" vertical="center"/>
    </xf>
    <xf numFmtId="0" fontId="34" fillId="0" borderId="0" xfId="5" applyFont="1" applyFill="1" applyAlignment="1">
      <alignment horizontal="center" vertical="center"/>
    </xf>
    <xf numFmtId="0" fontId="23" fillId="0" borderId="0" xfId="16" applyFont="1" applyFill="1" applyAlignment="1">
      <alignment horizontal="center" vertical="center"/>
    </xf>
    <xf numFmtId="0" fontId="34" fillId="0" borderId="0" xfId="0" applyFont="1" applyFill="1" applyAlignment="1">
      <alignment horizontal="center" vertical="center"/>
    </xf>
    <xf numFmtId="0" fontId="53" fillId="17" borderId="0" xfId="0" applyFont="1" applyFill="1" applyBorder="1" applyAlignment="1">
      <alignment horizontal="center" vertical="center"/>
    </xf>
    <xf numFmtId="0" fontId="0" fillId="18" borderId="0" xfId="0" applyFill="1" applyAlignment="1">
      <alignment horizontal="center" vertical="center" wrapText="1"/>
    </xf>
    <xf numFmtId="0" fontId="0" fillId="18" borderId="0" xfId="0" applyFill="1"/>
    <xf numFmtId="0" fontId="23" fillId="0" borderId="0" xfId="5" applyFont="1" applyAlignment="1">
      <alignment horizontal="center" vertical="center"/>
    </xf>
    <xf numFmtId="0" fontId="23" fillId="0" borderId="0" xfId="5" applyFont="1" applyFill="1" applyAlignment="1">
      <alignment horizontal="center" vertical="center" wrapText="1"/>
    </xf>
    <xf numFmtId="0" fontId="23" fillId="0" borderId="0" xfId="16" applyFont="1" applyFill="1" applyAlignment="1">
      <alignment horizontal="center" vertical="center" wrapText="1"/>
    </xf>
    <xf numFmtId="0" fontId="37" fillId="0" borderId="8" xfId="14" applyFont="1" applyBorder="1" applyAlignment="1">
      <alignment horizontal="left" vertical="center" wrapText="1"/>
    </xf>
    <xf numFmtId="0" fontId="37" fillId="0" borderId="0" xfId="14" applyFont="1" applyAlignment="1">
      <alignment horizontal="left" vertical="center" wrapText="1"/>
    </xf>
    <xf numFmtId="0" fontId="22" fillId="0" borderId="0" xfId="5" applyFont="1" applyBorder="1" applyAlignment="1">
      <alignment horizontal="center" vertical="center" wrapText="1"/>
    </xf>
    <xf numFmtId="0" fontId="23" fillId="0" borderId="0" xfId="5" applyFont="1" applyBorder="1" applyAlignment="1">
      <alignment horizontal="center" vertical="center"/>
    </xf>
    <xf numFmtId="0" fontId="24" fillId="0" borderId="0" xfId="16" applyFont="1" applyFill="1" applyAlignment="1">
      <alignment horizontal="center" vertical="center"/>
    </xf>
    <xf numFmtId="1" fontId="34" fillId="0" borderId="0" xfId="16" applyNumberFormat="1" applyFont="1" applyFill="1" applyAlignment="1">
      <alignment horizontal="center" vertical="center"/>
    </xf>
    <xf numFmtId="1" fontId="31" fillId="0" borderId="0" xfId="5" applyNumberFormat="1" applyFont="1" applyFill="1" applyAlignment="1">
      <alignment horizontal="center" vertical="center" wrapText="1"/>
    </xf>
    <xf numFmtId="0" fontId="31" fillId="0" borderId="0" xfId="5" applyFont="1" applyFill="1" applyAlignment="1">
      <alignment horizontal="center" vertical="center" wrapText="1"/>
    </xf>
    <xf numFmtId="9" fontId="31" fillId="0" borderId="0" xfId="3" applyFont="1" applyFill="1" applyAlignment="1">
      <alignment horizontal="center" vertical="center" wrapText="1"/>
    </xf>
    <xf numFmtId="0" fontId="31" fillId="0" borderId="0" xfId="5" applyFont="1" applyFill="1" applyAlignment="1">
      <alignment horizontal="center" vertical="center"/>
    </xf>
    <xf numFmtId="2" fontId="0" fillId="0" borderId="0" xfId="0" applyNumberFormat="1"/>
    <xf numFmtId="10" fontId="0" fillId="0" borderId="0" xfId="3" applyNumberFormat="1" applyFont="1"/>
    <xf numFmtId="0" fontId="46" fillId="18" borderId="0" xfId="0" applyFont="1" applyFill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0" fillId="18" borderId="25" xfId="0" applyFill="1" applyBorder="1" applyAlignment="1">
      <alignment horizontal="center" vertical="center"/>
    </xf>
    <xf numFmtId="0" fontId="46" fillId="18" borderId="0" xfId="0" applyFont="1" applyFill="1"/>
    <xf numFmtId="0" fontId="28" fillId="0" borderId="41" xfId="0" applyFont="1" applyBorder="1"/>
    <xf numFmtId="2" fontId="46" fillId="2" borderId="25" xfId="0" applyNumberFormat="1" applyFont="1" applyFill="1" applyBorder="1" applyAlignment="1">
      <alignment horizontal="center" vertical="center"/>
    </xf>
    <xf numFmtId="2" fontId="28" fillId="0" borderId="41" xfId="0" applyNumberFormat="1" applyFont="1" applyBorder="1"/>
    <xf numFmtId="10" fontId="28" fillId="0" borderId="41" xfId="3" applyNumberFormat="1" applyFont="1" applyBorder="1"/>
    <xf numFmtId="0" fontId="0" fillId="0" borderId="0" xfId="0" applyBorder="1"/>
    <xf numFmtId="2" fontId="0" fillId="0" borderId="0" xfId="0" applyNumberFormat="1" applyBorder="1"/>
    <xf numFmtId="2" fontId="46" fillId="2" borderId="42" xfId="0" applyNumberFormat="1" applyFont="1" applyFill="1" applyBorder="1" applyAlignment="1">
      <alignment horizontal="center" vertical="center"/>
    </xf>
    <xf numFmtId="10" fontId="0" fillId="0" borderId="0" xfId="3" applyNumberFormat="1" applyFont="1" applyBorder="1"/>
    <xf numFmtId="0" fontId="23" fillId="0" borderId="0" xfId="21" applyFont="1" applyFill="1" applyAlignment="1">
      <alignment horizontal="center" vertical="center"/>
    </xf>
    <xf numFmtId="0" fontId="23" fillId="0" borderId="0" xfId="5" applyFont="1" applyAlignment="1">
      <alignment horizontal="center" vertical="center"/>
    </xf>
    <xf numFmtId="0" fontId="23" fillId="0" borderId="0" xfId="5" applyFont="1" applyAlignment="1">
      <alignment horizontal="center" vertical="center"/>
    </xf>
    <xf numFmtId="49" fontId="3" fillId="8" borderId="0" xfId="2" applyNumberFormat="1" applyFont="1" applyFill="1" applyAlignment="1">
      <alignment horizontal="center" vertical="center" wrapText="1" shrinkToFit="1"/>
    </xf>
    <xf numFmtId="1" fontId="46" fillId="8" borderId="0" xfId="0" applyNumberFormat="1" applyFont="1" applyFill="1" applyAlignment="1">
      <alignment horizontal="center" vertical="center"/>
    </xf>
    <xf numFmtId="0" fontId="3" fillId="8" borderId="0" xfId="1" applyFont="1" applyFill="1" applyAlignment="1">
      <alignment horizontal="center" vertical="center"/>
    </xf>
    <xf numFmtId="0" fontId="46" fillId="8" borderId="0" xfId="0" applyFont="1" applyFill="1" applyAlignment="1">
      <alignment horizontal="left" vertical="center" wrapText="1"/>
    </xf>
    <xf numFmtId="165" fontId="10" fillId="8" borderId="0" xfId="4" applyNumberFormat="1" applyFont="1" applyFill="1" applyBorder="1" applyAlignment="1">
      <alignment horizontal="center" vertical="center"/>
    </xf>
    <xf numFmtId="0" fontId="3" fillId="8" borderId="0" xfId="1" applyFont="1" applyFill="1" applyAlignment="1">
      <alignment horizontal="center" vertical="center" wrapText="1" shrinkToFit="1"/>
    </xf>
    <xf numFmtId="0" fontId="3" fillId="8" borderId="0" xfId="0" applyFont="1" applyFill="1" applyAlignment="1">
      <alignment horizontal="center" vertical="center" wrapText="1"/>
    </xf>
    <xf numFmtId="165" fontId="46" fillId="8" borderId="21" xfId="0" applyNumberFormat="1" applyFont="1" applyFill="1" applyBorder="1" applyAlignment="1">
      <alignment horizontal="center" vertical="center"/>
    </xf>
    <xf numFmtId="4" fontId="0" fillId="8" borderId="0" xfId="0" applyNumberFormat="1" applyFill="1" applyAlignment="1">
      <alignment horizontal="center" vertical="center"/>
    </xf>
    <xf numFmtId="49" fontId="3" fillId="8" borderId="0" xfId="1" applyNumberFormat="1" applyFont="1" applyFill="1" applyAlignment="1">
      <alignment horizontal="center" vertical="center" wrapText="1" shrinkToFit="1"/>
    </xf>
    <xf numFmtId="0" fontId="8" fillId="8" borderId="0" xfId="5" applyFill="1" applyAlignment="1">
      <alignment horizontal="center"/>
    </xf>
    <xf numFmtId="49" fontId="3" fillId="8" borderId="0" xfId="1" applyNumberFormat="1" applyFont="1" applyFill="1" applyAlignment="1">
      <alignment horizontal="center" vertical="center"/>
    </xf>
    <xf numFmtId="0" fontId="3" fillId="8" borderId="0" xfId="2" applyFont="1" applyFill="1" applyAlignment="1">
      <alignment horizontal="center" vertical="center" wrapText="1"/>
    </xf>
    <xf numFmtId="49" fontId="3" fillId="8" borderId="0" xfId="0" applyNumberFormat="1" applyFont="1" applyFill="1" applyAlignment="1">
      <alignment horizontal="center" vertical="center" wrapText="1" shrinkToFit="1"/>
    </xf>
    <xf numFmtId="0" fontId="46" fillId="8" borderId="21" xfId="0" applyFont="1" applyFill="1" applyBorder="1" applyAlignment="1">
      <alignment horizontal="center" vertical="center"/>
    </xf>
    <xf numFmtId="49" fontId="5" fillId="8" borderId="0" xfId="2" applyNumberFormat="1" applyFont="1" applyFill="1" applyAlignment="1">
      <alignment horizontal="center" vertical="center" wrapText="1" shrinkToFit="1"/>
    </xf>
    <xf numFmtId="49" fontId="3" fillId="8" borderId="0" xfId="2" applyNumberFormat="1" applyFont="1" applyFill="1" applyAlignment="1">
      <alignment horizontal="center" vertical="center"/>
    </xf>
    <xf numFmtId="2" fontId="41" fillId="8" borderId="0" xfId="0" applyNumberFormat="1" applyFont="1" applyFill="1" applyAlignment="1">
      <alignment horizontal="center" vertical="center"/>
    </xf>
    <xf numFmtId="0" fontId="46" fillId="8" borderId="22" xfId="0" applyFont="1" applyFill="1" applyBorder="1" applyAlignment="1">
      <alignment horizontal="center" vertical="center"/>
    </xf>
    <xf numFmtId="0" fontId="3" fillId="8" borderId="0" xfId="0" applyFont="1" applyFill="1" applyBorder="1" applyAlignment="1">
      <alignment horizontal="center" vertical="center"/>
    </xf>
    <xf numFmtId="1" fontId="46" fillId="8" borderId="0" xfId="0" applyNumberFormat="1" applyFont="1" applyFill="1" applyBorder="1" applyAlignment="1">
      <alignment horizontal="center" vertical="center"/>
    </xf>
    <xf numFmtId="49" fontId="3" fillId="8" borderId="0" xfId="1" applyNumberFormat="1" applyFont="1" applyFill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0" xfId="0" applyFont="1" applyFill="1" applyAlignment="1">
      <alignment horizontal="center" vertical="center"/>
    </xf>
    <xf numFmtId="0" fontId="23" fillId="8" borderId="0" xfId="5" applyFont="1" applyFill="1" applyAlignment="1">
      <alignment horizontal="center" vertical="center"/>
    </xf>
    <xf numFmtId="0" fontId="23" fillId="8" borderId="0" xfId="0" applyFont="1" applyFill="1" applyAlignment="1">
      <alignment horizontal="center" vertical="center"/>
    </xf>
    <xf numFmtId="165" fontId="0" fillId="8" borderId="0" xfId="0" applyNumberFormat="1" applyFill="1" applyAlignment="1">
      <alignment horizontal="center" vertical="center"/>
    </xf>
    <xf numFmtId="49" fontId="3" fillId="3" borderId="0" xfId="1" applyNumberFormat="1" applyFont="1" applyFill="1" applyAlignment="1">
      <alignment horizontal="center" vertical="center" wrapText="1" shrinkToFit="1"/>
    </xf>
    <xf numFmtId="0" fontId="46" fillId="3" borderId="0" xfId="0" applyFont="1" applyFill="1" applyAlignment="1">
      <alignment horizontal="center" vertical="center"/>
    </xf>
    <xf numFmtId="1" fontId="46" fillId="3" borderId="0" xfId="0" applyNumberFormat="1" applyFont="1" applyFill="1" applyAlignment="1">
      <alignment horizontal="center" vertical="center"/>
    </xf>
    <xf numFmtId="0" fontId="46" fillId="3" borderId="0" xfId="0" applyFont="1" applyFill="1" applyAlignment="1">
      <alignment horizontal="left" vertical="center"/>
    </xf>
    <xf numFmtId="165" fontId="10" fillId="3" borderId="0" xfId="0" applyNumberFormat="1" applyFont="1" applyFill="1" applyAlignment="1">
      <alignment horizontal="center" vertical="center"/>
    </xf>
    <xf numFmtId="165" fontId="46" fillId="3" borderId="0" xfId="0" applyNumberFormat="1" applyFont="1" applyFill="1" applyAlignment="1">
      <alignment horizontal="center" vertical="center"/>
    </xf>
    <xf numFmtId="2" fontId="46" fillId="3" borderId="0" xfId="0" applyNumberFormat="1" applyFont="1" applyFill="1" applyAlignment="1">
      <alignment horizontal="center" vertical="center"/>
    </xf>
    <xf numFmtId="2" fontId="0" fillId="3" borderId="0" xfId="0" applyNumberFormat="1" applyFill="1" applyAlignment="1">
      <alignment horizontal="center" vertical="center"/>
    </xf>
    <xf numFmtId="0" fontId="8" fillId="3" borderId="0" xfId="5" applyFill="1" applyAlignment="1">
      <alignment horizontal="center"/>
    </xf>
    <xf numFmtId="0" fontId="0" fillId="3" borderId="0" xfId="0" applyFill="1" applyAlignment="1">
      <alignment horizontal="center" vertical="center"/>
    </xf>
    <xf numFmtId="166" fontId="0" fillId="3" borderId="0" xfId="0" applyNumberFormat="1" applyFill="1" applyAlignment="1">
      <alignment horizontal="center" vertical="center"/>
    </xf>
    <xf numFmtId="0" fontId="0" fillId="3" borderId="0" xfId="0" applyFill="1"/>
    <xf numFmtId="167" fontId="57" fillId="0" borderId="25" xfId="0" applyNumberFormat="1" applyFont="1" applyFill="1" applyBorder="1" applyAlignment="1">
      <alignment horizontal="center" vertical="center"/>
    </xf>
    <xf numFmtId="0" fontId="57" fillId="0" borderId="25" xfId="0" applyFont="1" applyFill="1" applyBorder="1" applyAlignment="1">
      <alignment horizontal="center" vertical="center"/>
    </xf>
    <xf numFmtId="2" fontId="57" fillId="0" borderId="25" xfId="0" applyNumberFormat="1" applyFont="1" applyFill="1" applyBorder="1" applyAlignment="1">
      <alignment horizontal="center" vertical="center"/>
    </xf>
    <xf numFmtId="0" fontId="57" fillId="18" borderId="25" xfId="0" applyFont="1" applyFill="1" applyBorder="1" applyAlignment="1">
      <alignment horizontal="center" vertical="center"/>
    </xf>
    <xf numFmtId="49" fontId="3" fillId="3" borderId="0" xfId="2" applyNumberFormat="1" applyFont="1" applyFill="1" applyAlignment="1">
      <alignment horizontal="center" vertical="center" wrapText="1" shrinkToFit="1"/>
    </xf>
    <xf numFmtId="0" fontId="0" fillId="0" borderId="0" xfId="0" applyAlignment="1">
      <alignment horizontal="center"/>
    </xf>
    <xf numFmtId="0" fontId="23" fillId="0" borderId="0" xfId="5" applyFont="1" applyAlignment="1">
      <alignment horizontal="center" vertical="center"/>
    </xf>
    <xf numFmtId="0" fontId="22" fillId="0" borderId="0" xfId="5" applyFont="1" applyAlignment="1">
      <alignment horizontal="center" vertical="center"/>
    </xf>
    <xf numFmtId="0" fontId="23" fillId="0" borderId="24" xfId="5" applyFont="1" applyBorder="1" applyAlignment="1">
      <alignment horizontal="center" vertical="center"/>
    </xf>
    <xf numFmtId="0" fontId="11" fillId="0" borderId="9" xfId="5" applyFont="1" applyBorder="1" applyAlignment="1">
      <alignment horizontal="center" vertical="center" wrapText="1"/>
    </xf>
    <xf numFmtId="0" fontId="11" fillId="0" borderId="10" xfId="5" applyFont="1" applyBorder="1" applyAlignment="1">
      <alignment horizontal="center" vertical="center" wrapText="1"/>
    </xf>
    <xf numFmtId="0" fontId="11" fillId="0" borderId="7" xfId="5" applyFont="1" applyBorder="1" applyAlignment="1">
      <alignment horizontal="left" vertical="center" wrapText="1"/>
    </xf>
    <xf numFmtId="0" fontId="52" fillId="17" borderId="0" xfId="0" applyFont="1" applyFill="1" applyAlignment="1">
      <alignment horizontal="center"/>
    </xf>
    <xf numFmtId="0" fontId="1" fillId="0" borderId="0" xfId="0" applyFont="1" applyBorder="1" applyAlignment="1">
      <alignment horizontal="center" vertical="center"/>
    </xf>
    <xf numFmtId="0" fontId="53" fillId="17" borderId="0" xfId="0" applyFont="1" applyFill="1" applyBorder="1" applyAlignment="1">
      <alignment horizontal="center" vertical="center"/>
    </xf>
    <xf numFmtId="14" fontId="52" fillId="17" borderId="0" xfId="0" applyNumberFormat="1" applyFont="1" applyFill="1" applyAlignment="1">
      <alignment horizontal="center"/>
    </xf>
    <xf numFmtId="0" fontId="53" fillId="17" borderId="29" xfId="0" applyFont="1" applyFill="1" applyBorder="1" applyAlignment="1">
      <alignment horizontal="center"/>
    </xf>
    <xf numFmtId="0" fontId="52" fillId="17" borderId="0" xfId="0" applyFont="1" applyFill="1" applyAlignment="1">
      <alignment horizontal="center" vertical="center"/>
    </xf>
    <xf numFmtId="0" fontId="52" fillId="17" borderId="0" xfId="0" applyFont="1" applyFill="1" applyAlignment="1">
      <alignment horizontal="center" vertical="center" wrapText="1"/>
    </xf>
    <xf numFmtId="0" fontId="52" fillId="17" borderId="0" xfId="0" applyFont="1" applyFill="1" applyBorder="1" applyAlignment="1">
      <alignment horizontal="center"/>
    </xf>
    <xf numFmtId="0" fontId="52" fillId="17" borderId="30" xfId="0" applyFont="1" applyFill="1" applyBorder="1" applyAlignment="1">
      <alignment horizontal="center"/>
    </xf>
    <xf numFmtId="0" fontId="52" fillId="17" borderId="29" xfId="0" applyFont="1" applyFill="1" applyBorder="1" applyAlignment="1">
      <alignment horizontal="center"/>
    </xf>
    <xf numFmtId="0" fontId="52" fillId="17" borderId="35" xfId="0" applyFont="1" applyFill="1" applyBorder="1" applyAlignment="1">
      <alignment horizontal="center"/>
    </xf>
    <xf numFmtId="0" fontId="56" fillId="0" borderId="0" xfId="0" applyFont="1" applyAlignment="1">
      <alignment horizontal="center" vertical="center"/>
    </xf>
    <xf numFmtId="0" fontId="53" fillId="17" borderId="20" xfId="0" applyFont="1" applyFill="1" applyBorder="1" applyAlignment="1">
      <alignment horizontal="center"/>
    </xf>
    <xf numFmtId="0" fontId="53" fillId="17" borderId="0" xfId="0" applyFont="1" applyFill="1" applyBorder="1" applyAlignment="1">
      <alignment horizontal="center"/>
    </xf>
    <xf numFmtId="0" fontId="24" fillId="0" borderId="31" xfId="0" applyFont="1" applyFill="1" applyBorder="1" applyAlignment="1">
      <alignment horizontal="center"/>
    </xf>
    <xf numFmtId="0" fontId="24" fillId="0" borderId="32" xfId="0" applyFont="1" applyFill="1" applyBorder="1" applyAlignment="1">
      <alignment horizontal="center"/>
    </xf>
    <xf numFmtId="0" fontId="24" fillId="0" borderId="33" xfId="0" applyFont="1" applyFill="1" applyBorder="1" applyAlignment="1">
      <alignment horizontal="center"/>
    </xf>
    <xf numFmtId="0" fontId="24" fillId="0" borderId="31" xfId="0" applyFont="1" applyBorder="1" applyAlignment="1">
      <alignment horizontal="center"/>
    </xf>
    <xf numFmtId="0" fontId="24" fillId="0" borderId="32" xfId="0" applyFont="1" applyBorder="1" applyAlignment="1">
      <alignment horizontal="center"/>
    </xf>
    <xf numFmtId="0" fontId="24" fillId="0" borderId="33" xfId="0" applyFont="1" applyBorder="1" applyAlignment="1">
      <alignment horizontal="center"/>
    </xf>
    <xf numFmtId="0" fontId="53" fillId="17" borderId="40" xfId="0" applyFont="1" applyFill="1" applyBorder="1" applyAlignment="1">
      <alignment horizontal="center" vertical="center"/>
    </xf>
    <xf numFmtId="0" fontId="53" fillId="17" borderId="13" xfId="0" applyFont="1" applyFill="1" applyBorder="1" applyAlignment="1">
      <alignment horizontal="center"/>
    </xf>
    <xf numFmtId="0" fontId="53" fillId="17" borderId="37" xfId="0" applyFont="1" applyFill="1" applyBorder="1" applyAlignment="1">
      <alignment horizontal="center"/>
    </xf>
    <xf numFmtId="0" fontId="53" fillId="17" borderId="28" xfId="0" applyFont="1" applyFill="1" applyBorder="1" applyAlignment="1">
      <alignment horizontal="center"/>
    </xf>
    <xf numFmtId="0" fontId="53" fillId="17" borderId="27" xfId="0" applyFont="1" applyFill="1" applyBorder="1" applyAlignment="1">
      <alignment horizontal="center"/>
    </xf>
    <xf numFmtId="0" fontId="56" fillId="0" borderId="29" xfId="0" applyFont="1" applyBorder="1" applyAlignment="1">
      <alignment horizontal="right" vertical="center"/>
    </xf>
  </cellXfs>
  <cellStyles count="22">
    <cellStyle name="Акцент2" xfId="12" builtinId="33"/>
    <cellStyle name="Денежный 2 4" xfId="10" xr:uid="{00000000-0005-0000-0000-000001000000}"/>
    <cellStyle name="Обычный" xfId="0" builtinId="0"/>
    <cellStyle name="Обычный 2" xfId="5" xr:uid="{00000000-0005-0000-0000-000003000000}"/>
    <cellStyle name="Обычный 2 2" xfId="8" xr:uid="{00000000-0005-0000-0000-000004000000}"/>
    <cellStyle name="Обычный 2 2 2" xfId="13" xr:uid="{00000000-0005-0000-0000-000005000000}"/>
    <cellStyle name="Обычный 3" xfId="11" xr:uid="{00000000-0005-0000-0000-000006000000}"/>
    <cellStyle name="Обычный 3 2" xfId="15" xr:uid="{00000000-0005-0000-0000-000007000000}"/>
    <cellStyle name="Обычный 3 3" xfId="2" xr:uid="{00000000-0005-0000-0000-000008000000}"/>
    <cellStyle name="Обычный 3 3 2" xfId="16" xr:uid="{00000000-0005-0000-0000-000009000000}"/>
    <cellStyle name="Обычный 4" xfId="18" xr:uid="{00000000-0005-0000-0000-00000A000000}"/>
    <cellStyle name="Обычный 4 2" xfId="9" xr:uid="{00000000-0005-0000-0000-00000B000000}"/>
    <cellStyle name="Обычный 5" xfId="1" xr:uid="{00000000-0005-0000-0000-00000C000000}"/>
    <cellStyle name="Обычный 6" xfId="19" xr:uid="{00000000-0005-0000-0000-00000D000000}"/>
    <cellStyle name="Обычный 6 2" xfId="14" xr:uid="{00000000-0005-0000-0000-00000E000000}"/>
    <cellStyle name="Обычный 7" xfId="21" xr:uid="{00000000-0005-0000-0000-00000F000000}"/>
    <cellStyle name="Обычный 7 3" xfId="17" xr:uid="{00000000-0005-0000-0000-000010000000}"/>
    <cellStyle name="Обычный_комплекты фурнитуры" xfId="20" xr:uid="{00000000-0005-0000-0000-000011000000}"/>
    <cellStyle name="Процентный" xfId="3" builtinId="5"/>
    <cellStyle name="Процентный 2" xfId="7" xr:uid="{00000000-0005-0000-0000-000013000000}"/>
    <cellStyle name="Финансовый" xfId="4" builtinId="3"/>
    <cellStyle name="Финансовый 2" xfId="6" xr:uid="{00000000-0005-0000-0000-000015000000}"/>
  </cellStyles>
  <dxfs count="432"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rgb="FFA6F8D9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rgb="FFA6F8D9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rgb="FFA6F8D9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A6F8D9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rgb="FFA6F8D9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rgb="FFA6F8D9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Calibri"/>
        <scheme val="minor"/>
      </font>
      <alignment horizontal="left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alignment horizontal="general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alignment horizontal="general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none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 val="0"/>
        <strike val="0"/>
        <outline val="0"/>
        <shadow val="0"/>
        <u val="none"/>
        <vertAlign val="baseline"/>
        <sz val="14"/>
        <name val="Calibri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1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numFmt numFmtId="166" formatCode="0.00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numFmt numFmtId="166" formatCode="0.00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2" formatCode="0.0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5" formatCode="0.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5" formatCode="0.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5" formatCode="0.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5" formatCode="0.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5" formatCode="0.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5" formatCode="0.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5" formatCode="0.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5" formatCode="0.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</font>
      <numFmt numFmtId="165" formatCode="0.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5" formatCode="0.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5" formatCode="0.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5" formatCode="0.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5" formatCode="0.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5" formatCode="0.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5" formatCode="0.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5" formatCode="0.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5" formatCode="0.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5" formatCode="0.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5" formatCode="0.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5" formatCode="0.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5" formatCode="0.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5" formatCode="0.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5" formatCode="0.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5" formatCode="0.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5" formatCode="0.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5" formatCode="0.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5" formatCode="0.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5" formatCode="0.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5" formatCode="0.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5" formatCode="0.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5" formatCode="0.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5" formatCode="0.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0" formatCode="General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165" formatCode="0.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165" formatCode="0.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scheme val="none"/>
      </font>
      <numFmt numFmtId="165" formatCode="0.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theme="0"/>
        </patternFill>
      </fill>
    </dxf>
    <dxf>
      <fill>
        <patternFill patternType="none">
          <fgColor indexed="64"/>
          <bgColor theme="0"/>
        </patternFill>
      </fill>
    </dxf>
    <dxf>
      <fill>
        <patternFill patternType="none">
          <fgColor indexed="64"/>
          <bgColor theme="0"/>
        </patternFill>
      </fill>
    </dxf>
    <dxf>
      <fill>
        <patternFill patternType="none">
          <fgColor indexed="64"/>
          <bgColor theme="0"/>
        </patternFill>
      </fill>
    </dxf>
    <dxf>
      <fill>
        <patternFill patternType="none">
          <fgColor indexed="64"/>
          <bgColor theme="0"/>
        </patternFill>
      </fill>
    </dxf>
    <dxf>
      <fill>
        <patternFill patternType="none">
          <fgColor indexed="64"/>
          <bgColor theme="0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theme="0"/>
        </patternFill>
      </fill>
    </dxf>
    <dxf>
      <fill>
        <patternFill patternType="none">
          <fgColor indexed="64"/>
          <bgColor theme="0"/>
        </patternFill>
      </fill>
    </dxf>
    <dxf>
      <fill>
        <patternFill patternType="none">
          <fgColor indexed="64"/>
          <bgColor theme="0"/>
        </patternFill>
      </fill>
    </dxf>
    <dxf>
      <fill>
        <patternFill patternType="none">
          <fgColor indexed="64"/>
          <bgColor theme="0"/>
        </patternFill>
      </fill>
    </dxf>
    <dxf>
      <fill>
        <patternFill patternType="none">
          <fgColor indexed="64"/>
          <bgColor theme="0"/>
        </patternFill>
      </fill>
    </dxf>
    <dxf>
      <fill>
        <patternFill patternType="none">
          <fgColor indexed="64"/>
          <bgColor theme="0"/>
        </patternFill>
      </fill>
    </dxf>
    <dxf>
      <border outline="0">
        <top style="thin">
          <color indexed="64"/>
        </top>
      </border>
    </dxf>
    <dxf>
      <fill>
        <patternFill patternType="none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theme="0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theme="0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theme="0"/>
        </patternFill>
      </fill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rgb="FFA6F8D9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rgb="FFA6F8D9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rgb="FFA6F8D9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A6F8D9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rgb="FFA6F8D9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7" formatCode="0.00000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rgb="FFA6F8D9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 tint="-0.24994659260841701"/>
        </patternFill>
      </fill>
    </dxf>
    <dxf>
      <font>
        <color theme="0"/>
      </font>
      <fill>
        <patternFill>
          <bgColor theme="5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2" formatCode="0.00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/>
        <horizontal/>
      </border>
    </dxf>
    <dxf>
      <numFmt numFmtId="2" formatCode="0.00"/>
    </dxf>
    <dxf>
      <numFmt numFmtId="14" formatCode="0.00%"/>
    </dxf>
    <dxf>
      <numFmt numFmtId="2" formatCode="0.00"/>
    </dxf>
    <dxf>
      <numFmt numFmtId="2" formatCode="0.00"/>
    </dxf>
    <dxf>
      <font>
        <color theme="0"/>
      </font>
      <fill>
        <patternFill>
          <bgColor theme="5" tint="-0.24994659260841701"/>
        </patternFill>
      </fill>
    </dxf>
    <dxf>
      <font>
        <color theme="0"/>
      </font>
      <fill>
        <patternFill>
          <bgColor theme="5" tint="-0.24994659260841701"/>
        </patternFill>
      </fill>
    </dxf>
  </dxfs>
  <tableStyles count="0" defaultTableStyle="TableStyleMedium2" defaultPivotStyle="PivotStyleLight16"/>
  <colors>
    <mruColors>
      <color rgb="FFA6F8D9"/>
      <color rgb="FFA8F6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5.vml.rels><?xml version="1.0" encoding="UTF-8" standalone="yes"?>
<Relationships xmlns="http://schemas.openxmlformats.org/package/2006/relationships"><Relationship Id="rId26" Type="http://schemas.openxmlformats.org/officeDocument/2006/relationships/image" Target="../media/image45.emf"/><Relationship Id="rId21" Type="http://schemas.openxmlformats.org/officeDocument/2006/relationships/image" Target="../media/image41.emf"/><Relationship Id="rId42" Type="http://schemas.openxmlformats.org/officeDocument/2006/relationships/image" Target="../media/image59.emf"/><Relationship Id="rId47" Type="http://schemas.openxmlformats.org/officeDocument/2006/relationships/image" Target="../media/image64.emf"/><Relationship Id="rId63" Type="http://schemas.openxmlformats.org/officeDocument/2006/relationships/image" Target="../media/image80.emf"/><Relationship Id="rId68" Type="http://schemas.openxmlformats.org/officeDocument/2006/relationships/image" Target="../media/image15.emf"/><Relationship Id="rId16" Type="http://schemas.openxmlformats.org/officeDocument/2006/relationships/image" Target="../media/image36.emf"/><Relationship Id="rId11" Type="http://schemas.openxmlformats.org/officeDocument/2006/relationships/image" Target="../media/image31.emf"/><Relationship Id="rId32" Type="http://schemas.openxmlformats.org/officeDocument/2006/relationships/image" Target="../media/image51.emf"/><Relationship Id="rId37" Type="http://schemas.openxmlformats.org/officeDocument/2006/relationships/image" Target="../media/image56.emf"/><Relationship Id="rId53" Type="http://schemas.openxmlformats.org/officeDocument/2006/relationships/image" Target="../media/image70.emf"/><Relationship Id="rId58" Type="http://schemas.openxmlformats.org/officeDocument/2006/relationships/image" Target="../media/image75.emf"/><Relationship Id="rId74" Type="http://schemas.openxmlformats.org/officeDocument/2006/relationships/image" Target="../media/image9.emf"/><Relationship Id="rId79" Type="http://schemas.openxmlformats.org/officeDocument/2006/relationships/image" Target="../media/image4.emf"/><Relationship Id="rId5" Type="http://schemas.openxmlformats.org/officeDocument/2006/relationships/image" Target="../media/image27.emf"/><Relationship Id="rId61" Type="http://schemas.openxmlformats.org/officeDocument/2006/relationships/image" Target="../media/image78.emf"/><Relationship Id="rId82" Type="http://schemas.openxmlformats.org/officeDocument/2006/relationships/image" Target="../media/image1.emf"/><Relationship Id="rId19" Type="http://schemas.openxmlformats.org/officeDocument/2006/relationships/image" Target="../media/image39.emf"/><Relationship Id="rId14" Type="http://schemas.openxmlformats.org/officeDocument/2006/relationships/image" Target="../media/image34.emf"/><Relationship Id="rId22" Type="http://schemas.openxmlformats.org/officeDocument/2006/relationships/image" Target="../media/image42.emf"/><Relationship Id="rId27" Type="http://schemas.openxmlformats.org/officeDocument/2006/relationships/image" Target="../media/image46.emf"/><Relationship Id="rId30" Type="http://schemas.openxmlformats.org/officeDocument/2006/relationships/image" Target="../media/image49.emf"/><Relationship Id="rId35" Type="http://schemas.openxmlformats.org/officeDocument/2006/relationships/image" Target="../media/image54.emf"/><Relationship Id="rId43" Type="http://schemas.openxmlformats.org/officeDocument/2006/relationships/image" Target="../media/image60.emf"/><Relationship Id="rId48" Type="http://schemas.openxmlformats.org/officeDocument/2006/relationships/image" Target="../media/image65.emf"/><Relationship Id="rId56" Type="http://schemas.openxmlformats.org/officeDocument/2006/relationships/image" Target="../media/image73.emf"/><Relationship Id="rId64" Type="http://schemas.openxmlformats.org/officeDocument/2006/relationships/image" Target="../media/image17.emf"/><Relationship Id="rId69" Type="http://schemas.openxmlformats.org/officeDocument/2006/relationships/image" Target="../media/image14.emf"/><Relationship Id="rId77" Type="http://schemas.openxmlformats.org/officeDocument/2006/relationships/image" Target="../media/image6.emf"/><Relationship Id="rId8" Type="http://schemas.openxmlformats.org/officeDocument/2006/relationships/image" Target="../media/image21.emf"/><Relationship Id="rId51" Type="http://schemas.openxmlformats.org/officeDocument/2006/relationships/image" Target="../media/image68.emf"/><Relationship Id="rId72" Type="http://schemas.openxmlformats.org/officeDocument/2006/relationships/image" Target="../media/image11.emf"/><Relationship Id="rId80" Type="http://schemas.openxmlformats.org/officeDocument/2006/relationships/image" Target="../media/image3.emf"/><Relationship Id="rId3" Type="http://schemas.openxmlformats.org/officeDocument/2006/relationships/image" Target="../media/image25.emf"/><Relationship Id="rId12" Type="http://schemas.openxmlformats.org/officeDocument/2006/relationships/image" Target="../media/image32.emf"/><Relationship Id="rId17" Type="http://schemas.openxmlformats.org/officeDocument/2006/relationships/image" Target="../media/image37.emf"/><Relationship Id="rId25" Type="http://schemas.openxmlformats.org/officeDocument/2006/relationships/image" Target="../media/image20.emf"/><Relationship Id="rId33" Type="http://schemas.openxmlformats.org/officeDocument/2006/relationships/image" Target="../media/image52.emf"/><Relationship Id="rId38" Type="http://schemas.openxmlformats.org/officeDocument/2006/relationships/image" Target="../media/image19.emf"/><Relationship Id="rId46" Type="http://schemas.openxmlformats.org/officeDocument/2006/relationships/image" Target="../media/image63.emf"/><Relationship Id="rId59" Type="http://schemas.openxmlformats.org/officeDocument/2006/relationships/image" Target="../media/image76.emf"/><Relationship Id="rId67" Type="http://schemas.openxmlformats.org/officeDocument/2006/relationships/image" Target="../media/image16.emf"/><Relationship Id="rId20" Type="http://schemas.openxmlformats.org/officeDocument/2006/relationships/image" Target="../media/image40.emf"/><Relationship Id="rId41" Type="http://schemas.openxmlformats.org/officeDocument/2006/relationships/image" Target="../media/image58.emf"/><Relationship Id="rId54" Type="http://schemas.openxmlformats.org/officeDocument/2006/relationships/image" Target="../media/image71.emf"/><Relationship Id="rId62" Type="http://schemas.openxmlformats.org/officeDocument/2006/relationships/image" Target="../media/image79.emf"/><Relationship Id="rId70" Type="http://schemas.openxmlformats.org/officeDocument/2006/relationships/image" Target="../media/image13.emf"/><Relationship Id="rId75" Type="http://schemas.openxmlformats.org/officeDocument/2006/relationships/image" Target="../media/image8.emf"/><Relationship Id="rId1" Type="http://schemas.openxmlformats.org/officeDocument/2006/relationships/image" Target="../media/image23.emf"/><Relationship Id="rId6" Type="http://schemas.openxmlformats.org/officeDocument/2006/relationships/image" Target="../media/image28.emf"/><Relationship Id="rId15" Type="http://schemas.openxmlformats.org/officeDocument/2006/relationships/image" Target="../media/image35.emf"/><Relationship Id="rId23" Type="http://schemas.openxmlformats.org/officeDocument/2006/relationships/image" Target="../media/image43.emf"/><Relationship Id="rId28" Type="http://schemas.openxmlformats.org/officeDocument/2006/relationships/image" Target="../media/image47.emf"/><Relationship Id="rId36" Type="http://schemas.openxmlformats.org/officeDocument/2006/relationships/image" Target="../media/image55.emf"/><Relationship Id="rId49" Type="http://schemas.openxmlformats.org/officeDocument/2006/relationships/image" Target="../media/image66.emf"/><Relationship Id="rId57" Type="http://schemas.openxmlformats.org/officeDocument/2006/relationships/image" Target="../media/image74.emf"/><Relationship Id="rId10" Type="http://schemas.openxmlformats.org/officeDocument/2006/relationships/image" Target="../media/image30.emf"/><Relationship Id="rId31" Type="http://schemas.openxmlformats.org/officeDocument/2006/relationships/image" Target="../media/image50.emf"/><Relationship Id="rId44" Type="http://schemas.openxmlformats.org/officeDocument/2006/relationships/image" Target="../media/image61.emf"/><Relationship Id="rId52" Type="http://schemas.openxmlformats.org/officeDocument/2006/relationships/image" Target="../media/image69.emf"/><Relationship Id="rId60" Type="http://schemas.openxmlformats.org/officeDocument/2006/relationships/image" Target="../media/image77.emf"/><Relationship Id="rId65" Type="http://schemas.openxmlformats.org/officeDocument/2006/relationships/image" Target="../media/image81.emf"/><Relationship Id="rId73" Type="http://schemas.openxmlformats.org/officeDocument/2006/relationships/image" Target="../media/image10.emf"/><Relationship Id="rId78" Type="http://schemas.openxmlformats.org/officeDocument/2006/relationships/image" Target="../media/image5.emf"/><Relationship Id="rId81" Type="http://schemas.openxmlformats.org/officeDocument/2006/relationships/image" Target="../media/image2.emf"/><Relationship Id="rId4" Type="http://schemas.openxmlformats.org/officeDocument/2006/relationships/image" Target="../media/image26.emf"/><Relationship Id="rId9" Type="http://schemas.openxmlformats.org/officeDocument/2006/relationships/image" Target="../media/image29.emf"/><Relationship Id="rId13" Type="http://schemas.openxmlformats.org/officeDocument/2006/relationships/image" Target="../media/image33.emf"/><Relationship Id="rId18" Type="http://schemas.openxmlformats.org/officeDocument/2006/relationships/image" Target="../media/image38.emf"/><Relationship Id="rId39" Type="http://schemas.openxmlformats.org/officeDocument/2006/relationships/image" Target="../media/image18.emf"/><Relationship Id="rId34" Type="http://schemas.openxmlformats.org/officeDocument/2006/relationships/image" Target="../media/image53.emf"/><Relationship Id="rId50" Type="http://schemas.openxmlformats.org/officeDocument/2006/relationships/image" Target="../media/image67.emf"/><Relationship Id="rId55" Type="http://schemas.openxmlformats.org/officeDocument/2006/relationships/image" Target="../media/image72.emf"/><Relationship Id="rId76" Type="http://schemas.openxmlformats.org/officeDocument/2006/relationships/image" Target="../media/image7.emf"/><Relationship Id="rId7" Type="http://schemas.openxmlformats.org/officeDocument/2006/relationships/image" Target="../media/image22.emf"/><Relationship Id="rId71" Type="http://schemas.openxmlformats.org/officeDocument/2006/relationships/image" Target="../media/image12.emf"/><Relationship Id="rId2" Type="http://schemas.openxmlformats.org/officeDocument/2006/relationships/image" Target="../media/image24.emf"/><Relationship Id="rId29" Type="http://schemas.openxmlformats.org/officeDocument/2006/relationships/image" Target="../media/image48.emf"/><Relationship Id="rId24" Type="http://schemas.openxmlformats.org/officeDocument/2006/relationships/image" Target="../media/image44.emf"/><Relationship Id="rId40" Type="http://schemas.openxmlformats.org/officeDocument/2006/relationships/image" Target="../media/image57.emf"/><Relationship Id="rId45" Type="http://schemas.openxmlformats.org/officeDocument/2006/relationships/image" Target="../media/image62.emf"/><Relationship Id="rId66" Type="http://schemas.openxmlformats.org/officeDocument/2006/relationships/image" Target="../media/image8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0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1</xdr:row>
          <xdr:rowOff>57150</xdr:rowOff>
        </xdr:from>
        <xdr:to>
          <xdr:col>0</xdr:col>
          <xdr:colOff>2076450</xdr:colOff>
          <xdr:row>3</xdr:row>
          <xdr:rowOff>19050</xdr:rowOff>
        </xdr:to>
        <xdr:sp macro="" textlink="">
          <xdr:nvSpPr>
            <xdr:cNvPr id="11276" name="Button 12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5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Не нажимайте эту кнопку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2" name="ENO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5123" name="EMN1D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4" name="EMN2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5" name="EMN1K_15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7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5126" name="EWN1D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7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5127" name="EWN2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7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28" name="EUN1D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7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5129" name="EWU1D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7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5132" name="EMN1B1D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7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33" name="EMN1B2D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7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34" name="EMN4B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7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5135" name="EMN3B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7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5136" name="EMN2B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7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37" name="ETN1B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7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38" name="ESNX1D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7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1952625</xdr:rowOff>
        </xdr:to>
        <xdr:sp macro="" textlink="">
          <xdr:nvSpPr>
            <xdr:cNvPr id="5139" name="ERN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7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1924050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5140" name="ERN1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7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5141" name="ENG1D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7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5142" name="ENG2D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7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5143" name="ENG2B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7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44" name="ENG3B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7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5145" name="ENG1K_150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7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5146" name="EWG1D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7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5147" name="EWG2D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7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48" name="EUG1D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7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5149" name="EZ1F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7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150" name="EVO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7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5151" name="EMV1D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7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5152" name="EMV1DN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7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5153" name="EMV1V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7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5154" name="EMV1VN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7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5155" name="EMV2D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7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5156" name="EMV2V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7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5157" name="EVU1D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7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5158" name="EHV1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7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5159" name="EHV2D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7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5160" name="EDV1D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7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5161" name="EWV1D_450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7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5162" name="EWV2D_60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7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5163" name="EWV2V_450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7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5164" name="EWV1V_450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7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5167" name="EVG1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7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5168" name="EVG2D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7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5169" name="EVG2V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7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5170" name="EVUG1D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7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5172" name="ESVX1D_960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7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5173" name="EP1D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7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5174" name="EPG1D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7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5175" name="EPT1D_4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7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2</xdr:col>
          <xdr:colOff>0</xdr:colOff>
          <xdr:row>71</xdr:row>
          <xdr:rowOff>0</xdr:rowOff>
        </xdr:to>
        <xdr:sp macro="" textlink="">
          <xdr:nvSpPr>
            <xdr:cNvPr id="5176" name="EPT1B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7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2</xdr:col>
          <xdr:colOff>0</xdr:colOff>
          <xdr:row>74</xdr:row>
          <xdr:rowOff>0</xdr:rowOff>
        </xdr:to>
        <xdr:sp macro="" textlink="">
          <xdr:nvSpPr>
            <xdr:cNvPr id="5177" name="EP2D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7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2</xdr:col>
          <xdr:colOff>0</xdr:colOff>
          <xdr:row>75</xdr:row>
          <xdr:rowOff>0</xdr:rowOff>
        </xdr:to>
        <xdr:sp macro="" textlink="">
          <xdr:nvSpPr>
            <xdr:cNvPr id="5178" name="EPG2D_EPG2DM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7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2</xdr:col>
          <xdr:colOff>0</xdr:colOff>
          <xdr:row>76</xdr:row>
          <xdr:rowOff>0</xdr:rowOff>
        </xdr:to>
        <xdr:sp macro="" textlink="">
          <xdr:nvSpPr>
            <xdr:cNvPr id="5179" name="EPS2D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7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2</xdr:col>
          <xdr:colOff>0</xdr:colOff>
          <xdr:row>77</xdr:row>
          <xdr:rowOff>0</xdr:rowOff>
        </xdr:to>
        <xdr:sp macro="" textlink="">
          <xdr:nvSpPr>
            <xdr:cNvPr id="5180" name="EPSG2D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7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1952625</xdr:rowOff>
        </xdr:to>
        <xdr:sp macro="" textlink="">
          <xdr:nvSpPr>
            <xdr:cNvPr id="5181" name="EP3B1D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7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2</xdr:col>
          <xdr:colOff>0</xdr:colOff>
          <xdr:row>79</xdr:row>
          <xdr:rowOff>0</xdr:rowOff>
        </xdr:to>
        <xdr:sp macro="" textlink="">
          <xdr:nvSpPr>
            <xdr:cNvPr id="5182" name="EP2B1D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7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2</xdr:col>
          <xdr:colOff>0</xdr:colOff>
          <xdr:row>80</xdr:row>
          <xdr:rowOff>0</xdr:rowOff>
        </xdr:to>
        <xdr:sp macro="" textlink="">
          <xdr:nvSpPr>
            <xdr:cNvPr id="5183" name="EPT2D_45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7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82</xdr:row>
          <xdr:rowOff>0</xdr:rowOff>
        </xdr:to>
        <xdr:sp macro="" textlink="">
          <xdr:nvSpPr>
            <xdr:cNvPr id="5184" name="EPTG2D_45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7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83</xdr:row>
          <xdr:rowOff>0</xdr:rowOff>
        </xdr:from>
        <xdr:to>
          <xdr:col>2</xdr:col>
          <xdr:colOff>0</xdr:colOff>
          <xdr:row>83</xdr:row>
          <xdr:rowOff>2133600</xdr:rowOff>
        </xdr:to>
        <xdr:sp macro="" textlink="">
          <xdr:nvSpPr>
            <xdr:cNvPr id="5185" name="EPT2B1D_382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7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86</xdr:row>
          <xdr:rowOff>0</xdr:rowOff>
        </xdr:from>
        <xdr:to>
          <xdr:col>2</xdr:col>
          <xdr:colOff>0</xdr:colOff>
          <xdr:row>87</xdr:row>
          <xdr:rowOff>0</xdr:rowOff>
        </xdr:to>
        <xdr:sp macro="" textlink="">
          <xdr:nvSpPr>
            <xdr:cNvPr id="5186" name="EPTP1D_595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7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87</xdr:row>
          <xdr:rowOff>0</xdr:rowOff>
        </xdr:from>
        <xdr:to>
          <xdr:col>2</xdr:col>
          <xdr:colOff>0</xdr:colOff>
          <xdr:row>88</xdr:row>
          <xdr:rowOff>0</xdr:rowOff>
        </xdr:to>
        <xdr:sp macro="" textlink="">
          <xdr:nvSpPr>
            <xdr:cNvPr id="5187" name="EPN1B1D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7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88</xdr:row>
          <xdr:rowOff>0</xdr:rowOff>
        </xdr:from>
        <xdr:to>
          <xdr:col>2</xdr:col>
          <xdr:colOff>0</xdr:colOff>
          <xdr:row>89</xdr:row>
          <xdr:rowOff>0</xdr:rowOff>
        </xdr:to>
        <xdr:sp macro="" textlink="">
          <xdr:nvSpPr>
            <xdr:cNvPr id="5188" name="EPNG1B1D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7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89</xdr:row>
          <xdr:rowOff>0</xdr:rowOff>
        </xdr:from>
        <xdr:to>
          <xdr:col>2</xdr:col>
          <xdr:colOff>0</xdr:colOff>
          <xdr:row>90</xdr:row>
          <xdr:rowOff>0</xdr:rowOff>
        </xdr:to>
        <xdr:sp macro="" textlink="">
          <xdr:nvSpPr>
            <xdr:cNvPr id="5189" name="EPSP2D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7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5190" name="EUN1D_15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7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5191" name="EWU1D_150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7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5192" name="EUG1D_150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7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5193" name="EMN1K_45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7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5194" name="ENG1K_45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7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5196" name="EWV1D_600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7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5197" name="EWV2D_800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7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5198" name="EWV2D_90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7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1666875</xdr:colOff>
          <xdr:row>55</xdr:row>
          <xdr:rowOff>57150</xdr:rowOff>
        </xdr:from>
        <xdr:to>
          <xdr:col>2</xdr:col>
          <xdr:colOff>0</xdr:colOff>
          <xdr:row>55</xdr:row>
          <xdr:rowOff>2152650</xdr:rowOff>
        </xdr:to>
        <xdr:sp macro="" textlink="">
          <xdr:nvSpPr>
            <xdr:cNvPr id="5200" name="EWV1V_60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7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2</xdr:col>
          <xdr:colOff>0</xdr:colOff>
          <xdr:row>81</xdr:row>
          <xdr:rowOff>0</xdr:rowOff>
        </xdr:to>
        <xdr:sp macro="" textlink="">
          <xdr:nvSpPr>
            <xdr:cNvPr id="5201" name="EPN2D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7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2</xdr:col>
          <xdr:colOff>0</xdr:colOff>
          <xdr:row>83</xdr:row>
          <xdr:rowOff>0</xdr:rowOff>
        </xdr:to>
        <xdr:sp macro="" textlink="">
          <xdr:nvSpPr>
            <xdr:cNvPr id="5202" name="EPTG2D_595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7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84</xdr:row>
          <xdr:rowOff>0</xdr:rowOff>
        </xdr:from>
        <xdr:to>
          <xdr:col>2</xdr:col>
          <xdr:colOff>0</xdr:colOff>
          <xdr:row>84</xdr:row>
          <xdr:rowOff>2133600</xdr:rowOff>
        </xdr:to>
        <xdr:sp macro="" textlink="">
          <xdr:nvSpPr>
            <xdr:cNvPr id="5203" name="EPT2B1D_4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7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85</xdr:row>
          <xdr:rowOff>0</xdr:rowOff>
        </xdr:from>
        <xdr:to>
          <xdr:col>2</xdr:col>
          <xdr:colOff>0</xdr:colOff>
          <xdr:row>85</xdr:row>
          <xdr:rowOff>2133600</xdr:rowOff>
        </xdr:to>
        <xdr:sp macro="" textlink="">
          <xdr:nvSpPr>
            <xdr:cNvPr id="5204" name="EPT2B1D_595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7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5205" name="EPT1D_59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7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5208" name="EWV1V_90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7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5209" name="ERV1D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7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5212" name="ESVX1D_720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7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2</xdr:col>
          <xdr:colOff>0</xdr:colOff>
          <xdr:row>72</xdr:row>
          <xdr:rowOff>0</xdr:rowOff>
        </xdr:to>
        <xdr:sp macro="" textlink="">
          <xdr:nvSpPr>
            <xdr:cNvPr id="5214" name="EMN1W1B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7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0</xdr:row>
          <xdr:rowOff>2152650</xdr:rowOff>
        </xdr:to>
        <xdr:sp macro="" textlink="">
          <xdr:nvSpPr>
            <xdr:cNvPr id="5215" name="Image1" hidden="1">
              <a:extLst>
                <a:ext uri="{63B3BB69-23CF-44E3-9099-C40C66FF867C}">
                  <a14:compatExt spid="_x0000_s5215"/>
                </a:ext>
                <a:ext uri="{FF2B5EF4-FFF2-40B4-BE49-F238E27FC236}">
                  <a16:creationId xmlns:a16="http://schemas.microsoft.com/office/drawing/2014/main" id="{00000000-0008-0000-0700-00005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0</xdr:row>
          <xdr:rowOff>2152650</xdr:rowOff>
        </xdr:to>
        <xdr:sp macro="" textlink="">
          <xdr:nvSpPr>
            <xdr:cNvPr id="5216" name="Image2" hidden="1">
              <a:extLst>
                <a:ext uri="{63B3BB69-23CF-44E3-9099-C40C66FF867C}">
                  <a14:compatExt spid="_x0000_s5216"/>
                </a:ext>
                <a:ext uri="{FF2B5EF4-FFF2-40B4-BE49-F238E27FC236}">
                  <a16:creationId xmlns:a16="http://schemas.microsoft.com/office/drawing/2014/main" id="{00000000-0008-0000-0700-00006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0</xdr:rowOff>
        </xdr:from>
        <xdr:to>
          <xdr:col>9</xdr:col>
          <xdr:colOff>0</xdr:colOff>
          <xdr:row>2</xdr:row>
          <xdr:rowOff>0</xdr:rowOff>
        </xdr:to>
        <xdr:sp macro="" textlink="">
          <xdr:nvSpPr>
            <xdr:cNvPr id="5218" name="Image4" hidden="1">
              <a:extLst>
                <a:ext uri="{63B3BB69-23CF-44E3-9099-C40C66FF867C}">
                  <a14:compatExt spid="_x0000_s5218"/>
                </a:ext>
                <a:ext uri="{FF2B5EF4-FFF2-40B4-BE49-F238E27FC236}">
                  <a16:creationId xmlns:a16="http://schemas.microsoft.com/office/drawing/2014/main" id="{00000000-0008-0000-0700-00006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5221" name="Image7" hidden="1">
              <a:extLst>
                <a:ext uri="{63B3BB69-23CF-44E3-9099-C40C66FF867C}">
                  <a14:compatExt spid="_x0000_s5221"/>
                </a:ext>
                <a:ext uri="{FF2B5EF4-FFF2-40B4-BE49-F238E27FC236}">
                  <a16:creationId xmlns:a16="http://schemas.microsoft.com/office/drawing/2014/main" id="{00000000-0008-0000-0700-00006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5223" name="Image9" hidden="1">
              <a:extLst>
                <a:ext uri="{63B3BB69-23CF-44E3-9099-C40C66FF867C}">
                  <a14:compatExt spid="_x0000_s5223"/>
                </a:ext>
                <a:ext uri="{FF2B5EF4-FFF2-40B4-BE49-F238E27FC236}">
                  <a16:creationId xmlns:a16="http://schemas.microsoft.com/office/drawing/2014/main" id="{00000000-0008-0000-0700-00006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7</xdr:row>
          <xdr:rowOff>419100</xdr:rowOff>
        </xdr:from>
        <xdr:to>
          <xdr:col>26</xdr:col>
          <xdr:colOff>600075</xdr:colOff>
          <xdr:row>7</xdr:row>
          <xdr:rowOff>1390650</xdr:rowOff>
        </xdr:to>
        <xdr:sp macro="" textlink="">
          <xdr:nvSpPr>
            <xdr:cNvPr id="5224" name="Image10" hidden="1">
              <a:extLst>
                <a:ext uri="{63B3BB69-23CF-44E3-9099-C40C66FF867C}">
                  <a14:compatExt spid="_x0000_s5224"/>
                </a:ext>
                <a:ext uri="{FF2B5EF4-FFF2-40B4-BE49-F238E27FC236}">
                  <a16:creationId xmlns:a16="http://schemas.microsoft.com/office/drawing/2014/main" id="{00000000-0008-0000-0700-00006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5236" name="Image12" hidden="1">
              <a:extLst>
                <a:ext uri="{63B3BB69-23CF-44E3-9099-C40C66FF867C}">
                  <a14:compatExt spid="_x0000_s5236"/>
                </a:ext>
                <a:ext uri="{FF2B5EF4-FFF2-40B4-BE49-F238E27FC236}">
                  <a16:creationId xmlns:a16="http://schemas.microsoft.com/office/drawing/2014/main" id="{00000000-0008-0000-0700-00007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1</xdr:row>
          <xdr:rowOff>0</xdr:rowOff>
        </xdr:to>
        <xdr:sp macro="" textlink="">
          <xdr:nvSpPr>
            <xdr:cNvPr id="5237" name="Image13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7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0</xdr:rowOff>
        </xdr:from>
        <xdr:to>
          <xdr:col>6</xdr:col>
          <xdr:colOff>2705100</xdr:colOff>
          <xdr:row>2</xdr:row>
          <xdr:rowOff>0</xdr:rowOff>
        </xdr:to>
        <xdr:sp macro="" textlink="">
          <xdr:nvSpPr>
            <xdr:cNvPr id="5238" name="Image14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7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2152650</xdr:rowOff>
        </xdr:from>
        <xdr:to>
          <xdr:col>9</xdr:col>
          <xdr:colOff>0</xdr:colOff>
          <xdr:row>2</xdr:row>
          <xdr:rowOff>2152650</xdr:rowOff>
        </xdr:to>
        <xdr:sp macro="" textlink="">
          <xdr:nvSpPr>
            <xdr:cNvPr id="5254" name="Image3" hidden="1">
              <a:extLst>
                <a:ext uri="{63B3BB69-23CF-44E3-9099-C40C66FF867C}">
                  <a14:compatExt spid="_x0000_s5254"/>
                </a:ext>
                <a:ext uri="{FF2B5EF4-FFF2-40B4-BE49-F238E27FC236}">
                  <a16:creationId xmlns:a16="http://schemas.microsoft.com/office/drawing/2014/main" id="{00000000-0008-0000-0700-00008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0</xdr:colOff>
          <xdr:row>46</xdr:row>
          <xdr:rowOff>0</xdr:rowOff>
        </xdr:to>
        <xdr:sp macro="" textlink="">
          <xdr:nvSpPr>
            <xdr:cNvPr id="5255" name="EHV2D_312" hidden="1">
              <a:extLst>
                <a:ext uri="{63B3BB69-23CF-44E3-9099-C40C66FF867C}">
                  <a14:compatExt spid="_x0000_s5255"/>
                </a:ext>
                <a:ext uri="{FF2B5EF4-FFF2-40B4-BE49-F238E27FC236}">
                  <a16:creationId xmlns:a16="http://schemas.microsoft.com/office/drawing/2014/main" id="{00000000-0008-0000-0700-00008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1609725</xdr:colOff>
          <xdr:row>43</xdr:row>
          <xdr:rowOff>9525</xdr:rowOff>
        </xdr:from>
        <xdr:to>
          <xdr:col>1</xdr:col>
          <xdr:colOff>2028825</xdr:colOff>
          <xdr:row>43</xdr:row>
          <xdr:rowOff>2143125</xdr:rowOff>
        </xdr:to>
        <xdr:sp macro="" textlink="">
          <xdr:nvSpPr>
            <xdr:cNvPr id="5257" name="EHV1D_312" hidden="1">
              <a:extLst>
                <a:ext uri="{63B3BB69-23CF-44E3-9099-C40C66FF867C}">
                  <a14:compatExt spid="_x0000_s5257"/>
                </a:ext>
                <a:ext uri="{FF2B5EF4-FFF2-40B4-BE49-F238E27FC236}">
                  <a16:creationId xmlns:a16="http://schemas.microsoft.com/office/drawing/2014/main" id="{00000000-0008-0000-0700-00008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57</xdr:row>
          <xdr:rowOff>0</xdr:rowOff>
        </xdr:from>
        <xdr:to>
          <xdr:col>2</xdr:col>
          <xdr:colOff>0</xdr:colOff>
          <xdr:row>58</xdr:row>
          <xdr:rowOff>0</xdr:rowOff>
        </xdr:to>
        <xdr:sp macro="" textlink="">
          <xdr:nvSpPr>
            <xdr:cNvPr id="5258" name="EMV1DL" hidden="1">
              <a:extLst>
                <a:ext uri="{63B3BB69-23CF-44E3-9099-C40C66FF867C}">
                  <a14:compatExt spid="_x0000_s5258"/>
                </a:ext>
                <a:ext uri="{FF2B5EF4-FFF2-40B4-BE49-F238E27FC236}">
                  <a16:creationId xmlns:a16="http://schemas.microsoft.com/office/drawing/2014/main" id="{00000000-0008-0000-0700-00008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58</xdr:row>
          <xdr:rowOff>0</xdr:rowOff>
        </xdr:from>
        <xdr:to>
          <xdr:col>2</xdr:col>
          <xdr:colOff>0</xdr:colOff>
          <xdr:row>59</xdr:row>
          <xdr:rowOff>0</xdr:rowOff>
        </xdr:to>
        <xdr:sp macro="" textlink="">
          <xdr:nvSpPr>
            <xdr:cNvPr id="5259" name="EMV2DL" hidden="1">
              <a:extLst>
                <a:ext uri="{63B3BB69-23CF-44E3-9099-C40C66FF867C}">
                  <a14:compatExt spid="_x0000_s5259"/>
                </a:ext>
                <a:ext uri="{FF2B5EF4-FFF2-40B4-BE49-F238E27FC236}">
                  <a16:creationId xmlns:a16="http://schemas.microsoft.com/office/drawing/2014/main" id="{00000000-0008-0000-0700-00008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12</xdr:row>
          <xdr:rowOff>0</xdr:rowOff>
        </xdr:to>
        <xdr:sp macro="" textlink="">
          <xdr:nvSpPr>
            <xdr:cNvPr id="5260" name="EPN2D_380_1510" hidden="1">
              <a:extLst>
                <a:ext uri="{63B3BB69-23CF-44E3-9099-C40C66FF867C}">
                  <a14:compatExt spid="_x0000_s5260"/>
                </a:ext>
                <a:ext uri="{FF2B5EF4-FFF2-40B4-BE49-F238E27FC236}">
                  <a16:creationId xmlns:a16="http://schemas.microsoft.com/office/drawing/2014/main" id="{00000000-0008-0000-0700-00008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5261" name="EPN1B1D_380_1510" hidden="1">
              <a:extLst>
                <a:ext uri="{63B3BB69-23CF-44E3-9099-C40C66FF867C}">
                  <a14:compatExt spid="_x0000_s5261"/>
                </a:ext>
                <a:ext uri="{FF2B5EF4-FFF2-40B4-BE49-F238E27FC236}">
                  <a16:creationId xmlns:a16="http://schemas.microsoft.com/office/drawing/2014/main" id="{00000000-0008-0000-0700-00008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amynin\Downloads\&#1047;&#1072;&#1103;&#1074;&#1082;&#1072;%20&#8470;%2041-43%20&#1051;&#1077;&#1073;&#1077;&#1076;&#1077;&#1074;%20&#1044;.&#1041;.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42"/>
      <sheetName val="41"/>
      <sheetName val="Тип НСТ"/>
      <sheetName val="Лист1"/>
      <sheetName val="Лист2"/>
      <sheetName val="Лист3"/>
    </sheetNames>
    <sheetDataSet>
      <sheetData sheetId="0"/>
      <sheetData sheetId="1"/>
      <sheetData sheetId="2">
        <row r="2">
          <cell r="C2">
            <v>120</v>
          </cell>
          <cell r="D2" t="str">
            <v>LA - Врезной сверху</v>
          </cell>
          <cell r="E2" t="str">
            <v>левое</v>
          </cell>
          <cell r="H2" t="str">
            <v>ЛДСП</v>
          </cell>
          <cell r="I2" t="str">
            <v>1: Габариты/Проработка ниши для техники(НСТ без наценки)</v>
          </cell>
        </row>
        <row r="3">
          <cell r="C3">
            <v>150</v>
          </cell>
          <cell r="D3" t="str">
            <v>LB - Врезной снизу</v>
          </cell>
          <cell r="E3" t="str">
            <v>правое</v>
          </cell>
          <cell r="H3" t="str">
            <v>Стекло</v>
          </cell>
          <cell r="I3" t="str">
            <v>2: изменения конструктива</v>
          </cell>
        </row>
        <row r="4">
          <cell r="C4" t="str">
            <v>нет</v>
          </cell>
          <cell r="D4" t="str">
            <v>LC - Врезной сверху и снизу</v>
          </cell>
          <cell r="E4" t="str">
            <v>подъемник</v>
          </cell>
          <cell r="H4" t="str">
            <v>Нет</v>
          </cell>
        </row>
        <row r="5">
          <cell r="D5" t="str">
            <v>LD - Врезные 2 сверху</v>
          </cell>
          <cell r="E5" t="str">
            <v>ящик</v>
          </cell>
          <cell r="H5" t="str">
            <v>указано на эскизе</v>
          </cell>
        </row>
        <row r="6">
          <cell r="D6" t="str">
            <v>LE - Врезные 2 сверху, 1 снизу</v>
          </cell>
        </row>
        <row r="7">
          <cell r="D7" t="str">
            <v>нет</v>
          </cell>
        </row>
        <row r="8">
          <cell r="F8" t="str">
            <v>Поворотный</v>
          </cell>
        </row>
        <row r="9">
          <cell r="F9" t="str">
            <v>Складной(2 фасада)</v>
          </cell>
        </row>
        <row r="10">
          <cell r="F10" t="str">
            <v>Нет</v>
          </cell>
        </row>
        <row r="11">
          <cell r="A11" t="str">
            <v>Кухни Sidak</v>
          </cell>
        </row>
        <row r="16">
          <cell r="A16" t="str">
            <v>Комплектация №1 - алюмин рама с доводчиками</v>
          </cell>
        </row>
        <row r="17">
          <cell r="A17" t="str">
            <v>Комплектация №1T - алюмин рама с Tip-ON</v>
          </cell>
        </row>
        <row r="18">
          <cell r="A18" t="str">
            <v>Комплектация №2(петли Hettich; складной подъемник Hafele поворотный)</v>
          </cell>
        </row>
        <row r="19">
          <cell r="A19" t="str">
            <v>Комплектация №2Р Ящики с доводчиком Hettich</v>
          </cell>
        </row>
        <row r="20">
          <cell r="A20" t="str">
            <v>Комплектация №2T Ящики с push to open Hettich</v>
          </cell>
        </row>
        <row r="21">
          <cell r="A21" t="str">
            <v>Комплектация №3(петли, ящики, подъемники Hafele(ящики с доп. доводчиком)</v>
          </cell>
        </row>
        <row r="22">
          <cell r="A22" t="str">
            <v>Комплектация №3Т(петли Hafele с Tip-On)</v>
          </cell>
        </row>
      </sheetData>
      <sheetData sheetId="3">
        <row r="2">
          <cell r="A2" t="str">
            <v>ENO</v>
          </cell>
        </row>
        <row r="3">
          <cell r="A3" t="str">
            <v>EMN1D</v>
          </cell>
        </row>
        <row r="4">
          <cell r="A4" t="str">
            <v xml:space="preserve">EMN2D </v>
          </cell>
        </row>
        <row r="5">
          <cell r="A5" t="str">
            <v>EMN1K</v>
          </cell>
        </row>
        <row r="6">
          <cell r="A6" t="str">
            <v>EWN1D</v>
          </cell>
        </row>
        <row r="7">
          <cell r="A7" t="str">
            <v>EWN2D</v>
          </cell>
        </row>
        <row r="8">
          <cell r="A8" t="str">
            <v>EUN1D</v>
          </cell>
        </row>
        <row r="9">
          <cell r="A9" t="str">
            <v>EUN1D_150</v>
          </cell>
        </row>
        <row r="10">
          <cell r="A10" t="str">
            <v>EWU1D</v>
          </cell>
        </row>
        <row r="11">
          <cell r="A11" t="str">
            <v>EWU1D_150</v>
          </cell>
        </row>
        <row r="12">
          <cell r="A12" t="str">
            <v>EDN1D</v>
          </cell>
        </row>
        <row r="13">
          <cell r="A13" t="str">
            <v>EWD1D</v>
          </cell>
        </row>
        <row r="14">
          <cell r="A14" t="str">
            <v>EMN1B1D</v>
          </cell>
        </row>
        <row r="15">
          <cell r="A15" t="str">
            <v>EMN1B2D</v>
          </cell>
        </row>
        <row r="16">
          <cell r="A16" t="str">
            <v>EMN4B</v>
          </cell>
        </row>
        <row r="17">
          <cell r="A17" t="str">
            <v>EMN3B</v>
          </cell>
        </row>
        <row r="18">
          <cell r="A18" t="str">
            <v>EMN2B</v>
          </cell>
        </row>
        <row r="19">
          <cell r="A19" t="str">
            <v>ETN1B</v>
          </cell>
        </row>
        <row r="20">
          <cell r="A20" t="str">
            <v>ESNX1D</v>
          </cell>
        </row>
        <row r="21">
          <cell r="A21" t="str">
            <v>ERN</v>
          </cell>
        </row>
        <row r="22">
          <cell r="A22" t="str">
            <v>ERN1D</v>
          </cell>
        </row>
        <row r="23">
          <cell r="A23" t="str">
            <v>ENG1D</v>
          </cell>
        </row>
        <row r="24">
          <cell r="A24" t="str">
            <v>ENG2D</v>
          </cell>
        </row>
        <row r="25">
          <cell r="A25" t="str">
            <v>ENG2B</v>
          </cell>
        </row>
        <row r="26">
          <cell r="A26" t="str">
            <v>ENG3B</v>
          </cell>
        </row>
        <row r="27">
          <cell r="A27" t="str">
            <v>ENG1K</v>
          </cell>
        </row>
        <row r="28">
          <cell r="A28" t="str">
            <v>EWG1D</v>
          </cell>
        </row>
        <row r="29">
          <cell r="A29" t="str">
            <v>EWG2D</v>
          </cell>
        </row>
        <row r="30">
          <cell r="A30" t="str">
            <v>EUG1D</v>
          </cell>
        </row>
        <row r="31">
          <cell r="A31" t="str">
            <v>EUG1D_150</v>
          </cell>
        </row>
        <row r="32">
          <cell r="A32" t="str">
            <v>EP1D</v>
          </cell>
        </row>
        <row r="33">
          <cell r="A33" t="str">
            <v>EPG1D, EPG1DM</v>
          </cell>
        </row>
        <row r="34">
          <cell r="A34" t="str">
            <v>EPT1D</v>
          </cell>
        </row>
        <row r="35">
          <cell r="A35" t="str">
            <v>EPT1B</v>
          </cell>
        </row>
        <row r="36">
          <cell r="A36" t="str">
            <v>EPT1B2</v>
          </cell>
        </row>
        <row r="37">
          <cell r="A37" t="str">
            <v>EPT2B</v>
          </cell>
        </row>
        <row r="38">
          <cell r="A38" t="str">
            <v>EP2D</v>
          </cell>
        </row>
        <row r="39">
          <cell r="A39" t="str">
            <v>EPG2D, EPG2DM</v>
          </cell>
        </row>
        <row r="40">
          <cell r="A40" t="str">
            <v>EPS2D</v>
          </cell>
        </row>
        <row r="41">
          <cell r="A41" t="str">
            <v>EPSG2D, EPSG2DM</v>
          </cell>
        </row>
        <row r="42">
          <cell r="A42" t="str">
            <v>EP3B1D</v>
          </cell>
        </row>
        <row r="43">
          <cell r="A43" t="str">
            <v>EP2B1D</v>
          </cell>
        </row>
        <row r="44">
          <cell r="A44" t="str">
            <v>EPT2D</v>
          </cell>
        </row>
        <row r="45">
          <cell r="A45" t="str">
            <v>EPTG2D, EPTG2DM</v>
          </cell>
        </row>
        <row r="46">
          <cell r="A46" t="str">
            <v>EPT2B1D</v>
          </cell>
        </row>
        <row r="47">
          <cell r="A47" t="str">
            <v>EPTP1D</v>
          </cell>
        </row>
        <row r="48">
          <cell r="A48" t="str">
            <v>EPT1B1D</v>
          </cell>
        </row>
        <row r="49">
          <cell r="A49" t="str">
            <v>EPTG1B1D, EPTG1B1DM</v>
          </cell>
        </row>
        <row r="50">
          <cell r="A50" t="str">
            <v>EPP2D</v>
          </cell>
        </row>
        <row r="51">
          <cell r="A51" t="str">
            <v>EPSP2D</v>
          </cell>
        </row>
        <row r="52">
          <cell r="A52" t="str">
            <v>EZ1F</v>
          </cell>
        </row>
        <row r="53">
          <cell r="A53" t="str">
            <v>EVO</v>
          </cell>
        </row>
        <row r="54">
          <cell r="A54" t="str">
            <v>EMV1D</v>
          </cell>
        </row>
        <row r="55">
          <cell r="A55" t="str">
            <v>EMV1V (поворотный)</v>
          </cell>
        </row>
        <row r="56">
          <cell r="A56" t="str">
            <v>EMV2D</v>
          </cell>
        </row>
        <row r="57">
          <cell r="A57" t="str">
            <v>EMV2V</v>
          </cell>
        </row>
        <row r="58">
          <cell r="A58" t="str">
            <v>EUV1D</v>
          </cell>
        </row>
        <row r="59">
          <cell r="A59" t="str">
            <v>EHV1D</v>
          </cell>
        </row>
        <row r="60">
          <cell r="A60" t="str">
            <v>EHV2D</v>
          </cell>
        </row>
        <row r="61">
          <cell r="A61" t="str">
            <v>EDV1D</v>
          </cell>
        </row>
        <row r="62">
          <cell r="A62" t="str">
            <v>EWV1D</v>
          </cell>
        </row>
        <row r="63">
          <cell r="A63" t="str">
            <v>EWV2D</v>
          </cell>
        </row>
        <row r="64">
          <cell r="A64" t="str">
            <v>EWV2V</v>
          </cell>
        </row>
        <row r="65">
          <cell r="A65" t="str">
            <v>ERV</v>
          </cell>
        </row>
        <row r="66">
          <cell r="A66" t="str">
            <v>ERV1D</v>
          </cell>
        </row>
        <row r="67">
          <cell r="A67" t="str">
            <v xml:space="preserve">EVG1D </v>
          </cell>
        </row>
        <row r="68">
          <cell r="A68" t="str">
            <v>EVG2D</v>
          </cell>
        </row>
        <row r="69">
          <cell r="A69" t="str">
            <v>EVG2V</v>
          </cell>
        </row>
        <row r="70">
          <cell r="A70" t="str">
            <v>EUVG1D</v>
          </cell>
        </row>
        <row r="71">
          <cell r="A71" t="str">
            <v>ESVX1D</v>
          </cell>
        </row>
      </sheetData>
      <sheetData sheetId="4">
        <row r="2">
          <cell r="A2" t="str">
            <v>EVO</v>
          </cell>
        </row>
        <row r="3">
          <cell r="A3" t="str">
            <v>EMV1D</v>
          </cell>
        </row>
        <row r="4">
          <cell r="A4" t="str">
            <v>EMV1V</v>
          </cell>
        </row>
        <row r="5">
          <cell r="A5" t="str">
            <v>EMV2D</v>
          </cell>
        </row>
        <row r="6">
          <cell r="A6" t="str">
            <v>EMV2V</v>
          </cell>
        </row>
        <row r="7">
          <cell r="A7" t="str">
            <v>EUV1D</v>
          </cell>
        </row>
        <row r="8">
          <cell r="A8" t="str">
            <v>EHV1D</v>
          </cell>
        </row>
        <row r="9">
          <cell r="A9" t="str">
            <v>EHV2D</v>
          </cell>
        </row>
        <row r="10">
          <cell r="A10" t="str">
            <v>EDV1D</v>
          </cell>
        </row>
        <row r="11">
          <cell r="A11" t="str">
            <v xml:space="preserve">EWV1D </v>
          </cell>
        </row>
        <row r="12">
          <cell r="A12" t="str">
            <v>EWV2D</v>
          </cell>
        </row>
        <row r="13">
          <cell r="A13" t="str">
            <v>EWV2V</v>
          </cell>
        </row>
        <row r="14">
          <cell r="A14" t="str">
            <v>ERV</v>
          </cell>
        </row>
        <row r="15">
          <cell r="A15" t="str">
            <v>ERV1D</v>
          </cell>
        </row>
        <row r="16">
          <cell r="A16" t="str">
            <v xml:space="preserve">EVG1D </v>
          </cell>
        </row>
        <row r="17">
          <cell r="A17" t="str">
            <v>EVG2D</v>
          </cell>
        </row>
        <row r="18">
          <cell r="A18" t="str">
            <v>EVG2V</v>
          </cell>
        </row>
        <row r="19">
          <cell r="A19" t="str">
            <v>EUVG1D</v>
          </cell>
        </row>
        <row r="20">
          <cell r="A20" t="str">
            <v>EZ1F</v>
          </cell>
        </row>
        <row r="21">
          <cell r="A21" t="str">
            <v>ESVX1D</v>
          </cell>
        </row>
      </sheetData>
      <sheetData sheetId="5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Камынин Василий Алексеевич" refreshedDate="45826.626009027779" createdVersion="8" refreshedVersion="8" minRefreshableVersion="3" recordCount="335" xr:uid="{00000000-000A-0000-FFFF-FFFF00000000}">
  <cacheSource type="worksheet">
    <worksheetSource ref="A1:O336" sheet="TDSheet"/>
  </cacheSource>
  <cacheFields count="15">
    <cacheField name="Период" numFmtId="0">
      <sharedItems/>
    </cacheField>
    <cacheField name="Регистратор" numFmtId="0">
      <sharedItems/>
    </cacheField>
    <cacheField name="Номер строки" numFmtId="1">
      <sharedItems containsSemiMixedTypes="0" containsString="0" containsNumber="1" containsInteger="1" minValue="1" maxValue="83"/>
    </cacheField>
    <cacheField name="Изделие" numFmtId="0">
      <sharedItems count="87">
        <s v="JP053"/>
        <s v="EP2D(DZS)"/>
        <s v="EP2D(DZT)"/>
        <s v="JO796"/>
        <s v="EHV1D_312(DZV)"/>
        <s v="EVG1D(DZU)"/>
        <s v="Полка отдельностоящая_S"/>
        <s v="ENO"/>
        <s v="EMN1D"/>
        <s v="EMN2D"/>
        <s v="EWN1D"/>
        <s v="EWN2D"/>
        <s v="EUN1D"/>
        <s v="EWU1D"/>
        <s v="EMN1B1D"/>
        <s v="EMN4B"/>
        <s v="EMN3B"/>
        <s v="EMN2B"/>
        <s v="ETN1B"/>
        <s v="EMN1B2D"/>
        <s v="ERN"/>
        <s v="ERN1D"/>
        <s v="ENG1D"/>
        <s v="ENG2D"/>
        <s v="EMN1K"/>
        <s v="ENG1K"/>
        <s v="EWG1D"/>
        <s v="EWG2D"/>
        <s v="EUG1D"/>
        <s v="EVO"/>
        <s v="EMV1D"/>
        <s v="EP1D"/>
        <s v="EPT1D"/>
        <s v="EP2D"/>
        <s v="EMV1V"/>
        <s v="EMV2D"/>
        <s v="EMV2V"/>
        <s v="EDV1D"/>
        <s v="EP3B1D"/>
        <s v="EP2B1D"/>
        <s v="EPTP1D"/>
        <s v="EPS2D"/>
        <s v="EPT2B1D"/>
        <s v="EPSP2D"/>
        <s v="EVG1D"/>
        <s v="EVG2D"/>
        <s v="EUV1D"/>
        <s v="EWV1D"/>
        <s v="EWV2D"/>
        <s v="EHV1D"/>
        <s v="EWV1V"/>
        <s v="EVG2V"/>
        <s v="EWV2V"/>
        <s v="EZ1F"/>
        <s v="ERV1D"/>
        <s v="EHV2D"/>
        <s v="ENG2B"/>
        <s v="ENG3B"/>
        <s v="EUVG1D"/>
        <s v="ESNX1D"/>
        <s v="ESVX1D"/>
        <s v="EPT1B"/>
        <s v="EWU1D_150"/>
        <s v="EUN1D_150"/>
        <s v="EUG1D_150"/>
        <s v="EPSG2D"/>
        <s v="EPTG2D"/>
        <s v="EPTG1B1D"/>
        <s v="EPG2D"/>
        <s v="EPG2DM"/>
        <s v="EPG1D"/>
        <s v="Комплекты фурнитуры"/>
        <s v="Панель"/>
        <s v="Softline Marine"/>
        <s v="EMV1VN"/>
        <s v="EMV1DN"/>
        <s v="EMN1W1B"/>
        <s v="Цоколь для опор 120 мм"/>
        <s v="Цоколь для опор 150 мм"/>
        <s v="EHV1D_312"/>
        <s v="EHV2D_312"/>
        <s v="EPN1B1D"/>
        <s v="EPN2D"/>
        <s v="EMV1DL"/>
        <s v="Профиль подсветки вр.гор."/>
        <s v="EMV2DL"/>
        <s v="JP057"/>
      </sharedItems>
    </cacheField>
    <cacheField name="Контрагент" numFmtId="0">
      <sharedItems containsBlank="1"/>
    </cacheField>
    <cacheField name="Входящие параметры" numFmtId="0">
      <sharedItems count="125">
        <s v="EAST 3 гр.пленок глух/витр. 16 мм 565"/>
        <s v="EAST 3 гр.пленок решетка 16 мм 565"/>
        <s v="EAST 1 гр.пленок глух/витр. 16 мм"/>
        <s v="EAST 1 гр.пленок решетка 16 мм"/>
        <s v="EAST 2 гр.пленок глух/витр. 16 мм 566"/>
        <s v="EAST 2 гр.пленок решетка 16 мм 566"/>
        <s v="WEST 1 гр.пленок глух/витр. 16 мм"/>
        <s v="WEST 1 гр.пленок решетка 16 мм"/>
        <s v="WEST 2 гр.пленок глух/витр. 16 мм +237"/>
        <s v="WEST 2 гр.пленок решетка 16 мм +237"/>
        <s v="WEST 3 гр.пленок глух/витр. 16 мм"/>
        <s v="WEST 3 гр.пленок решетка 16 мм"/>
        <s v="WEST 4 гр.пленок глух/витр. 16 мм"/>
        <s v="WEST 4 гр.пленок решетка 16 мм"/>
        <s v="EAST 1 гр.пленок глух/витр. 18_19 мм"/>
        <s v="EAST 1 гр.пленок решетка 19 мм"/>
        <s v="EAST 2 гр.пленок глух/витр. 18_19 мм 566"/>
        <s v="EAST 2 гр.пленок решетка 19 мм 566"/>
        <s v="EAST 3 гр.пленок глух/витр. 18_19 мм 565"/>
        <s v="EAST 3 гр.пленок решетка 19 мм 565"/>
        <s v="WEST 1 гр.пленок глух/витр. 18_19 мм"/>
        <s v="WEST 1 гр.пленок решетка 19 мм"/>
        <s v="WEST 2 гр.пленок глух/витр. 18_19 мм +237"/>
        <s v="WEST 2 гр.пленок решетка 19 мм +237"/>
        <s v="WEST 3 гр.пленок глух/витр. 18_19 мм"/>
        <s v="WEST 3 гр.пленок решетка 19 мм"/>
        <s v="WEST 4 гр.пленок глух/витр. 18_19 мм"/>
        <s v="WEST 4 гр.пленок решетка 19 мм"/>
        <s v="WEST 3 гр.пленок глух/витр. 22 мм 28.03.22"/>
        <s v="EAST 3 гр.пленок глух/витр. 16 мм 28.03.22 (Для Евродизайн)"/>
        <s v="материал исполнения"/>
        <s v="материал исполнения premium"/>
        <s v="полка из ДСП белая и бежевая"/>
        <s v="КФ KEKU"/>
        <s v="KFP-SB-PPHF"/>
        <s v="KFN-SB-DWD95_350"/>
        <s v="KFS-SB-BYT_30"/>
        <s v="КФ крепежа корпуса 1, 19"/>
        <s v="КФ крепежа корпуса 2"/>
        <s v="КФ крепежа корпуса 3"/>
        <s v="КФ крепежа корпуса 4"/>
        <s v="КФ крепежа корпуса 5"/>
        <s v="КФ крепежа корпуса 6"/>
        <s v="КФ крепежа корпуса 7"/>
        <s v="КФ крепежа корпуса 8"/>
        <s v="КФ крепежа корпуса 9"/>
        <s v="КФ крепежа корпуса 10"/>
        <s v="КФ крепежа корпуса 14"/>
        <s v="КФ крепежа корпуса 15"/>
        <s v="КФ крепежа корпуса 16"/>
        <s v="КФ крепежа корпуса 11"/>
        <s v="КФ крепежа корпуса 12, 20"/>
        <s v="КФ крепежа корпуса 13,18"/>
        <s v="КФ Сушка AFF 600"/>
        <s v="КФ Сушка AFF 800"/>
        <s v="КФ Сушка AFF 900"/>
        <s v="КФ петля полунакладная угловая 45/95 град. с крест"/>
        <s v="КФ петли накл.110 гр. с крестообр. планкой"/>
        <s v="КФ петли вклад. 95 гр. с крестообр. Планкой"/>
        <s v="КФ Aventos HK-S 02_Gr"/>
        <s v="КФ Aventos HK-S 04_Gr"/>
        <s v="КФ Aventos HK 03"/>
        <s v="КФ навесы для шкафа"/>
        <s v="КФ для полки 4"/>
        <s v="КФ для полки 5"/>
        <s v="КФ для стеклянной полки 4"/>
        <s v="КФ для стеклянной полки 5"/>
        <s v="KFPr-SB-Z(заглушки 5мм)"/>
        <s v="KFPr-SB-ZKK(заглушки 15мм) 8шт"/>
        <s v="KFPr-SB-ZKK(заглушки 15мм) 4шт"/>
        <s v="KFPr-SB-SPL"/>
        <s v="KFPr-SB-SMRZ_16мм КФ Шурупы"/>
        <s v="КФ  крепления профиля Gola"/>
        <s v="КФ евровинт"/>
        <s v="KFP-SP-PPGK_71"/>
        <s v="КФ ящика Matrix (H=175 мм)_450_GR"/>
        <s v="КФ ящика Matrix (H=89 мм)_450_GR"/>
        <s v="KFP-SP-PPGK"/>
        <s v="KFP-SB-GT110"/>
        <s v="KFP-SB-GT45"/>
        <s v="KFP-SB-GT90"/>
        <s v="KFN-SB-M54"/>
        <s v="KFN-SB-M86"/>
        <s v="KFN-SB-MD"/>
        <s v="KFP-SB-N45"/>
        <s v="KFP-SB-P95"/>
        <s v="KFP-SB-N110"/>
        <s v="KFP-SP-PPA"/>
        <s v="KFP-SB-PY94"/>
        <s v="KFPr-SB-POD"/>
        <s v="КФ опора пластиковая 120_150"/>
        <s v="KFPr-SB-StK"/>
        <s v="KFS-SB-60"/>
        <s v="KFS-SB-80"/>
        <s v="KFS-SB-90"/>
        <s v="KFPr-SB-ZP - заглушки для KFPr-SB-POD"/>
        <s v="KFN-SB-M15"/>
        <s v="KFS-SB-45"/>
        <s v="KFS-SB-BYT"/>
        <s v="KFP-SB-GT120"/>
        <s v="КФ петли SENS накл.110 гр. с крестообр. планкой"/>
        <s v="Комплекты светильников"/>
        <s v="КФ сушка 90 двухуровневая"/>
        <s v="КФ сушка 45 двухуровневая"/>
        <s v="КФ сушка 60 двухуровневая"/>
        <s v="КФ сушка 80 двухуровневая"/>
        <s v="КФ сушка 45 одноуровневая"/>
        <s v="КФ сушка 60 одноуровневая"/>
        <s v="КФ сушка 90 одноуровневая"/>
        <s v="Комплект для ящика Hettich ATIRA Серый, NL-470, H-70"/>
        <s v="Комплект для ящика Hettich ATIRA Серый с реллингом, NL-470, H-176"/>
        <s v="КФ крепления ящика Hettich"/>
        <s v="КФ крепежа корпуса 17"/>
        <s v="Корзина выдв.посудосуш.600 мм + напр. L450 Hettich (ХРОМ)"/>
        <s v="КФ петли под фасад из ал.профиля"/>
        <s v="КФ EMV1DL/2DL + рассеиватель"/>
        <s v="материал исполнения premium полки"/>
        <s v="Глухой для верх.ряда RS02"/>
        <s v="Глухой для нижн.ряда RS03"/>
        <s v="Глухой для с ручкой-раковиной RS01"/>
        <s v="Глухой в алюминиевом профиле 810"/>
        <s v="Глухой МД Softline Marine"/>
        <s v="Бленда Softline Marine"/>
        <s v="идеальный цоколь"/>
        <s v="профиль рассеиватель HLBL"/>
      </sharedItems>
    </cacheField>
    <cacheField name="Ограничивающие параметры" numFmtId="0">
      <sharedItems containsBlank="1"/>
    </cacheField>
    <cacheField name="Коэффициент" numFmtId="0">
      <sharedItems containsSemiMixedTypes="0" containsString="0" containsNumber="1" minValue="0.01" maxValue="28110.6"/>
    </cacheField>
    <cacheField name="Добавка" numFmtId="0">
      <sharedItems containsNonDate="0" containsString="0" containsBlank="1"/>
    </cacheField>
    <cacheField name="Способ расчета цены" numFmtId="0">
      <sharedItems count="4">
        <s v="За м2"/>
        <s v="Равно коэффициенту"/>
        <s v="По формуле и входящие параметры"/>
        <s v="За МП По высоте"/>
      </sharedItems>
    </cacheField>
    <cacheField name="Формула расчета" numFmtId="0">
      <sharedItems containsBlank="1" count="27">
        <m/>
        <s v="K+K*0.008*Окр((H-2.04)/0.01,0)+K*0.0065*Окр((W-0.6)/0.01,0) +?((G-0.56)&gt;0,K*0.03*Окр((G-0.56)/0.01,0),0)"/>
        <s v="K+K*0.0095*Окр((H-0.72)/0.01,0)+K*0.0065*Окр((W-0.5)/0.01,0) +?((G-0.315)&gt;0,K*0.03*Окр((G-0.315)/0.01,0),0)"/>
        <s v="K+K*0.008*Окр((H-0.72)/0.01,0)+K*0.0065*Окр((W-0.3)/0.01,0) +?((G-0.315)&gt;0,K*0.03*Окр((G-0.315)/0.01,0),0)"/>
        <s v="K+K*0.0095*Окр((H-0.72)/0.01,0)+K*0.0065*Окр((W-0.3)/0.01,0) +?((G-0.56)&gt;0,K*0.03*Окр((G-0.56)/0.01,0),0)"/>
        <s v="K+K*0.008*Окр((H-0.72)/0.01,0)+K*0.0065*Окр((W-0.3)/0.01,0) +?((G-0.56)&gt;0,K*0.03*Окр((G-0.56)/0.01,0),0)"/>
        <s v="K+K*0.008*Окр((H-0.72)/0.01,0)+K*0.0065*Окр((W-0.45)/0.01,0) +?((G-0.56)&gt;0,K*0.03*Окр((G-0.56)/0.01,0),0)"/>
        <s v="K+K*0.0065*Окр((H-0.72)/0.01,0)+K*0.0065*Окр((W-0.45)/0.01,0) +?((G-0.56)&gt;0,K*0.03*Окр((G-0.56)/0.01,0),0)"/>
        <s v="K+K*0.008*Окр((H-0.72)/0.01,0)+K*0.0065*Окр((W-0.75)/0.01,0) +?((G-0.560)&gt;0,K*0.03*Окр((G-0.560)/0.01,0),0)"/>
        <s v="K+K*0.008*Окр((H-0.72)/0.01,0)+K*0.0065*Окр((W-0.75)/0.01,0)"/>
        <s v="K+K*0.008*Окр((H-0.72)/0.01,0)+K*0.0065*Окр((W-0.3)/0.01,0)"/>
        <s v="K+K*0.008*Окр((H-0.72)/0.01,0)+K*0.0065*Окр((W-0.45)/0.01,0)"/>
        <s v="K+K*0.008*Окр((H-0.72)/0.01,0)+K*0.0065*Окр((W-0.315)/0.01,0) +?((G-0.56)&gt;0,K*0.03*Окр((G-0.56)/0.01,0),0)"/>
        <s v="K+K*0.008*Окр((H-1.32)/0.01,0)+K*0.0065*Окр((W-0.6)/0.01,0) +?((G-0.56)&gt;0,K*0.03*Окр((G-0.56)/0.01,0),0)"/>
        <s v="K+K*0.008*Окр((H-0.72)/0.01,0)+K*0.0065*Окр((W-0.6)/0.01,0)"/>
        <s v="K+K*0.008*Окр((H-2.04)/0.01,0)+K*0.0065*Окр((W-0.6)/0.01,0)"/>
        <s v="K+K*0.008*Окр((H-2.28)/0.01,0)+K*0.0065*Окр((W-0.6)/0.01,0) +?((G-0.56)&gt;0,K*0.03*Окр((G-0.56)/0.01,0),0)"/>
        <s v="K+K*0.0095*Окр((H-0.72)/0.01,0)+K*0.0065*Окр((W-0.45)/0.01,0) +?((G-0.315)&gt;0,K*0.03*Окр((G-0.315)/0.01,0),0)"/>
        <s v="K+K*0.0095*Окр((H-0.68)/0.01,0)+K*0.0065*Окр((W-0.5)/0.01,0) +?((G-0.315)&gt;0,K*0.03*Окр((G-0.315)/0.01,0),0)"/>
        <s v="K+K*0.008*Окр((H-0.72)/0.01,0)+K*0.0065*Окр((W-0.45)/0.01,0) +?((G-0.315)&gt;0,K*0.03*Окр((G-0.315)/0.01,0),0)"/>
        <s v="K+K*0.008*Окр((H-0.72)/0.01,0)+K*0.0065*Окр((W-0.1)/0.01,0) +?((G-0.56)&gt;0,K*0.03*Окр((G-0.56)/0.01,0),0)"/>
        <s v="K+K*0.008*Окр((H-0.72)/0.01,0)+K*0.0065*Окр((W-0.315)/0.01,0)"/>
        <s v="K+K*0.008*Окр((H-0.72)/0.01,0)+K*0.0065*Окр((W-0.23)/0.01,0) +?((G-0.54)&gt;0,K*0.03*Окр((G-0.54)/0.01,0),0)"/>
        <s v="K+K*0.008*Окр((H-0.96)/0.01,0)+K*0.0065*Окр((W-0.21)/0.01,0) +?((G-0.315)&gt;0,K*0.03*Окр((G-0.315)/0.01,0),0)"/>
        <s v="K+K*0.008*Окр((H-1.32)/0.01,0)+K*0.0065*Окр((W-0.6)/0.01,0)"/>
        <s v="K+K*0.008*Окр((H-0.72)/0.01,0)+K*0.0065*Окр((W-0.6)/0.01,0) +?((G-0.350)&gt;0,K*0.003*Окр((G-0.350)/0.01,0),0)"/>
        <s v="K+K*0.008*Окр((H-0.72)/0.01,0)+K*0.0065*Окр((W-0.3)/0.01,0) +?((G-0.315)&gt;0,K*0.003*Окр((G-0.315)/0.01,0),0)"/>
      </sharedItems>
    </cacheField>
    <cacheField name="Не учитывать нестандарт" numFmtId="0">
      <sharedItems/>
    </cacheField>
    <cacheField name="Не учитывать скидку" numFmtId="0">
      <sharedItems/>
    </cacheField>
    <cacheField name="Индивидуальный объемный коэффициент" numFmtId="0">
      <sharedItems containsString="0" containsBlank="1" containsNumber="1" containsInteger="1" minValue="1" maxValue="1"/>
    </cacheField>
    <cacheField name="Кратность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5">
  <r>
    <s v="23.05.2025"/>
    <s v="Заявка на разработку изделия 000026353 от 23.05.2025 9:18:38"/>
    <n v="3"/>
    <x v="0"/>
    <m/>
    <x v="0"/>
    <m/>
    <n v="5819.1"/>
    <m/>
    <x v="0"/>
    <x v="0"/>
    <s v="Нет"/>
    <s v="Нет"/>
    <n v="1"/>
    <m/>
  </r>
  <r>
    <s v="23.05.2025"/>
    <s v="Заявка на разработку изделия 000026353 от 23.05.2025 9:18:38"/>
    <n v="17"/>
    <x v="0"/>
    <m/>
    <x v="1"/>
    <m/>
    <n v="7273.35"/>
    <m/>
    <x v="0"/>
    <x v="0"/>
    <s v="Нет"/>
    <s v="Нет"/>
    <n v="1"/>
    <m/>
  </r>
  <r>
    <s v="23.05.2025"/>
    <s v="Заявка на разработку изделия 000026353 от 23.05.2025 9:18:38"/>
    <n v="1"/>
    <x v="0"/>
    <m/>
    <x v="2"/>
    <m/>
    <n v="3394.65"/>
    <m/>
    <x v="0"/>
    <x v="0"/>
    <s v="Нет"/>
    <s v="Нет"/>
    <n v="1"/>
    <m/>
  </r>
  <r>
    <s v="23.05.2025"/>
    <s v="Заявка на разработку изделия 000026353 от 23.05.2025 9:18:38"/>
    <n v="15"/>
    <x v="0"/>
    <m/>
    <x v="3"/>
    <m/>
    <n v="4243.05"/>
    <m/>
    <x v="0"/>
    <x v="0"/>
    <s v="Нет"/>
    <s v="Нет"/>
    <n v="1"/>
    <m/>
  </r>
  <r>
    <s v="23.05.2025"/>
    <s v="Заявка на разработку изделия 000026353 от 23.05.2025 9:18:38"/>
    <n v="2"/>
    <x v="0"/>
    <m/>
    <x v="4"/>
    <m/>
    <n v="4881.45"/>
    <m/>
    <x v="0"/>
    <x v="0"/>
    <s v="Нет"/>
    <s v="Нет"/>
    <n v="1"/>
    <m/>
  </r>
  <r>
    <s v="23.05.2025"/>
    <s v="Заявка на разработку изделия 000026353 от 23.05.2025 9:18:38"/>
    <n v="16"/>
    <x v="0"/>
    <m/>
    <x v="5"/>
    <m/>
    <n v="6100.5"/>
    <m/>
    <x v="0"/>
    <x v="0"/>
    <s v="Нет"/>
    <s v="Нет"/>
    <n v="1"/>
    <m/>
  </r>
  <r>
    <s v="23.05.2025"/>
    <s v="Заявка на разработку изделия 000026353 от 23.05.2025 9:18:38"/>
    <n v="4"/>
    <x v="0"/>
    <m/>
    <x v="6"/>
    <m/>
    <n v="4117.05"/>
    <m/>
    <x v="0"/>
    <x v="0"/>
    <s v="Нет"/>
    <s v="Нет"/>
    <n v="1"/>
    <m/>
  </r>
  <r>
    <s v="23.05.2025"/>
    <s v="Заявка на разработку изделия 000026353 от 23.05.2025 9:18:38"/>
    <n v="18"/>
    <x v="0"/>
    <m/>
    <x v="7"/>
    <m/>
    <n v="5145"/>
    <m/>
    <x v="0"/>
    <x v="0"/>
    <s v="Нет"/>
    <s v="Нет"/>
    <n v="1"/>
    <m/>
  </r>
  <r>
    <s v="23.05.2025"/>
    <s v="Заявка на разработку изделия 000026353 от 23.05.2025 9:18:38"/>
    <n v="5"/>
    <x v="0"/>
    <m/>
    <x v="8"/>
    <m/>
    <n v="5819.1"/>
    <m/>
    <x v="0"/>
    <x v="0"/>
    <s v="Нет"/>
    <s v="Нет"/>
    <n v="1"/>
    <m/>
  </r>
  <r>
    <s v="23.05.2025"/>
    <s v="Заявка на разработку изделия 000026353 от 23.05.2025 9:18:38"/>
    <n v="19"/>
    <x v="0"/>
    <m/>
    <x v="9"/>
    <m/>
    <n v="7273.35"/>
    <m/>
    <x v="0"/>
    <x v="0"/>
    <s v="Нет"/>
    <s v="Нет"/>
    <n v="1"/>
    <m/>
  </r>
  <r>
    <s v="23.05.2025"/>
    <s v="Заявка на разработку изделия 000026353 от 23.05.2025 9:18:38"/>
    <n v="6"/>
    <x v="0"/>
    <m/>
    <x v="10"/>
    <m/>
    <n v="6754.65"/>
    <m/>
    <x v="0"/>
    <x v="0"/>
    <s v="Нет"/>
    <s v="Нет"/>
    <n v="1"/>
    <m/>
  </r>
  <r>
    <s v="23.05.2025"/>
    <s v="Заявка на разработку изделия 000026353 от 23.05.2025 9:18:38"/>
    <n v="20"/>
    <x v="0"/>
    <m/>
    <x v="11"/>
    <m/>
    <n v="8443.0499999999993"/>
    <m/>
    <x v="0"/>
    <x v="0"/>
    <s v="Нет"/>
    <s v="Нет"/>
    <n v="1"/>
    <m/>
  </r>
  <r>
    <s v="23.05.2025"/>
    <s v="Заявка на разработку изделия 000026353 от 23.05.2025 9:18:38"/>
    <n v="7"/>
    <x v="0"/>
    <m/>
    <x v="12"/>
    <m/>
    <n v="7693.35"/>
    <m/>
    <x v="0"/>
    <x v="0"/>
    <s v="Нет"/>
    <s v="Нет"/>
    <n v="1"/>
    <m/>
  </r>
  <r>
    <s v="23.05.2025"/>
    <s v="Заявка на разработку изделия 000026353 от 23.05.2025 9:18:38"/>
    <n v="21"/>
    <x v="0"/>
    <m/>
    <x v="13"/>
    <m/>
    <n v="9615.9"/>
    <m/>
    <x v="0"/>
    <x v="0"/>
    <s v="Нет"/>
    <s v="Нет"/>
    <n v="1"/>
    <m/>
  </r>
  <r>
    <s v="23.05.2025"/>
    <s v="Заявка на разработку изделия 000026353 от 23.05.2025 9:18:38"/>
    <n v="8"/>
    <x v="0"/>
    <m/>
    <x v="14"/>
    <m/>
    <n v="3734.85"/>
    <m/>
    <x v="0"/>
    <x v="0"/>
    <s v="Нет"/>
    <s v="Нет"/>
    <n v="1"/>
    <m/>
  </r>
  <r>
    <s v="23.05.2025"/>
    <s v="Заявка на разработку изделия 000026353 от 23.05.2025 9:18:38"/>
    <n v="22"/>
    <x v="0"/>
    <m/>
    <x v="15"/>
    <m/>
    <n v="4667.25"/>
    <m/>
    <x v="0"/>
    <x v="0"/>
    <s v="Нет"/>
    <s v="Нет"/>
    <n v="1"/>
    <m/>
  </r>
  <r>
    <s v="23.05.2025"/>
    <s v="Заявка на разработку изделия 000026353 от 23.05.2025 9:18:38"/>
    <n v="9"/>
    <x v="0"/>
    <m/>
    <x v="16"/>
    <m/>
    <n v="5368.65"/>
    <m/>
    <x v="0"/>
    <x v="0"/>
    <s v="Нет"/>
    <s v="Нет"/>
    <n v="1"/>
    <m/>
  </r>
  <r>
    <s v="23.05.2025"/>
    <s v="Заявка на разработку изделия 000026353 от 23.05.2025 9:18:38"/>
    <n v="23"/>
    <x v="0"/>
    <m/>
    <x v="17"/>
    <m/>
    <n v="6710.55"/>
    <m/>
    <x v="0"/>
    <x v="0"/>
    <s v="Нет"/>
    <s v="Нет"/>
    <n v="1"/>
    <m/>
  </r>
  <r>
    <s v="23.05.2025"/>
    <s v="Заявка на разработку изделия 000026353 от 23.05.2025 9:18:38"/>
    <n v="10"/>
    <x v="0"/>
    <m/>
    <x v="18"/>
    <m/>
    <n v="6400.8"/>
    <m/>
    <x v="0"/>
    <x v="0"/>
    <s v="Нет"/>
    <s v="Нет"/>
    <n v="1"/>
    <m/>
  </r>
  <r>
    <s v="23.05.2025"/>
    <s v="Заявка на разработку изделия 000026353 от 23.05.2025 9:18:38"/>
    <n v="24"/>
    <x v="0"/>
    <m/>
    <x v="19"/>
    <m/>
    <n v="8002.05"/>
    <m/>
    <x v="0"/>
    <x v="0"/>
    <s v="Нет"/>
    <s v="Нет"/>
    <n v="1"/>
    <m/>
  </r>
  <r>
    <s v="23.05.2025"/>
    <s v="Заявка на разработку изделия 000026353 от 23.05.2025 9:18:38"/>
    <n v="11"/>
    <x v="0"/>
    <m/>
    <x v="20"/>
    <m/>
    <n v="4525.5"/>
    <m/>
    <x v="0"/>
    <x v="0"/>
    <s v="Нет"/>
    <s v="Нет"/>
    <n v="1"/>
    <m/>
  </r>
  <r>
    <s v="23.05.2025"/>
    <s v="Заявка на разработку изделия 000026353 от 23.05.2025 9:18:38"/>
    <n v="25"/>
    <x v="0"/>
    <m/>
    <x v="21"/>
    <m/>
    <n v="5656.35"/>
    <m/>
    <x v="0"/>
    <x v="0"/>
    <s v="Нет"/>
    <s v="Нет"/>
    <n v="1"/>
    <m/>
  </r>
  <r>
    <s v="23.05.2025"/>
    <s v="Заявка на разработку изделия 000026353 от 23.05.2025 9:18:38"/>
    <n v="12"/>
    <x v="0"/>
    <m/>
    <x v="22"/>
    <m/>
    <n v="6400.8"/>
    <m/>
    <x v="0"/>
    <x v="0"/>
    <s v="Нет"/>
    <s v="Нет"/>
    <n v="1"/>
    <m/>
  </r>
  <r>
    <s v="23.05.2025"/>
    <s v="Заявка на разработку изделия 000026353 от 23.05.2025 9:18:38"/>
    <n v="26"/>
    <x v="0"/>
    <m/>
    <x v="23"/>
    <m/>
    <n v="8002.05"/>
    <m/>
    <x v="0"/>
    <x v="0"/>
    <s v="Нет"/>
    <s v="Нет"/>
    <n v="1"/>
    <m/>
  </r>
  <r>
    <s v="23.05.2025"/>
    <s v="Заявка на разработку изделия 000026353 от 23.05.2025 9:18:38"/>
    <n v="13"/>
    <x v="0"/>
    <m/>
    <x v="24"/>
    <m/>
    <n v="7431.9"/>
    <m/>
    <x v="0"/>
    <x v="0"/>
    <s v="Нет"/>
    <s v="Нет"/>
    <n v="1"/>
    <m/>
  </r>
  <r>
    <s v="23.05.2025"/>
    <s v="Заявка на разработку изделия 000026353 от 23.05.2025 9:18:38"/>
    <n v="27"/>
    <x v="0"/>
    <m/>
    <x v="25"/>
    <m/>
    <n v="9289.35"/>
    <m/>
    <x v="0"/>
    <x v="0"/>
    <s v="Нет"/>
    <s v="Нет"/>
    <n v="1"/>
    <m/>
  </r>
  <r>
    <s v="23.05.2025"/>
    <s v="Заявка на разработку изделия 000026353 от 23.05.2025 9:18:38"/>
    <n v="14"/>
    <x v="0"/>
    <m/>
    <x v="26"/>
    <m/>
    <n v="8463"/>
    <m/>
    <x v="0"/>
    <x v="0"/>
    <s v="Нет"/>
    <s v="Нет"/>
    <n v="1"/>
    <m/>
  </r>
  <r>
    <s v="23.05.2025"/>
    <s v="Заявка на разработку изделия 000026353 от 23.05.2025 9:18:38"/>
    <n v="28"/>
    <x v="0"/>
    <m/>
    <x v="27"/>
    <m/>
    <n v="10579.8"/>
    <m/>
    <x v="0"/>
    <x v="0"/>
    <s v="Нет"/>
    <s v="Нет"/>
    <n v="1"/>
    <m/>
  </r>
  <r>
    <s v="23.05.2025"/>
    <s v="Заявка на разработку изделия 000026353 от 23.05.2025 9:18:38"/>
    <n v="31"/>
    <x v="0"/>
    <m/>
    <x v="28"/>
    <m/>
    <n v="8085"/>
    <m/>
    <x v="0"/>
    <x v="0"/>
    <s v="Нет"/>
    <s v="Нет"/>
    <n v="1"/>
    <m/>
  </r>
  <r>
    <s v="23.05.2025"/>
    <s v="Заявка на разработку изделия 000026353 от 23.05.2025 9:18:38"/>
    <n v="30"/>
    <x v="0"/>
    <s v="ЕВРОДИЗАЙН"/>
    <x v="18"/>
    <m/>
    <n v="5605.95"/>
    <m/>
    <x v="0"/>
    <x v="0"/>
    <s v="Да"/>
    <s v="Нет"/>
    <n v="1"/>
    <m/>
  </r>
  <r>
    <s v="23.05.2025"/>
    <s v="Заявка на разработку изделия 000026353 от 23.05.2025 9:18:38"/>
    <n v="29"/>
    <x v="0"/>
    <s v="ЕВРОДИЗАЙН"/>
    <x v="29"/>
    <m/>
    <n v="4916.1000000000004"/>
    <m/>
    <x v="0"/>
    <x v="0"/>
    <s v="Да"/>
    <s v="Нет"/>
    <n v="1"/>
    <m/>
  </r>
  <r>
    <s v="28.05.2025"/>
    <s v="Заявка на разработку изделия 000026356 от 28.05.2025 8:43:02"/>
    <n v="1"/>
    <x v="1"/>
    <m/>
    <x v="30"/>
    <m/>
    <n v="28110.6"/>
    <m/>
    <x v="1"/>
    <x v="1"/>
    <s v="Нет"/>
    <s v="Нет"/>
    <n v="1"/>
    <m/>
  </r>
  <r>
    <s v="28.05.2025"/>
    <s v="Заявка на разработку изделия 000026357 от 28.05.2025 10:34:41"/>
    <n v="1"/>
    <x v="2"/>
    <m/>
    <x v="30"/>
    <m/>
    <n v="22818.5"/>
    <m/>
    <x v="1"/>
    <x v="1"/>
    <s v="Нет"/>
    <s v="Нет"/>
    <n v="1"/>
    <m/>
  </r>
  <r>
    <s v="29.05.2025"/>
    <s v="Заявка на разработку изделия 000026358 от 29.05.2025 12:05:11"/>
    <n v="3"/>
    <x v="3"/>
    <m/>
    <x v="0"/>
    <m/>
    <n v="5542"/>
    <m/>
    <x v="0"/>
    <x v="0"/>
    <s v="Нет"/>
    <s v="Нет"/>
    <n v="1"/>
    <m/>
  </r>
  <r>
    <s v="29.05.2025"/>
    <s v="Заявка на разработку изделия 000026358 от 29.05.2025 12:05:11"/>
    <n v="17"/>
    <x v="3"/>
    <m/>
    <x v="1"/>
    <m/>
    <n v="6927"/>
    <m/>
    <x v="0"/>
    <x v="0"/>
    <s v="Нет"/>
    <s v="Нет"/>
    <n v="1"/>
    <m/>
  </r>
  <r>
    <s v="29.05.2025"/>
    <s v="Заявка на разработку изделия 000026358 от 29.05.2025 12:05:11"/>
    <n v="1"/>
    <x v="3"/>
    <m/>
    <x v="2"/>
    <m/>
    <n v="3233"/>
    <m/>
    <x v="0"/>
    <x v="0"/>
    <s v="Нет"/>
    <s v="Нет"/>
    <n v="1"/>
    <m/>
  </r>
  <r>
    <s v="29.05.2025"/>
    <s v="Заявка на разработку изделия 000026358 от 29.05.2025 12:05:11"/>
    <n v="15"/>
    <x v="3"/>
    <m/>
    <x v="3"/>
    <m/>
    <n v="4041"/>
    <m/>
    <x v="0"/>
    <x v="0"/>
    <s v="Нет"/>
    <s v="Нет"/>
    <n v="1"/>
    <m/>
  </r>
  <r>
    <s v="29.05.2025"/>
    <s v="Заявка на разработку изделия 000026358 от 29.05.2025 12:05:11"/>
    <n v="2"/>
    <x v="3"/>
    <m/>
    <x v="4"/>
    <m/>
    <n v="4649"/>
    <m/>
    <x v="0"/>
    <x v="0"/>
    <s v="Нет"/>
    <s v="Нет"/>
    <n v="1"/>
    <m/>
  </r>
  <r>
    <s v="29.05.2025"/>
    <s v="Заявка на разработку изделия 000026358 от 29.05.2025 12:05:11"/>
    <n v="16"/>
    <x v="3"/>
    <m/>
    <x v="5"/>
    <m/>
    <n v="5810"/>
    <m/>
    <x v="0"/>
    <x v="0"/>
    <s v="Нет"/>
    <s v="Нет"/>
    <n v="1"/>
    <m/>
  </r>
  <r>
    <s v="29.05.2025"/>
    <s v="Заявка на разработку изделия 000026358 от 29.05.2025 12:05:11"/>
    <n v="4"/>
    <x v="3"/>
    <m/>
    <x v="6"/>
    <m/>
    <n v="3921"/>
    <m/>
    <x v="0"/>
    <x v="0"/>
    <s v="Нет"/>
    <s v="Нет"/>
    <n v="1"/>
    <m/>
  </r>
  <r>
    <s v="29.05.2025"/>
    <s v="Заявка на разработку изделия 000026358 от 29.05.2025 12:05:11"/>
    <n v="18"/>
    <x v="3"/>
    <m/>
    <x v="7"/>
    <m/>
    <n v="4900"/>
    <m/>
    <x v="0"/>
    <x v="0"/>
    <s v="Нет"/>
    <s v="Нет"/>
    <n v="1"/>
    <m/>
  </r>
  <r>
    <s v="29.05.2025"/>
    <s v="Заявка на разработку изделия 000026358 от 29.05.2025 12:05:11"/>
    <n v="5"/>
    <x v="3"/>
    <m/>
    <x v="8"/>
    <m/>
    <n v="5542"/>
    <m/>
    <x v="0"/>
    <x v="0"/>
    <s v="Нет"/>
    <s v="Нет"/>
    <n v="1"/>
    <m/>
  </r>
  <r>
    <s v="29.05.2025"/>
    <s v="Заявка на разработку изделия 000026358 от 29.05.2025 12:05:11"/>
    <n v="19"/>
    <x v="3"/>
    <m/>
    <x v="9"/>
    <m/>
    <n v="6927"/>
    <m/>
    <x v="0"/>
    <x v="0"/>
    <s v="Нет"/>
    <s v="Нет"/>
    <n v="1"/>
    <m/>
  </r>
  <r>
    <s v="29.05.2025"/>
    <s v="Заявка на разработку изделия 000026358 от 29.05.2025 12:05:11"/>
    <n v="6"/>
    <x v="3"/>
    <m/>
    <x v="10"/>
    <m/>
    <n v="6433"/>
    <m/>
    <x v="0"/>
    <x v="0"/>
    <s v="Нет"/>
    <s v="Нет"/>
    <n v="1"/>
    <m/>
  </r>
  <r>
    <s v="29.05.2025"/>
    <s v="Заявка на разработку изделия 000026358 от 29.05.2025 12:05:11"/>
    <n v="20"/>
    <x v="3"/>
    <m/>
    <x v="11"/>
    <m/>
    <n v="8041"/>
    <m/>
    <x v="0"/>
    <x v="0"/>
    <s v="Нет"/>
    <s v="Нет"/>
    <n v="1"/>
    <m/>
  </r>
  <r>
    <s v="29.05.2025"/>
    <s v="Заявка на разработку изделия 000026358 от 29.05.2025 12:05:11"/>
    <n v="7"/>
    <x v="3"/>
    <m/>
    <x v="12"/>
    <m/>
    <n v="7327"/>
    <m/>
    <x v="0"/>
    <x v="0"/>
    <s v="Нет"/>
    <s v="Нет"/>
    <n v="1"/>
    <m/>
  </r>
  <r>
    <s v="29.05.2025"/>
    <s v="Заявка на разработку изделия 000026358 от 29.05.2025 12:05:11"/>
    <n v="21"/>
    <x v="3"/>
    <m/>
    <x v="13"/>
    <m/>
    <n v="9158"/>
    <m/>
    <x v="0"/>
    <x v="0"/>
    <s v="Нет"/>
    <s v="Нет"/>
    <n v="1"/>
    <m/>
  </r>
  <r>
    <s v="29.05.2025"/>
    <s v="Заявка на разработку изделия 000026358 от 29.05.2025 12:05:11"/>
    <n v="8"/>
    <x v="3"/>
    <m/>
    <x v="14"/>
    <m/>
    <n v="3557"/>
    <m/>
    <x v="0"/>
    <x v="0"/>
    <s v="Нет"/>
    <s v="Нет"/>
    <n v="1"/>
    <m/>
  </r>
  <r>
    <s v="29.05.2025"/>
    <s v="Заявка на разработку изделия 000026358 от 29.05.2025 12:05:11"/>
    <n v="22"/>
    <x v="3"/>
    <m/>
    <x v="15"/>
    <m/>
    <n v="4445"/>
    <m/>
    <x v="0"/>
    <x v="0"/>
    <s v="Нет"/>
    <s v="Нет"/>
    <n v="1"/>
    <m/>
  </r>
  <r>
    <s v="29.05.2025"/>
    <s v="Заявка на разработку изделия 000026358 от 29.05.2025 12:05:11"/>
    <n v="9"/>
    <x v="3"/>
    <m/>
    <x v="16"/>
    <m/>
    <n v="5113"/>
    <m/>
    <x v="0"/>
    <x v="0"/>
    <s v="Нет"/>
    <s v="Нет"/>
    <n v="1"/>
    <m/>
  </r>
  <r>
    <s v="29.05.2025"/>
    <s v="Заявка на разработку изделия 000026358 от 29.05.2025 12:05:11"/>
    <n v="23"/>
    <x v="3"/>
    <m/>
    <x v="17"/>
    <m/>
    <n v="6391"/>
    <m/>
    <x v="0"/>
    <x v="0"/>
    <s v="Нет"/>
    <s v="Нет"/>
    <n v="1"/>
    <m/>
  </r>
  <r>
    <s v="29.05.2025"/>
    <s v="Заявка на разработку изделия 000026358 от 29.05.2025 12:05:11"/>
    <n v="10"/>
    <x v="3"/>
    <m/>
    <x v="18"/>
    <m/>
    <n v="6096"/>
    <m/>
    <x v="0"/>
    <x v="0"/>
    <s v="Нет"/>
    <s v="Нет"/>
    <n v="1"/>
    <m/>
  </r>
  <r>
    <s v="29.05.2025"/>
    <s v="Заявка на разработку изделия 000026358 от 29.05.2025 12:05:11"/>
    <n v="24"/>
    <x v="3"/>
    <m/>
    <x v="19"/>
    <m/>
    <n v="7621"/>
    <m/>
    <x v="0"/>
    <x v="0"/>
    <s v="Нет"/>
    <s v="Нет"/>
    <n v="1"/>
    <m/>
  </r>
  <r>
    <s v="29.05.2025"/>
    <s v="Заявка на разработку изделия 000026358 от 29.05.2025 12:05:11"/>
    <n v="11"/>
    <x v="3"/>
    <m/>
    <x v="20"/>
    <m/>
    <n v="4310"/>
    <m/>
    <x v="0"/>
    <x v="0"/>
    <s v="Нет"/>
    <s v="Нет"/>
    <n v="1"/>
    <m/>
  </r>
  <r>
    <s v="29.05.2025"/>
    <s v="Заявка на разработку изделия 000026358 от 29.05.2025 12:05:11"/>
    <n v="25"/>
    <x v="3"/>
    <m/>
    <x v="21"/>
    <m/>
    <n v="5387"/>
    <m/>
    <x v="0"/>
    <x v="0"/>
    <s v="Нет"/>
    <s v="Нет"/>
    <n v="1"/>
    <m/>
  </r>
  <r>
    <s v="29.05.2025"/>
    <s v="Заявка на разработку изделия 000026358 от 29.05.2025 12:05:11"/>
    <n v="12"/>
    <x v="3"/>
    <m/>
    <x v="22"/>
    <m/>
    <n v="6096"/>
    <m/>
    <x v="0"/>
    <x v="0"/>
    <s v="Нет"/>
    <s v="Нет"/>
    <n v="1"/>
    <m/>
  </r>
  <r>
    <s v="29.05.2025"/>
    <s v="Заявка на разработку изделия 000026358 от 29.05.2025 12:05:11"/>
    <n v="26"/>
    <x v="3"/>
    <m/>
    <x v="23"/>
    <m/>
    <n v="7621"/>
    <m/>
    <x v="0"/>
    <x v="0"/>
    <s v="Нет"/>
    <s v="Нет"/>
    <n v="1"/>
    <m/>
  </r>
  <r>
    <s v="29.05.2025"/>
    <s v="Заявка на разработку изделия 000026358 от 29.05.2025 12:05:11"/>
    <n v="13"/>
    <x v="3"/>
    <m/>
    <x v="24"/>
    <m/>
    <n v="7078"/>
    <m/>
    <x v="0"/>
    <x v="0"/>
    <s v="Нет"/>
    <s v="Нет"/>
    <n v="1"/>
    <m/>
  </r>
  <r>
    <s v="29.05.2025"/>
    <s v="Заявка на разработку изделия 000026358 от 29.05.2025 12:05:11"/>
    <n v="27"/>
    <x v="3"/>
    <m/>
    <x v="25"/>
    <m/>
    <n v="8847"/>
    <m/>
    <x v="0"/>
    <x v="0"/>
    <s v="Нет"/>
    <s v="Нет"/>
    <n v="1"/>
    <m/>
  </r>
  <r>
    <s v="29.05.2025"/>
    <s v="Заявка на разработку изделия 000026358 от 29.05.2025 12:05:11"/>
    <n v="14"/>
    <x v="3"/>
    <m/>
    <x v="26"/>
    <m/>
    <n v="8060"/>
    <m/>
    <x v="0"/>
    <x v="0"/>
    <s v="Нет"/>
    <s v="Нет"/>
    <n v="1"/>
    <m/>
  </r>
  <r>
    <s v="29.05.2025"/>
    <s v="Заявка на разработку изделия 000026358 от 29.05.2025 12:05:11"/>
    <n v="28"/>
    <x v="3"/>
    <m/>
    <x v="27"/>
    <m/>
    <n v="10076"/>
    <m/>
    <x v="0"/>
    <x v="0"/>
    <s v="Нет"/>
    <s v="Нет"/>
    <n v="1"/>
    <m/>
  </r>
  <r>
    <s v="29.05.2025"/>
    <s v="Заявка на разработку изделия 000026358 от 29.05.2025 12:05:11"/>
    <n v="31"/>
    <x v="3"/>
    <m/>
    <x v="28"/>
    <m/>
    <n v="7700"/>
    <m/>
    <x v="0"/>
    <x v="0"/>
    <s v="Нет"/>
    <s v="Нет"/>
    <n v="1"/>
    <m/>
  </r>
  <r>
    <s v="29.05.2025"/>
    <s v="Заявка на разработку изделия 000026358 от 29.05.2025 12:05:11"/>
    <n v="29"/>
    <x v="3"/>
    <m/>
    <x v="29"/>
    <m/>
    <n v="4682"/>
    <m/>
    <x v="0"/>
    <x v="0"/>
    <s v="Да"/>
    <s v="Нет"/>
    <n v="1"/>
    <m/>
  </r>
  <r>
    <s v="29.05.2025"/>
    <s v="Заявка на разработку изделия 000026358 от 29.05.2025 12:05:11"/>
    <n v="30"/>
    <x v="3"/>
    <s v="ЕВРОДИЗАЙН"/>
    <x v="18"/>
    <m/>
    <n v="5339"/>
    <m/>
    <x v="0"/>
    <x v="0"/>
    <s v="Да"/>
    <s v="Нет"/>
    <n v="1"/>
    <m/>
  </r>
  <r>
    <s v="11.06.2025"/>
    <s v="Заявка на разработку изделия 000026362 от 11.06.2025 10:39:20"/>
    <n v="1"/>
    <x v="4"/>
    <m/>
    <x v="30"/>
    <m/>
    <n v="8813.5"/>
    <m/>
    <x v="1"/>
    <x v="2"/>
    <s v="Нет"/>
    <s v="Нет"/>
    <n v="1"/>
    <m/>
  </r>
  <r>
    <s v="11.06.2025"/>
    <s v="Заявка на разработку изделия 000026362 от 11.06.2025 10:39:20"/>
    <n v="2"/>
    <x v="4"/>
    <m/>
    <x v="31"/>
    <m/>
    <n v="3470"/>
    <m/>
    <x v="2"/>
    <x v="2"/>
    <s v="Нет"/>
    <s v="Нет"/>
    <n v="1"/>
    <m/>
  </r>
  <r>
    <s v="11.06.2025"/>
    <s v="Заявка на разработку изделия 000026363 от 11.06.2025 11:22:15"/>
    <n v="1"/>
    <x v="5"/>
    <m/>
    <x v="30"/>
    <m/>
    <n v="6340.2"/>
    <m/>
    <x v="1"/>
    <x v="3"/>
    <s v="Нет"/>
    <s v="Нет"/>
    <n v="1"/>
    <m/>
  </r>
  <r>
    <s v="16.06.2025"/>
    <s v="Заявка на разработку изделия 000026438 от 16.06.2025 0:00:00"/>
    <n v="1"/>
    <x v="6"/>
    <m/>
    <x v="32"/>
    <m/>
    <n v="3094"/>
    <m/>
    <x v="0"/>
    <x v="0"/>
    <s v="Нет"/>
    <s v="Нет"/>
    <n v="1"/>
    <m/>
  </r>
  <r>
    <s v="16.06.2025"/>
    <s v="Заявка на разработку изделия 000026364 от 16.06.2025 0:00:00"/>
    <n v="1"/>
    <x v="7"/>
    <m/>
    <x v="30"/>
    <m/>
    <n v="2350"/>
    <m/>
    <x v="2"/>
    <x v="4"/>
    <s v="Нет"/>
    <s v="Нет"/>
    <n v="1"/>
    <m/>
  </r>
  <r>
    <s v="16.06.2025"/>
    <s v="Заявка на разработку изделия 000026364 от 16.06.2025 0:00:00"/>
    <n v="2"/>
    <x v="7"/>
    <m/>
    <x v="31"/>
    <m/>
    <n v="2620"/>
    <m/>
    <x v="2"/>
    <x v="4"/>
    <s v="Нет"/>
    <s v="Нет"/>
    <n v="1"/>
    <m/>
  </r>
  <r>
    <s v="16.06.2025"/>
    <s v="Заявка на разработку изделия 000026365 от 16.06.2025 0:00:00"/>
    <n v="1"/>
    <x v="8"/>
    <m/>
    <x v="30"/>
    <m/>
    <n v="2350"/>
    <m/>
    <x v="2"/>
    <x v="5"/>
    <s v="Нет"/>
    <s v="Нет"/>
    <n v="1"/>
    <m/>
  </r>
  <r>
    <s v="16.06.2025"/>
    <s v="Заявка на разработку изделия 000026365 от 16.06.2025 0:00:00"/>
    <n v="2"/>
    <x v="8"/>
    <m/>
    <x v="31"/>
    <m/>
    <n v="2620"/>
    <m/>
    <x v="2"/>
    <x v="5"/>
    <s v="Нет"/>
    <s v="Нет"/>
    <n v="1"/>
    <m/>
  </r>
  <r>
    <s v="16.06.2025"/>
    <s v="Заявка на разработку изделия 000026366 от 16.06.2025 0:00:00"/>
    <n v="1"/>
    <x v="9"/>
    <m/>
    <x v="30"/>
    <m/>
    <n v="2350"/>
    <m/>
    <x v="2"/>
    <x v="5"/>
    <s v="Нет"/>
    <s v="Нет"/>
    <n v="1"/>
    <m/>
  </r>
  <r>
    <s v="16.06.2025"/>
    <s v="Заявка на разработку изделия 000026366 от 16.06.2025 0:00:00"/>
    <n v="2"/>
    <x v="9"/>
    <m/>
    <x v="31"/>
    <m/>
    <n v="2620"/>
    <m/>
    <x v="2"/>
    <x v="5"/>
    <s v="Нет"/>
    <s v="Нет"/>
    <n v="1"/>
    <m/>
  </r>
  <r>
    <s v="16.06.2025"/>
    <s v="Заявка на разработку изделия 000026368 от 16.06.2025 0:00:00"/>
    <n v="1"/>
    <x v="10"/>
    <m/>
    <x v="30"/>
    <m/>
    <n v="2380"/>
    <m/>
    <x v="2"/>
    <x v="6"/>
    <s v="Нет"/>
    <s v="Нет"/>
    <n v="1"/>
    <m/>
  </r>
  <r>
    <s v="16.06.2025"/>
    <s v="Заявка на разработку изделия 000026368 от 16.06.2025 0:00:00"/>
    <n v="2"/>
    <x v="10"/>
    <m/>
    <x v="31"/>
    <m/>
    <n v="2690"/>
    <m/>
    <x v="2"/>
    <x v="6"/>
    <s v="Нет"/>
    <s v="Нет"/>
    <n v="1"/>
    <m/>
  </r>
  <r>
    <s v="16.06.2025"/>
    <s v="Заявка на разработку изделия 000026369 от 16.06.2025 0:00:00"/>
    <n v="1"/>
    <x v="11"/>
    <m/>
    <x v="30"/>
    <m/>
    <n v="2380"/>
    <m/>
    <x v="2"/>
    <x v="7"/>
    <s v="Нет"/>
    <s v="Нет"/>
    <n v="1"/>
    <m/>
  </r>
  <r>
    <s v="16.06.2025"/>
    <s v="Заявка на разработку изделия 000026369 от 16.06.2025 0:00:00"/>
    <n v="2"/>
    <x v="11"/>
    <m/>
    <x v="31"/>
    <m/>
    <n v="2690"/>
    <m/>
    <x v="2"/>
    <x v="7"/>
    <s v="Нет"/>
    <s v="Нет"/>
    <n v="1"/>
    <m/>
  </r>
  <r>
    <s v="16.06.2025"/>
    <s v="Заявка на разработку изделия 000026370 от 16.06.2025 0:00:00"/>
    <n v="1"/>
    <x v="12"/>
    <m/>
    <x v="30"/>
    <m/>
    <n v="3200"/>
    <m/>
    <x v="2"/>
    <x v="8"/>
    <s v="Нет"/>
    <s v="Нет"/>
    <n v="1"/>
    <m/>
  </r>
  <r>
    <s v="16.06.2025"/>
    <s v="Заявка на разработку изделия 000026370 от 16.06.2025 0:00:00"/>
    <n v="2"/>
    <x v="12"/>
    <m/>
    <x v="31"/>
    <m/>
    <n v="3630"/>
    <m/>
    <x v="2"/>
    <x v="8"/>
    <s v="Нет"/>
    <s v="Нет"/>
    <n v="1"/>
    <m/>
  </r>
  <r>
    <s v="16.06.2025"/>
    <s v="Заявка на разработку изделия 000026372 от 16.06.2025 0:00:00"/>
    <n v="1"/>
    <x v="13"/>
    <m/>
    <x v="30"/>
    <m/>
    <n v="2980"/>
    <m/>
    <x v="2"/>
    <x v="9"/>
    <s v="Нет"/>
    <s v="Нет"/>
    <n v="1"/>
    <m/>
  </r>
  <r>
    <s v="16.06.2025"/>
    <s v="Заявка на разработку изделия 000026372 от 16.06.2025 0:00:00"/>
    <n v="2"/>
    <x v="13"/>
    <m/>
    <x v="31"/>
    <m/>
    <n v="3420"/>
    <m/>
    <x v="2"/>
    <x v="9"/>
    <s v="Нет"/>
    <s v="Нет"/>
    <n v="1"/>
    <m/>
  </r>
  <r>
    <s v="16.06.2025"/>
    <s v="Заявка на разработку изделия 000026374 от 16.06.2025 0:00:00"/>
    <n v="1"/>
    <x v="14"/>
    <m/>
    <x v="30"/>
    <m/>
    <n v="2640"/>
    <m/>
    <x v="2"/>
    <x v="10"/>
    <s v="Нет"/>
    <s v="Нет"/>
    <n v="1"/>
    <m/>
  </r>
  <r>
    <s v="16.06.2025"/>
    <s v="Заявка на разработку изделия 000026374 от 16.06.2025 0:00:00"/>
    <n v="2"/>
    <x v="14"/>
    <m/>
    <x v="31"/>
    <m/>
    <n v="2940"/>
    <m/>
    <x v="2"/>
    <x v="10"/>
    <s v="Нет"/>
    <s v="Нет"/>
    <n v="1"/>
    <m/>
  </r>
  <r>
    <s v="16.06.2025"/>
    <s v="Заявка на разработку изделия 000026376 от 16.06.2025 0:00:00"/>
    <n v="1"/>
    <x v="15"/>
    <m/>
    <x v="30"/>
    <m/>
    <n v="3510"/>
    <m/>
    <x v="2"/>
    <x v="10"/>
    <s v="Нет"/>
    <s v="Нет"/>
    <n v="1"/>
    <m/>
  </r>
  <r>
    <s v="16.06.2025"/>
    <s v="Заявка на разработку изделия 000026376 от 16.06.2025 0:00:00"/>
    <n v="2"/>
    <x v="15"/>
    <m/>
    <x v="31"/>
    <m/>
    <n v="3880"/>
    <m/>
    <x v="2"/>
    <x v="10"/>
    <s v="Нет"/>
    <s v="Нет"/>
    <n v="1"/>
    <m/>
  </r>
  <r>
    <s v="16.06.2025"/>
    <s v="Заявка на разработку изделия 000026377 от 16.06.2025 0:00:00"/>
    <n v="1"/>
    <x v="16"/>
    <m/>
    <x v="30"/>
    <m/>
    <n v="3060"/>
    <m/>
    <x v="2"/>
    <x v="10"/>
    <s v="Нет"/>
    <s v="Нет"/>
    <n v="1"/>
    <m/>
  </r>
  <r>
    <s v="16.06.2025"/>
    <s v="Заявка на разработку изделия 000026377 от 16.06.2025 0:00:00"/>
    <n v="2"/>
    <x v="16"/>
    <m/>
    <x v="31"/>
    <m/>
    <n v="3420"/>
    <m/>
    <x v="2"/>
    <x v="10"/>
    <s v="Нет"/>
    <s v="Нет"/>
    <n v="1"/>
    <m/>
  </r>
  <r>
    <s v="16.06.2025"/>
    <s v="Заявка на разработку изделия 000026378 от 16.06.2025 0:00:00"/>
    <n v="1"/>
    <x v="17"/>
    <m/>
    <x v="30"/>
    <m/>
    <n v="2960"/>
    <m/>
    <x v="2"/>
    <x v="10"/>
    <s v="Нет"/>
    <s v="Нет"/>
    <n v="1"/>
    <m/>
  </r>
  <r>
    <s v="16.06.2025"/>
    <s v="Заявка на разработку изделия 000026378 от 16.06.2025 0:00:00"/>
    <n v="2"/>
    <x v="17"/>
    <m/>
    <x v="31"/>
    <m/>
    <n v="3290"/>
    <m/>
    <x v="2"/>
    <x v="10"/>
    <s v="Нет"/>
    <s v="Нет"/>
    <n v="1"/>
    <m/>
  </r>
  <r>
    <s v="16.06.2025"/>
    <s v="Заявка на разработку изделия 000026380 от 16.06.2025 0:00:00"/>
    <n v="1"/>
    <x v="18"/>
    <m/>
    <x v="30"/>
    <m/>
    <n v="2760"/>
    <m/>
    <x v="2"/>
    <x v="11"/>
    <s v="Нет"/>
    <s v="Нет"/>
    <n v="1"/>
    <m/>
  </r>
  <r>
    <s v="16.06.2025"/>
    <s v="Заявка на разработку изделия 000026380 от 16.06.2025 0:00:00"/>
    <n v="2"/>
    <x v="18"/>
    <m/>
    <x v="31"/>
    <m/>
    <n v="3190"/>
    <m/>
    <x v="2"/>
    <x v="11"/>
    <s v="Нет"/>
    <s v="Нет"/>
    <n v="1"/>
    <m/>
  </r>
  <r>
    <s v="16.06.2025"/>
    <s v="Заявка на разработку изделия 000026375 от 16.06.2025 0:00:00"/>
    <n v="1"/>
    <x v="19"/>
    <m/>
    <x v="30"/>
    <m/>
    <n v="2640"/>
    <m/>
    <x v="2"/>
    <x v="10"/>
    <s v="Нет"/>
    <s v="Нет"/>
    <n v="1"/>
    <m/>
  </r>
  <r>
    <s v="16.06.2025"/>
    <s v="Заявка на разработку изделия 000026375 от 16.06.2025 0:00:00"/>
    <n v="2"/>
    <x v="19"/>
    <m/>
    <x v="31"/>
    <m/>
    <n v="2940"/>
    <m/>
    <x v="2"/>
    <x v="10"/>
    <s v="Нет"/>
    <s v="Нет"/>
    <n v="1"/>
    <m/>
  </r>
  <r>
    <s v="16.06.2025"/>
    <s v="Заявка на разработку изделия 000026382 от 16.06.2025 0:00:00"/>
    <n v="1"/>
    <x v="20"/>
    <m/>
    <x v="30"/>
    <m/>
    <n v="2270"/>
    <m/>
    <x v="2"/>
    <x v="12"/>
    <s v="Нет"/>
    <s v="Нет"/>
    <n v="1"/>
    <m/>
  </r>
  <r>
    <s v="16.06.2025"/>
    <s v="Заявка на разработку изделия 000026382 от 16.06.2025 0:00:00"/>
    <n v="2"/>
    <x v="20"/>
    <m/>
    <x v="31"/>
    <m/>
    <n v="2540"/>
    <m/>
    <x v="2"/>
    <x v="12"/>
    <s v="Нет"/>
    <s v="Нет"/>
    <n v="1"/>
    <m/>
  </r>
  <r>
    <s v="16.06.2025"/>
    <s v="Заявка на разработку изделия 000026383 от 16.06.2025 0:00:00"/>
    <n v="1"/>
    <x v="21"/>
    <m/>
    <x v="30"/>
    <m/>
    <n v="2270"/>
    <m/>
    <x v="2"/>
    <x v="12"/>
    <s v="Нет"/>
    <s v="Нет"/>
    <n v="1"/>
    <m/>
  </r>
  <r>
    <s v="16.06.2025"/>
    <s v="Заявка на разработку изделия 000026383 от 16.06.2025 0:00:00"/>
    <n v="2"/>
    <x v="21"/>
    <m/>
    <x v="31"/>
    <m/>
    <n v="2540"/>
    <m/>
    <x v="2"/>
    <x v="12"/>
    <s v="Нет"/>
    <s v="Нет"/>
    <n v="1"/>
    <m/>
  </r>
  <r>
    <s v="16.06.2025"/>
    <s v="Заявка на разработку изделия 000026384 от 16.06.2025 0:00:00"/>
    <n v="1"/>
    <x v="22"/>
    <m/>
    <x v="30"/>
    <m/>
    <n v="2538"/>
    <m/>
    <x v="2"/>
    <x v="5"/>
    <s v="Нет"/>
    <s v="Нет"/>
    <n v="1"/>
    <m/>
  </r>
  <r>
    <s v="16.06.2025"/>
    <s v="Заявка на разработку изделия 000026384 от 16.06.2025 0:00:00"/>
    <n v="2"/>
    <x v="22"/>
    <m/>
    <x v="31"/>
    <m/>
    <n v="2829.6"/>
    <m/>
    <x v="2"/>
    <x v="5"/>
    <s v="Нет"/>
    <s v="Нет"/>
    <n v="1"/>
    <m/>
  </r>
  <r>
    <s v="16.06.2025"/>
    <s v="Заявка на разработку изделия 000026385 от 16.06.2025 0:00:00"/>
    <n v="1"/>
    <x v="23"/>
    <m/>
    <x v="30"/>
    <m/>
    <n v="2538"/>
    <m/>
    <x v="2"/>
    <x v="5"/>
    <s v="Нет"/>
    <s v="Нет"/>
    <n v="1"/>
    <m/>
  </r>
  <r>
    <s v="16.06.2025"/>
    <s v="Заявка на разработку изделия 000026385 от 16.06.2025 0:00:00"/>
    <n v="2"/>
    <x v="23"/>
    <m/>
    <x v="31"/>
    <m/>
    <n v="2829.6"/>
    <m/>
    <x v="2"/>
    <x v="5"/>
    <s v="Нет"/>
    <s v="Нет"/>
    <n v="1"/>
    <m/>
  </r>
  <r>
    <s v="16.06.2025"/>
    <s v="Заявка на разработку изделия 000026367 от 16.06.2025 0:00:00"/>
    <n v="1"/>
    <x v="24"/>
    <m/>
    <x v="30"/>
    <m/>
    <n v="2350"/>
    <m/>
    <x v="2"/>
    <x v="5"/>
    <s v="Нет"/>
    <s v="Нет"/>
    <n v="1"/>
    <m/>
  </r>
  <r>
    <s v="16.06.2025"/>
    <s v="Заявка на разработку изделия 000026367 от 16.06.2025 0:00:00"/>
    <n v="2"/>
    <x v="24"/>
    <m/>
    <x v="31"/>
    <m/>
    <n v="2620"/>
    <m/>
    <x v="2"/>
    <x v="5"/>
    <s v="Нет"/>
    <s v="Нет"/>
    <n v="1"/>
    <m/>
  </r>
  <r>
    <s v="16.06.2025"/>
    <s v="Заявка на разработку изделия 000026388 от 16.06.2025 0:00:00"/>
    <n v="1"/>
    <x v="25"/>
    <m/>
    <x v="30"/>
    <m/>
    <n v="2538"/>
    <m/>
    <x v="2"/>
    <x v="5"/>
    <s v="Нет"/>
    <s v="Нет"/>
    <n v="1"/>
    <m/>
  </r>
  <r>
    <s v="16.06.2025"/>
    <s v="Заявка на разработку изделия 000026388 от 16.06.2025 0:00:00"/>
    <n v="2"/>
    <x v="25"/>
    <m/>
    <x v="31"/>
    <m/>
    <n v="2829.6"/>
    <m/>
    <x v="2"/>
    <x v="5"/>
    <s v="Нет"/>
    <s v="Нет"/>
    <n v="1"/>
    <m/>
  </r>
  <r>
    <s v="16.06.2025"/>
    <s v="Заявка на разработку изделия 000026389 от 16.06.2025 0:00:00"/>
    <n v="1"/>
    <x v="26"/>
    <m/>
    <x v="30"/>
    <m/>
    <n v="2538"/>
    <m/>
    <x v="2"/>
    <x v="5"/>
    <s v="Нет"/>
    <s v="Нет"/>
    <n v="1"/>
    <m/>
  </r>
  <r>
    <s v="16.06.2025"/>
    <s v="Заявка на разработку изделия 000026389 от 16.06.2025 0:00:00"/>
    <n v="2"/>
    <x v="26"/>
    <m/>
    <x v="31"/>
    <m/>
    <n v="2829.6"/>
    <m/>
    <x v="2"/>
    <x v="5"/>
    <s v="Нет"/>
    <s v="Нет"/>
    <n v="1"/>
    <m/>
  </r>
  <r>
    <s v="16.06.2025"/>
    <s v="Заявка на разработку изделия 000026390 от 16.06.2025 0:00:00"/>
    <n v="1"/>
    <x v="27"/>
    <m/>
    <x v="30"/>
    <m/>
    <n v="2538"/>
    <m/>
    <x v="2"/>
    <x v="5"/>
    <s v="Нет"/>
    <s v="Нет"/>
    <n v="1"/>
    <m/>
  </r>
  <r>
    <s v="16.06.2025"/>
    <s v="Заявка на разработку изделия 000026390 от 16.06.2025 0:00:00"/>
    <n v="2"/>
    <x v="27"/>
    <m/>
    <x v="31"/>
    <m/>
    <n v="2829.6"/>
    <m/>
    <x v="2"/>
    <x v="5"/>
    <s v="Нет"/>
    <s v="Нет"/>
    <n v="1"/>
    <m/>
  </r>
  <r>
    <s v="16.06.2025"/>
    <s v="Заявка на разработку изделия 000026391 от 16.06.2025 0:00:00"/>
    <n v="1"/>
    <x v="28"/>
    <m/>
    <x v="30"/>
    <m/>
    <n v="3456"/>
    <m/>
    <x v="2"/>
    <x v="3"/>
    <s v="Нет"/>
    <s v="Нет"/>
    <n v="1"/>
    <m/>
  </r>
  <r>
    <s v="16.06.2025"/>
    <s v="Заявка на разработку изделия 000026391 от 16.06.2025 0:00:00"/>
    <n v="2"/>
    <x v="28"/>
    <m/>
    <x v="31"/>
    <m/>
    <n v="3920.4"/>
    <m/>
    <x v="2"/>
    <x v="3"/>
    <s v="Нет"/>
    <s v="Нет"/>
    <n v="1"/>
    <m/>
  </r>
  <r>
    <s v="16.06.2025"/>
    <s v="Заявка на разработку изделия 000026393 от 16.06.2025 0:00:00"/>
    <n v="1"/>
    <x v="29"/>
    <m/>
    <x v="30"/>
    <m/>
    <n v="1780"/>
    <m/>
    <x v="2"/>
    <x v="3"/>
    <s v="Нет"/>
    <s v="Нет"/>
    <n v="1"/>
    <m/>
  </r>
  <r>
    <s v="16.06.2025"/>
    <s v="Заявка на разработку изделия 000026393 от 16.06.2025 0:00:00"/>
    <n v="2"/>
    <x v="29"/>
    <m/>
    <x v="31"/>
    <m/>
    <n v="1960"/>
    <m/>
    <x v="2"/>
    <x v="3"/>
    <s v="Нет"/>
    <s v="Нет"/>
    <n v="1"/>
    <m/>
  </r>
  <r>
    <s v="16.06.2025"/>
    <s v="Заявка на разработку изделия 000026394 от 16.06.2025 0:00:00"/>
    <n v="1"/>
    <x v="30"/>
    <m/>
    <x v="30"/>
    <m/>
    <n v="1780"/>
    <m/>
    <x v="2"/>
    <x v="3"/>
    <s v="Нет"/>
    <s v="Нет"/>
    <n v="1"/>
    <m/>
  </r>
  <r>
    <s v="16.06.2025"/>
    <s v="Заявка на разработку изделия 000026394 от 16.06.2025 0:00:00"/>
    <n v="2"/>
    <x v="30"/>
    <m/>
    <x v="31"/>
    <m/>
    <n v="1960"/>
    <m/>
    <x v="2"/>
    <x v="3"/>
    <s v="Нет"/>
    <s v="Нет"/>
    <n v="1"/>
    <m/>
  </r>
  <r>
    <s v="16.06.2025"/>
    <s v="Заявка на разработку изделия 000026419 от 16.06.2025 0:00:00"/>
    <n v="1"/>
    <x v="31"/>
    <m/>
    <x v="30"/>
    <m/>
    <n v="5220"/>
    <m/>
    <x v="2"/>
    <x v="13"/>
    <s v="Нет"/>
    <s v="Нет"/>
    <n v="1"/>
    <m/>
  </r>
  <r>
    <s v="16.06.2025"/>
    <s v="Заявка на разработку изделия 000026419 от 16.06.2025 0:00:00"/>
    <n v="2"/>
    <x v="31"/>
    <m/>
    <x v="31"/>
    <m/>
    <n v="6930"/>
    <m/>
    <x v="2"/>
    <x v="13"/>
    <s v="Нет"/>
    <s v="Нет"/>
    <n v="1"/>
    <m/>
  </r>
  <r>
    <s v="16.06.2025"/>
    <s v="Заявка на разработку изделия 000026421 от 16.06.2025 0:00:00"/>
    <n v="1"/>
    <x v="32"/>
    <m/>
    <x v="30"/>
    <m/>
    <n v="5220"/>
    <m/>
    <x v="2"/>
    <x v="13"/>
    <s v="Нет"/>
    <s v="Нет"/>
    <n v="1"/>
    <m/>
  </r>
  <r>
    <s v="16.06.2025"/>
    <s v="Заявка на разработку изделия 000026421 от 16.06.2025 0:00:00"/>
    <n v="2"/>
    <x v="32"/>
    <m/>
    <x v="31"/>
    <m/>
    <n v="5930"/>
    <m/>
    <x v="2"/>
    <x v="13"/>
    <s v="Нет"/>
    <s v="Нет"/>
    <n v="1"/>
    <m/>
  </r>
  <r>
    <s v="16.06.2025"/>
    <s v="Заявка на разработку изделия 000026423 от 16.06.2025 0:00:00"/>
    <n v="1"/>
    <x v="33"/>
    <m/>
    <x v="30"/>
    <m/>
    <n v="6990"/>
    <m/>
    <x v="2"/>
    <x v="1"/>
    <s v="Нет"/>
    <s v="Нет"/>
    <n v="1"/>
    <m/>
  </r>
  <r>
    <s v="16.06.2025"/>
    <s v="Заявка на разработку изделия 000026423 от 16.06.2025 0:00:00"/>
    <n v="2"/>
    <x v="33"/>
    <m/>
    <x v="31"/>
    <m/>
    <n v="7910"/>
    <m/>
    <x v="2"/>
    <x v="1"/>
    <s v="Нет"/>
    <s v="Нет"/>
    <n v="1"/>
    <m/>
  </r>
  <r>
    <s v="16.06.2025"/>
    <s v="Заявка на разработку изделия 000026397 от 16.06.2025 0:00:00"/>
    <n v="1"/>
    <x v="34"/>
    <m/>
    <x v="30"/>
    <m/>
    <n v="1780"/>
    <m/>
    <x v="2"/>
    <x v="3"/>
    <s v="Нет"/>
    <s v="Нет"/>
    <n v="1"/>
    <m/>
  </r>
  <r>
    <s v="16.06.2025"/>
    <s v="Заявка на разработку изделия 000026397 от 16.06.2025 0:00:00"/>
    <n v="2"/>
    <x v="34"/>
    <m/>
    <x v="31"/>
    <m/>
    <n v="1960"/>
    <m/>
    <x v="2"/>
    <x v="3"/>
    <s v="Нет"/>
    <s v="Нет"/>
    <n v="1"/>
    <m/>
  </r>
  <r>
    <s v="16.06.2025"/>
    <s v="Заявка на разработку изделия 000026399 от 16.06.2025 0:00:00"/>
    <n v="1"/>
    <x v="35"/>
    <m/>
    <x v="30"/>
    <m/>
    <n v="1780"/>
    <m/>
    <x v="2"/>
    <x v="3"/>
    <s v="Нет"/>
    <s v="Нет"/>
    <n v="1"/>
    <m/>
  </r>
  <r>
    <s v="16.06.2025"/>
    <s v="Заявка на разработку изделия 000026399 от 16.06.2025 0:00:00"/>
    <n v="2"/>
    <x v="35"/>
    <m/>
    <x v="31"/>
    <m/>
    <n v="1960"/>
    <m/>
    <x v="2"/>
    <x v="3"/>
    <s v="Нет"/>
    <s v="Нет"/>
    <n v="1"/>
    <m/>
  </r>
  <r>
    <s v="16.06.2025"/>
    <s v="Заявка на разработку изделия 000026401 от 16.06.2025 0:00:00"/>
    <n v="1"/>
    <x v="36"/>
    <m/>
    <x v="30"/>
    <m/>
    <n v="1780"/>
    <m/>
    <x v="2"/>
    <x v="3"/>
    <s v="Нет"/>
    <s v="Нет"/>
    <n v="1"/>
    <m/>
  </r>
  <r>
    <s v="16.06.2025"/>
    <s v="Заявка на разработку изделия 000026401 от 16.06.2025 0:00:00"/>
    <n v="2"/>
    <x v="36"/>
    <m/>
    <x v="31"/>
    <m/>
    <n v="1960"/>
    <m/>
    <x v="2"/>
    <x v="3"/>
    <s v="Нет"/>
    <s v="Нет"/>
    <n v="1"/>
    <m/>
  </r>
  <r>
    <s v="16.06.2025"/>
    <s v="Заявка на разработку изделия 000026407 от 16.06.2025 0:00:00"/>
    <n v="1"/>
    <x v="37"/>
    <m/>
    <x v="30"/>
    <m/>
    <n v="2820"/>
    <m/>
    <x v="2"/>
    <x v="14"/>
    <s v="Нет"/>
    <s v="Нет"/>
    <n v="1"/>
    <m/>
  </r>
  <r>
    <s v="16.06.2025"/>
    <s v="Заявка на разработку изделия 000026407 от 16.06.2025 0:00:00"/>
    <n v="2"/>
    <x v="37"/>
    <m/>
    <x v="31"/>
    <m/>
    <n v="3110"/>
    <m/>
    <x v="2"/>
    <x v="14"/>
    <s v="Нет"/>
    <s v="Нет"/>
    <n v="1"/>
    <m/>
  </r>
  <r>
    <s v="16.06.2025"/>
    <s v="Заявка на разработку изделия 000026428 от 16.06.2025 0:00:00"/>
    <n v="1"/>
    <x v="38"/>
    <m/>
    <x v="30"/>
    <m/>
    <n v="9310"/>
    <m/>
    <x v="2"/>
    <x v="15"/>
    <s v="Нет"/>
    <s v="Нет"/>
    <n v="1"/>
    <m/>
  </r>
  <r>
    <s v="16.06.2025"/>
    <s v="Заявка на разработку изделия 000026428 от 16.06.2025 0:00:00"/>
    <n v="2"/>
    <x v="38"/>
    <m/>
    <x v="31"/>
    <m/>
    <n v="10640"/>
    <m/>
    <x v="2"/>
    <x v="15"/>
    <s v="Нет"/>
    <s v="Нет"/>
    <n v="1"/>
    <m/>
  </r>
  <r>
    <s v="16.06.2025"/>
    <s v="Заявка на разработку изделия 000026429 от 16.06.2025 0:00:00"/>
    <n v="1"/>
    <x v="39"/>
    <m/>
    <x v="30"/>
    <m/>
    <n v="8710"/>
    <m/>
    <x v="2"/>
    <x v="15"/>
    <s v="Нет"/>
    <s v="Нет"/>
    <n v="1"/>
    <m/>
  </r>
  <r>
    <s v="16.06.2025"/>
    <s v="Заявка на разработку изделия 000026429 от 16.06.2025 0:00:00"/>
    <n v="2"/>
    <x v="39"/>
    <m/>
    <x v="31"/>
    <m/>
    <n v="9950"/>
    <m/>
    <x v="2"/>
    <x v="15"/>
    <s v="Нет"/>
    <s v="Нет"/>
    <n v="1"/>
    <m/>
  </r>
  <r>
    <s v="16.06.2025"/>
    <s v="Заявка на разработку изделия 000026433 от 16.06.2025 0:00:00"/>
    <n v="1"/>
    <x v="40"/>
    <m/>
    <x v="30"/>
    <m/>
    <n v="7500"/>
    <m/>
    <x v="2"/>
    <x v="15"/>
    <s v="Нет"/>
    <s v="Нет"/>
    <n v="1"/>
    <m/>
  </r>
  <r>
    <s v="16.06.2025"/>
    <s v="Заявка на разработку изделия 000026433 от 16.06.2025 0:00:00"/>
    <n v="2"/>
    <x v="40"/>
    <m/>
    <x v="31"/>
    <m/>
    <n v="8590"/>
    <m/>
    <x v="2"/>
    <x v="15"/>
    <s v="Нет"/>
    <s v="Нет"/>
    <n v="1"/>
    <m/>
  </r>
  <r>
    <s v="16.06.2025"/>
    <s v="Заявка на разработку изделия 000026426 от 16.06.2025 0:00:00"/>
    <n v="1"/>
    <x v="41"/>
    <m/>
    <x v="30"/>
    <m/>
    <n v="5750"/>
    <m/>
    <x v="2"/>
    <x v="1"/>
    <s v="Нет"/>
    <s v="Нет"/>
    <n v="1"/>
    <m/>
  </r>
  <r>
    <s v="16.06.2025"/>
    <s v="Заявка на разработку изделия 000026426 от 16.06.2025 0:00:00"/>
    <n v="2"/>
    <x v="41"/>
    <m/>
    <x v="31"/>
    <m/>
    <n v="6560"/>
    <m/>
    <x v="2"/>
    <x v="1"/>
    <s v="Нет"/>
    <s v="Нет"/>
    <n v="1"/>
    <m/>
  </r>
  <r>
    <s v="16.06.2025"/>
    <s v="Заявка на разработку изделия 000026432 от 16.06.2025 0:00:00"/>
    <n v="1"/>
    <x v="42"/>
    <m/>
    <x v="30"/>
    <m/>
    <n v="8640"/>
    <m/>
    <x v="2"/>
    <x v="15"/>
    <s v="Нет"/>
    <s v="Нет"/>
    <n v="1"/>
    <m/>
  </r>
  <r>
    <s v="16.06.2025"/>
    <s v="Заявка на разработку изделия 000026432 от 16.06.2025 0:00:00"/>
    <n v="2"/>
    <x v="42"/>
    <m/>
    <x v="31"/>
    <m/>
    <n v="9880"/>
    <m/>
    <x v="2"/>
    <x v="15"/>
    <s v="Нет"/>
    <s v="Нет"/>
    <n v="1"/>
    <m/>
  </r>
  <r>
    <s v="16.06.2025"/>
    <s v="Заявка на разработку изделия 000026436 от 16.06.2025 0:00:00"/>
    <n v="1"/>
    <x v="43"/>
    <m/>
    <x v="30"/>
    <m/>
    <n v="6800"/>
    <m/>
    <x v="2"/>
    <x v="16"/>
    <s v="Нет"/>
    <s v="Нет"/>
    <n v="1"/>
    <m/>
  </r>
  <r>
    <s v="16.06.2025"/>
    <s v="Заявка на разработку изделия 000026436 от 16.06.2025 0:00:00"/>
    <n v="2"/>
    <x v="43"/>
    <m/>
    <x v="31"/>
    <m/>
    <n v="7810"/>
    <m/>
    <x v="2"/>
    <x v="16"/>
    <s v="Нет"/>
    <s v="Нет"/>
    <n v="1"/>
    <m/>
  </r>
  <r>
    <s v="16.06.2025"/>
    <s v="Заявка на разработку изделия 000026412 от 16.06.2025 0:00:00"/>
    <n v="1"/>
    <x v="44"/>
    <m/>
    <x v="30"/>
    <m/>
    <n v="1780"/>
    <m/>
    <x v="2"/>
    <x v="3"/>
    <s v="Нет"/>
    <s v="Нет"/>
    <n v="1"/>
    <m/>
  </r>
  <r>
    <s v="16.06.2025"/>
    <s v="Заявка на разработку изделия 000026412 от 16.06.2025 0:00:00"/>
    <n v="2"/>
    <x v="44"/>
    <m/>
    <x v="31"/>
    <m/>
    <n v="1960"/>
    <m/>
    <x v="2"/>
    <x v="3"/>
    <s v="Нет"/>
    <s v="Нет"/>
    <n v="1"/>
    <m/>
  </r>
  <r>
    <s v="16.06.2025"/>
    <s v="Заявка на разработку изделия 000026413 от 16.06.2025 0:00:00"/>
    <n v="1"/>
    <x v="45"/>
    <m/>
    <x v="30"/>
    <m/>
    <n v="1780"/>
    <m/>
    <x v="2"/>
    <x v="3"/>
    <s v="Нет"/>
    <s v="Нет"/>
    <n v="1"/>
    <m/>
  </r>
  <r>
    <s v="16.06.2025"/>
    <s v="Заявка на разработку изделия 000026413 от 16.06.2025 0:00:00"/>
    <n v="2"/>
    <x v="45"/>
    <m/>
    <x v="31"/>
    <m/>
    <n v="1960"/>
    <m/>
    <x v="2"/>
    <x v="3"/>
    <s v="Нет"/>
    <s v="Нет"/>
    <n v="1"/>
    <m/>
  </r>
  <r>
    <s v="16.06.2025"/>
    <s v="Заявка на разработку изделия 000026402 от 16.06.2025 0:00:00"/>
    <n v="1"/>
    <x v="46"/>
    <m/>
    <x v="30"/>
    <m/>
    <n v="2960"/>
    <m/>
    <x v="2"/>
    <x v="14"/>
    <s v="Нет"/>
    <s v="Нет"/>
    <n v="1"/>
    <m/>
  </r>
  <r>
    <s v="16.06.2025"/>
    <s v="Заявка на разработку изделия 000026402 от 16.06.2025 0:00:00"/>
    <n v="2"/>
    <x v="46"/>
    <m/>
    <x v="31"/>
    <m/>
    <n v="3270"/>
    <m/>
    <x v="2"/>
    <x v="14"/>
    <s v="Нет"/>
    <s v="Нет"/>
    <n v="1"/>
    <m/>
  </r>
  <r>
    <s v="16.06.2025"/>
    <s v="Заявка на разработку изделия 000026408 от 16.06.2025 0:00:00"/>
    <n v="1"/>
    <x v="47"/>
    <m/>
    <x v="30"/>
    <m/>
    <n v="1710"/>
    <m/>
    <x v="2"/>
    <x v="17"/>
    <s v="Нет"/>
    <s v="Нет"/>
    <n v="1"/>
    <m/>
  </r>
  <r>
    <s v="16.06.2025"/>
    <s v="Заявка на разработку изделия 000026408 от 16.06.2025 0:00:00"/>
    <n v="2"/>
    <x v="47"/>
    <m/>
    <x v="31"/>
    <m/>
    <n v="1880"/>
    <m/>
    <x v="2"/>
    <x v="17"/>
    <s v="Нет"/>
    <s v="Нет"/>
    <n v="1"/>
    <m/>
  </r>
  <r>
    <s v="16.06.2025"/>
    <s v="Заявка на разработку изделия 000026409 от 16.06.2025 0:00:00"/>
    <n v="1"/>
    <x v="48"/>
    <m/>
    <x v="30"/>
    <m/>
    <n v="1710"/>
    <m/>
    <x v="2"/>
    <x v="17"/>
    <s v="Нет"/>
    <s v="Нет"/>
    <n v="1"/>
    <m/>
  </r>
  <r>
    <s v="16.06.2025"/>
    <s v="Заявка на разработку изделия 000026409 от 16.06.2025 0:00:00"/>
    <n v="2"/>
    <x v="48"/>
    <m/>
    <x v="31"/>
    <m/>
    <n v="1880"/>
    <m/>
    <x v="2"/>
    <x v="17"/>
    <s v="Нет"/>
    <s v="Нет"/>
    <n v="1"/>
    <m/>
  </r>
  <r>
    <s v="16.06.2025"/>
    <s v="Заявка на разработку изделия 000026403 от 16.06.2025 0:00:00"/>
    <n v="1"/>
    <x v="49"/>
    <m/>
    <x v="30"/>
    <m/>
    <n v="2860"/>
    <m/>
    <x v="2"/>
    <x v="18"/>
    <s v="Нет"/>
    <s v="Нет"/>
    <n v="1"/>
    <m/>
  </r>
  <r>
    <s v="16.06.2025"/>
    <s v="Заявка на разработку изделия 000026403 от 16.06.2025 0:00:00"/>
    <n v="2"/>
    <x v="49"/>
    <m/>
    <x v="31"/>
    <m/>
    <n v="3210"/>
    <m/>
    <x v="2"/>
    <x v="18"/>
    <s v="Нет"/>
    <s v="Нет"/>
    <n v="1"/>
    <m/>
  </r>
  <r>
    <s v="16.06.2025"/>
    <s v="Заявка на разработку изделия 000026418 от 16.06.2025 0:00:00"/>
    <n v="1"/>
    <x v="50"/>
    <m/>
    <x v="30"/>
    <m/>
    <n v="1710"/>
    <m/>
    <x v="2"/>
    <x v="3"/>
    <s v="Нет"/>
    <s v="Нет"/>
    <n v="1"/>
    <m/>
  </r>
  <r>
    <s v="16.06.2025"/>
    <s v="Заявка на разработку изделия 000026418 от 16.06.2025 0:00:00"/>
    <n v="2"/>
    <x v="50"/>
    <m/>
    <x v="31"/>
    <m/>
    <n v="1880"/>
    <m/>
    <x v="2"/>
    <x v="3"/>
    <s v="Нет"/>
    <s v="Нет"/>
    <n v="1"/>
    <m/>
  </r>
  <r>
    <s v="16.06.2025"/>
    <s v="Заявка на разработку изделия 000026414 от 16.06.2025 0:00:00"/>
    <n v="1"/>
    <x v="51"/>
    <m/>
    <x v="30"/>
    <m/>
    <n v="1780"/>
    <m/>
    <x v="2"/>
    <x v="3"/>
    <s v="Нет"/>
    <s v="Нет"/>
    <n v="1"/>
    <m/>
  </r>
  <r>
    <s v="16.06.2025"/>
    <s v="Заявка на разработку изделия 000026414 от 16.06.2025 0:00:00"/>
    <n v="2"/>
    <x v="51"/>
    <m/>
    <x v="31"/>
    <m/>
    <n v="1960"/>
    <m/>
    <x v="2"/>
    <x v="3"/>
    <s v="Нет"/>
    <s v="Нет"/>
    <n v="1"/>
    <m/>
  </r>
  <r>
    <s v="16.06.2025"/>
    <s v="Заявка на разработку изделия 000026410 от 16.06.2025 0:00:00"/>
    <n v="1"/>
    <x v="52"/>
    <m/>
    <x v="30"/>
    <m/>
    <n v="1710"/>
    <m/>
    <x v="2"/>
    <x v="19"/>
    <s v="Нет"/>
    <s v="Нет"/>
    <n v="1"/>
    <m/>
  </r>
  <r>
    <s v="16.06.2025"/>
    <s v="Заявка на разработку изделия 000026410 от 16.06.2025 0:00:00"/>
    <n v="2"/>
    <x v="52"/>
    <m/>
    <x v="31"/>
    <m/>
    <n v="1880"/>
    <m/>
    <x v="2"/>
    <x v="19"/>
    <s v="Нет"/>
    <s v="Нет"/>
    <n v="1"/>
    <m/>
  </r>
  <r>
    <s v="16.06.2025"/>
    <s v="Заявка на разработку изделия 000026416 от 16.06.2025 0:00:00"/>
    <n v="1"/>
    <x v="53"/>
    <m/>
    <x v="30"/>
    <m/>
    <n v="1940"/>
    <m/>
    <x v="2"/>
    <x v="20"/>
    <s v="Нет"/>
    <s v="Нет"/>
    <n v="1"/>
    <m/>
  </r>
  <r>
    <s v="16.06.2025"/>
    <s v="Заявка на разработку изделия 000026416 от 16.06.2025 0:00:00"/>
    <n v="2"/>
    <x v="53"/>
    <m/>
    <x v="31"/>
    <m/>
    <n v="2170"/>
    <m/>
    <x v="2"/>
    <x v="20"/>
    <s v="Нет"/>
    <s v="Нет"/>
    <n v="1"/>
    <m/>
  </r>
  <r>
    <s v="16.06.2025"/>
    <s v="Заявка на разработку изделия 000026411 от 16.06.2025 0:00:00"/>
    <n v="1"/>
    <x v="54"/>
    <m/>
    <x v="30"/>
    <m/>
    <n v="2120"/>
    <m/>
    <x v="2"/>
    <x v="21"/>
    <s v="Нет"/>
    <s v="Нет"/>
    <n v="1"/>
    <m/>
  </r>
  <r>
    <s v="16.06.2025"/>
    <s v="Заявка на разработку изделия 000026411 от 16.06.2025 0:00:00"/>
    <n v="2"/>
    <x v="54"/>
    <m/>
    <x v="31"/>
    <m/>
    <n v="2320"/>
    <m/>
    <x v="2"/>
    <x v="21"/>
    <s v="Нет"/>
    <s v="Нет"/>
    <n v="1"/>
    <m/>
  </r>
  <r>
    <s v="16.06.2025"/>
    <s v="Заявка на разработку изделия 000026405 от 16.06.2025 0:00:00"/>
    <n v="1"/>
    <x v="55"/>
    <m/>
    <x v="30"/>
    <m/>
    <n v="2860"/>
    <m/>
    <x v="2"/>
    <x v="18"/>
    <s v="Нет"/>
    <s v="Нет"/>
    <n v="1"/>
    <m/>
  </r>
  <r>
    <s v="16.06.2025"/>
    <s v="Заявка на разработку изделия 000026405 от 16.06.2025 0:00:00"/>
    <n v="2"/>
    <x v="55"/>
    <m/>
    <x v="31"/>
    <m/>
    <n v="3210"/>
    <m/>
    <x v="2"/>
    <x v="18"/>
    <s v="Нет"/>
    <s v="Нет"/>
    <n v="1"/>
    <m/>
  </r>
  <r>
    <s v="16.06.2025"/>
    <s v="Заявка на разработку изделия 000026386 от 16.06.2025 0:00:00"/>
    <n v="1"/>
    <x v="56"/>
    <m/>
    <x v="30"/>
    <m/>
    <n v="3196.8"/>
    <m/>
    <x v="2"/>
    <x v="10"/>
    <s v="Нет"/>
    <s v="Нет"/>
    <n v="1"/>
    <m/>
  </r>
  <r>
    <s v="16.06.2025"/>
    <s v="Заявка на разработку изделия 000026386 от 16.06.2025 0:00:00"/>
    <n v="2"/>
    <x v="56"/>
    <m/>
    <x v="31"/>
    <m/>
    <n v="3553.2"/>
    <m/>
    <x v="2"/>
    <x v="10"/>
    <s v="Нет"/>
    <s v="Нет"/>
    <n v="1"/>
    <m/>
  </r>
  <r>
    <s v="16.06.2025"/>
    <s v="Заявка на разработку изделия 000026387 от 16.06.2025 0:00:00"/>
    <n v="1"/>
    <x v="57"/>
    <m/>
    <x v="30"/>
    <m/>
    <n v="3304.8"/>
    <m/>
    <x v="2"/>
    <x v="10"/>
    <s v="Нет"/>
    <s v="Нет"/>
    <n v="1"/>
    <m/>
  </r>
  <r>
    <s v="16.06.2025"/>
    <s v="Заявка на разработку изделия 000026387 от 16.06.2025 0:00:00"/>
    <n v="2"/>
    <x v="57"/>
    <m/>
    <x v="31"/>
    <m/>
    <n v="3693.6"/>
    <m/>
    <x v="2"/>
    <x v="10"/>
    <s v="Нет"/>
    <s v="Нет"/>
    <n v="1"/>
    <m/>
  </r>
  <r>
    <s v="16.06.2025"/>
    <s v="Заявка на разработку изделия 000026415 от 16.06.2025 0:00:00"/>
    <n v="1"/>
    <x v="58"/>
    <m/>
    <x v="30"/>
    <m/>
    <n v="2960"/>
    <m/>
    <x v="2"/>
    <x v="14"/>
    <s v="Нет"/>
    <s v="Нет"/>
    <n v="1"/>
    <m/>
  </r>
  <r>
    <s v="16.06.2025"/>
    <s v="Заявка на разработку изделия 000026415 от 16.06.2025 0:00:00"/>
    <n v="2"/>
    <x v="58"/>
    <m/>
    <x v="31"/>
    <m/>
    <n v="3270"/>
    <m/>
    <x v="2"/>
    <x v="14"/>
    <s v="Нет"/>
    <s v="Нет"/>
    <n v="1"/>
    <m/>
  </r>
  <r>
    <s v="16.06.2025"/>
    <s v="Заявка на разработку изделия 000026381 от 16.06.2025 0:00:00"/>
    <n v="1"/>
    <x v="59"/>
    <m/>
    <x v="30"/>
    <m/>
    <n v="2870"/>
    <m/>
    <x v="2"/>
    <x v="22"/>
    <s v="Нет"/>
    <s v="Нет"/>
    <n v="1"/>
    <m/>
  </r>
  <r>
    <s v="16.06.2025"/>
    <s v="Заявка на разработку изделия 000026381 от 16.06.2025 0:00:00"/>
    <n v="2"/>
    <x v="59"/>
    <m/>
    <x v="31"/>
    <m/>
    <n v="3200"/>
    <m/>
    <x v="2"/>
    <x v="22"/>
    <s v="Нет"/>
    <s v="Нет"/>
    <n v="1"/>
    <m/>
  </r>
  <r>
    <s v="16.06.2025"/>
    <s v="Заявка на разработку изделия 000026417 от 16.06.2025 0:00:00"/>
    <n v="1"/>
    <x v="60"/>
    <m/>
    <x v="30"/>
    <m/>
    <n v="2170"/>
    <m/>
    <x v="2"/>
    <x v="23"/>
    <s v="Нет"/>
    <s v="Нет"/>
    <n v="1"/>
    <m/>
  </r>
  <r>
    <s v="16.06.2025"/>
    <s v="Заявка на разработку изделия 000026417 от 16.06.2025 0:00:00"/>
    <n v="2"/>
    <x v="60"/>
    <m/>
    <x v="31"/>
    <m/>
    <n v="2400"/>
    <m/>
    <x v="2"/>
    <x v="23"/>
    <s v="Нет"/>
    <s v="Нет"/>
    <n v="1"/>
    <m/>
  </r>
  <r>
    <s v="16.06.2025"/>
    <s v="Заявка на разработку изделия 000026422 от 16.06.2025 0:00:00"/>
    <n v="1"/>
    <x v="61"/>
    <m/>
    <x v="30"/>
    <m/>
    <n v="5690"/>
    <m/>
    <x v="2"/>
    <x v="24"/>
    <s v="Нет"/>
    <s v="Нет"/>
    <n v="1"/>
    <m/>
  </r>
  <r>
    <s v="16.06.2025"/>
    <s v="Заявка на разработку изделия 000026422 от 16.06.2025 0:00:00"/>
    <n v="2"/>
    <x v="61"/>
    <m/>
    <x v="31"/>
    <m/>
    <n v="6420"/>
    <m/>
    <x v="2"/>
    <x v="24"/>
    <s v="Нет"/>
    <s v="Нет"/>
    <n v="1"/>
    <m/>
  </r>
  <r>
    <s v="16.06.2025"/>
    <s v="Заявка на разработку изделия 000026373 от 16.06.2025 0:00:00"/>
    <n v="1"/>
    <x v="62"/>
    <m/>
    <x v="30"/>
    <m/>
    <n v="2980"/>
    <m/>
    <x v="2"/>
    <x v="9"/>
    <s v="Нет"/>
    <s v="Нет"/>
    <n v="1"/>
    <m/>
  </r>
  <r>
    <s v="16.06.2025"/>
    <s v="Заявка на разработку изделия 000026373 от 16.06.2025 0:00:00"/>
    <n v="2"/>
    <x v="62"/>
    <m/>
    <x v="31"/>
    <m/>
    <n v="3420"/>
    <m/>
    <x v="2"/>
    <x v="9"/>
    <s v="Нет"/>
    <s v="Нет"/>
    <n v="1"/>
    <m/>
  </r>
  <r>
    <s v="16.06.2025"/>
    <s v="Заявка на разработку изделия 000026371 от 16.06.2025 0:00:00"/>
    <n v="1"/>
    <x v="63"/>
    <m/>
    <x v="30"/>
    <m/>
    <n v="3200"/>
    <m/>
    <x v="2"/>
    <x v="8"/>
    <s v="Нет"/>
    <s v="Нет"/>
    <n v="1"/>
    <m/>
  </r>
  <r>
    <s v="16.06.2025"/>
    <s v="Заявка на разработку изделия 000026371 от 16.06.2025 0:00:00"/>
    <n v="2"/>
    <x v="63"/>
    <m/>
    <x v="31"/>
    <m/>
    <n v="3630"/>
    <m/>
    <x v="2"/>
    <x v="8"/>
    <s v="Нет"/>
    <s v="Нет"/>
    <n v="1"/>
    <m/>
  </r>
  <r>
    <s v="16.06.2025"/>
    <s v="Заявка на разработку изделия 000026392 от 16.06.2025 0:00:00"/>
    <n v="1"/>
    <x v="64"/>
    <m/>
    <x v="30"/>
    <m/>
    <n v="3456"/>
    <m/>
    <x v="2"/>
    <x v="3"/>
    <s v="Нет"/>
    <s v="Нет"/>
    <n v="1"/>
    <m/>
  </r>
  <r>
    <s v="16.06.2025"/>
    <s v="Заявка на разработку изделия 000026392 от 16.06.2025 0:00:00"/>
    <n v="2"/>
    <x v="64"/>
    <m/>
    <x v="31"/>
    <m/>
    <n v="3920.4"/>
    <m/>
    <x v="2"/>
    <x v="3"/>
    <s v="Нет"/>
    <s v="Нет"/>
    <n v="1"/>
    <m/>
  </r>
  <r>
    <s v="16.06.2025"/>
    <s v="Заявка на разработку изделия 000026427 от 16.06.2025 0:00:00"/>
    <n v="1"/>
    <x v="65"/>
    <m/>
    <x v="30"/>
    <m/>
    <n v="6210"/>
    <m/>
    <x v="2"/>
    <x v="1"/>
    <s v="Нет"/>
    <s v="Нет"/>
    <n v="1"/>
    <m/>
  </r>
  <r>
    <s v="16.06.2025"/>
    <s v="Заявка на разработку изделия 000026427 от 16.06.2025 0:00:00"/>
    <n v="2"/>
    <x v="65"/>
    <m/>
    <x v="31"/>
    <m/>
    <n v="7084.8"/>
    <m/>
    <x v="2"/>
    <x v="1"/>
    <s v="Нет"/>
    <s v="Нет"/>
    <n v="1"/>
    <m/>
  </r>
  <r>
    <s v="16.06.2025"/>
    <s v="Заявка на разработку изделия 000026431 от 16.06.2025 0:00:00"/>
    <n v="1"/>
    <x v="66"/>
    <m/>
    <x v="30"/>
    <m/>
    <n v="7905.6"/>
    <m/>
    <x v="2"/>
    <x v="1"/>
    <s v="Нет"/>
    <s v="Нет"/>
    <n v="1"/>
    <m/>
  </r>
  <r>
    <s v="16.06.2025"/>
    <s v="Заявка на разработку изделия 000026431 от 16.06.2025 0:00:00"/>
    <n v="2"/>
    <x v="66"/>
    <m/>
    <x v="31"/>
    <m/>
    <n v="9007.2000000000007"/>
    <m/>
    <x v="2"/>
    <x v="1"/>
    <s v="Нет"/>
    <s v="Нет"/>
    <n v="1"/>
    <m/>
  </r>
  <r>
    <s v="16.06.2025"/>
    <s v="Заявка на разработку изделия 000026435 от 16.06.2025 0:00:00"/>
    <n v="1"/>
    <x v="67"/>
    <m/>
    <x v="30"/>
    <m/>
    <n v="8078.4"/>
    <m/>
    <x v="2"/>
    <x v="15"/>
    <s v="Нет"/>
    <s v="Нет"/>
    <n v="1"/>
    <m/>
  </r>
  <r>
    <s v="16.06.2025"/>
    <s v="Заявка на разработку изделия 000026435 от 16.06.2025 0:00:00"/>
    <n v="2"/>
    <x v="67"/>
    <m/>
    <x v="31"/>
    <m/>
    <n v="9169.2000000000007"/>
    <m/>
    <x v="2"/>
    <x v="15"/>
    <s v="Нет"/>
    <s v="Нет"/>
    <n v="1"/>
    <m/>
  </r>
  <r>
    <s v="16.06.2025"/>
    <s v="Заявка на разработку изделия 000026424 от 16.06.2025 0:00:00"/>
    <n v="1"/>
    <x v="68"/>
    <m/>
    <x v="30"/>
    <m/>
    <n v="7549.2"/>
    <m/>
    <x v="2"/>
    <x v="1"/>
    <s v="Нет"/>
    <s v="Нет"/>
    <n v="1"/>
    <m/>
  </r>
  <r>
    <s v="16.06.2025"/>
    <s v="Заявка на разработку изделия 000026424 от 16.06.2025 0:00:00"/>
    <n v="2"/>
    <x v="68"/>
    <m/>
    <x v="31"/>
    <m/>
    <n v="8542.7999999999993"/>
    <m/>
    <x v="2"/>
    <x v="1"/>
    <s v="Нет"/>
    <s v="Нет"/>
    <n v="1"/>
    <m/>
  </r>
  <r>
    <s v="16.06.2025"/>
    <s v="Заявка на разработку изделия 000026425 от 16.06.2025 0:00:00"/>
    <n v="1"/>
    <x v="69"/>
    <m/>
    <x v="30"/>
    <m/>
    <n v="7549.2"/>
    <m/>
    <x v="2"/>
    <x v="1"/>
    <s v="Нет"/>
    <s v="Нет"/>
    <n v="1"/>
    <m/>
  </r>
  <r>
    <s v="16.06.2025"/>
    <s v="Заявка на разработку изделия 000026425 от 16.06.2025 0:00:00"/>
    <n v="2"/>
    <x v="69"/>
    <m/>
    <x v="31"/>
    <m/>
    <n v="8542.7999999999993"/>
    <m/>
    <x v="2"/>
    <x v="1"/>
    <s v="Нет"/>
    <s v="Нет"/>
    <n v="1"/>
    <m/>
  </r>
  <r>
    <s v="16.06.2025"/>
    <s v="Заявка на разработку изделия 000026420 от 16.06.2025 0:00:00"/>
    <n v="1"/>
    <x v="70"/>
    <m/>
    <x v="30"/>
    <m/>
    <n v="5637.6"/>
    <m/>
    <x v="2"/>
    <x v="13"/>
    <s v="Нет"/>
    <s v="Нет"/>
    <n v="1"/>
    <m/>
  </r>
  <r>
    <s v="16.06.2025"/>
    <s v="Заявка на разработку изделия 000026420 от 16.06.2025 0:00:00"/>
    <n v="2"/>
    <x v="70"/>
    <m/>
    <x v="31"/>
    <m/>
    <n v="6404.4"/>
    <m/>
    <x v="2"/>
    <x v="13"/>
    <s v="Нет"/>
    <s v="Нет"/>
    <n v="1"/>
    <m/>
  </r>
  <r>
    <s v="16.06.2025"/>
    <s v="Заявка на разработку изделия 000026437 от 16.06.2025 0:00:00"/>
    <n v="75"/>
    <x v="71"/>
    <m/>
    <x v="33"/>
    <m/>
    <n v="290"/>
    <m/>
    <x v="1"/>
    <x v="0"/>
    <s v="Нет"/>
    <s v="Нет"/>
    <m/>
    <m/>
  </r>
  <r>
    <s v="16.06.2025"/>
    <s v="Заявка на разработку изделия 000026437 от 16.06.2025 0:00:00"/>
    <n v="63"/>
    <x v="71"/>
    <m/>
    <x v="34"/>
    <m/>
    <n v="13990"/>
    <m/>
    <x v="1"/>
    <x v="0"/>
    <s v="Нет"/>
    <s v="Нет"/>
    <m/>
    <m/>
  </r>
  <r>
    <s v="16.06.2025"/>
    <s v="Заявка на разработку изделия 000026437 от 16.06.2025 0:00:00"/>
    <n v="20"/>
    <x v="71"/>
    <m/>
    <x v="35"/>
    <m/>
    <n v="5520"/>
    <m/>
    <x v="1"/>
    <x v="0"/>
    <s v="Нет"/>
    <s v="Нет"/>
    <m/>
    <m/>
  </r>
  <r>
    <s v="16.06.2025"/>
    <s v="Заявка на разработку изделия 000026437 от 16.06.2025 0:00:00"/>
    <n v="45"/>
    <x v="71"/>
    <m/>
    <x v="36"/>
    <m/>
    <n v="11370"/>
    <m/>
    <x v="1"/>
    <x v="0"/>
    <s v="Нет"/>
    <s v="Нет"/>
    <m/>
    <m/>
  </r>
  <r>
    <s v="16.06.2025"/>
    <s v="Заявка на разработку изделия 000026437 от 16.06.2025 0:00:00"/>
    <n v="1"/>
    <x v="71"/>
    <m/>
    <x v="37"/>
    <m/>
    <n v="550"/>
    <m/>
    <x v="1"/>
    <x v="0"/>
    <s v="Нет"/>
    <s v="Нет"/>
    <m/>
    <m/>
  </r>
  <r>
    <s v="16.06.2025"/>
    <s v="Заявка на разработку изделия 000026437 от 16.06.2025 0:00:00"/>
    <n v="2"/>
    <x v="71"/>
    <m/>
    <x v="38"/>
    <m/>
    <n v="460"/>
    <m/>
    <x v="1"/>
    <x v="0"/>
    <s v="Нет"/>
    <s v="Нет"/>
    <m/>
    <m/>
  </r>
  <r>
    <s v="16.06.2025"/>
    <s v="Заявка на разработку изделия 000026437 от 16.06.2025 0:00:00"/>
    <n v="3"/>
    <x v="71"/>
    <m/>
    <x v="39"/>
    <m/>
    <n v="560"/>
    <m/>
    <x v="1"/>
    <x v="0"/>
    <s v="Нет"/>
    <s v="Нет"/>
    <m/>
    <m/>
  </r>
  <r>
    <s v="16.06.2025"/>
    <s v="Заявка на разработку изделия 000026437 от 16.06.2025 0:00:00"/>
    <n v="4"/>
    <x v="71"/>
    <m/>
    <x v="40"/>
    <m/>
    <n v="810"/>
    <m/>
    <x v="1"/>
    <x v="0"/>
    <s v="Нет"/>
    <s v="Нет"/>
    <m/>
    <m/>
  </r>
  <r>
    <s v="16.06.2025"/>
    <s v="Заявка на разработку изделия 000026437 от 16.06.2025 0:00:00"/>
    <n v="5"/>
    <x v="71"/>
    <m/>
    <x v="41"/>
    <m/>
    <n v="700"/>
    <m/>
    <x v="1"/>
    <x v="0"/>
    <s v="Нет"/>
    <s v="Нет"/>
    <m/>
    <m/>
  </r>
  <r>
    <s v="16.06.2025"/>
    <s v="Заявка на разработку изделия 000026437 от 16.06.2025 0:00:00"/>
    <n v="6"/>
    <x v="71"/>
    <m/>
    <x v="42"/>
    <m/>
    <n v="750"/>
    <m/>
    <x v="1"/>
    <x v="0"/>
    <s v="Нет"/>
    <s v="Нет"/>
    <m/>
    <m/>
  </r>
  <r>
    <s v="16.06.2025"/>
    <s v="Заявка на разработку изделия 000026437 от 16.06.2025 0:00:00"/>
    <n v="7"/>
    <x v="71"/>
    <m/>
    <x v="43"/>
    <m/>
    <n v="950"/>
    <m/>
    <x v="1"/>
    <x v="0"/>
    <s v="Нет"/>
    <s v="Нет"/>
    <m/>
    <m/>
  </r>
  <r>
    <s v="16.06.2025"/>
    <s v="Заявка на разработку изделия 000026437 от 16.06.2025 0:00:00"/>
    <n v="8"/>
    <x v="71"/>
    <m/>
    <x v="44"/>
    <m/>
    <n v="750"/>
    <m/>
    <x v="1"/>
    <x v="0"/>
    <s v="Нет"/>
    <s v="Нет"/>
    <m/>
    <m/>
  </r>
  <r>
    <s v="16.06.2025"/>
    <s v="Заявка на разработку изделия 000026437 от 16.06.2025 0:00:00"/>
    <n v="9"/>
    <x v="71"/>
    <m/>
    <x v="45"/>
    <m/>
    <n v="650"/>
    <m/>
    <x v="1"/>
    <x v="0"/>
    <s v="Нет"/>
    <s v="Нет"/>
    <m/>
    <m/>
  </r>
  <r>
    <s v="16.06.2025"/>
    <s v="Заявка на разработку изделия 000026437 от 16.06.2025 0:00:00"/>
    <n v="10"/>
    <x v="71"/>
    <m/>
    <x v="46"/>
    <m/>
    <n v="850"/>
    <m/>
    <x v="1"/>
    <x v="0"/>
    <s v="Нет"/>
    <s v="Нет"/>
    <m/>
    <m/>
  </r>
  <r>
    <s v="16.06.2025"/>
    <s v="Заявка на разработку изделия 000026437 от 16.06.2025 0:00:00"/>
    <n v="14"/>
    <x v="71"/>
    <m/>
    <x v="47"/>
    <m/>
    <n v="340"/>
    <m/>
    <x v="1"/>
    <x v="0"/>
    <s v="Нет"/>
    <s v="Нет"/>
    <m/>
    <m/>
  </r>
  <r>
    <s v="16.06.2025"/>
    <s v="Заявка на разработку изделия 000026437 от 16.06.2025 0:00:00"/>
    <n v="15"/>
    <x v="71"/>
    <m/>
    <x v="48"/>
    <m/>
    <n v="760"/>
    <m/>
    <x v="1"/>
    <x v="0"/>
    <s v="Нет"/>
    <s v="Нет"/>
    <m/>
    <m/>
  </r>
  <r>
    <s v="16.06.2025"/>
    <s v="Заявка на разработку изделия 000026437 от 16.06.2025 0:00:00"/>
    <n v="16"/>
    <x v="71"/>
    <m/>
    <x v="49"/>
    <m/>
    <n v="600"/>
    <m/>
    <x v="1"/>
    <x v="0"/>
    <s v="Нет"/>
    <s v="Нет"/>
    <m/>
    <m/>
  </r>
  <r>
    <s v="16.06.2025"/>
    <s v="Заявка на разработку изделия 000026437 от 16.06.2025 0:00:00"/>
    <n v="11"/>
    <x v="71"/>
    <m/>
    <x v="50"/>
    <m/>
    <n v="740"/>
    <m/>
    <x v="1"/>
    <x v="0"/>
    <s v="Нет"/>
    <s v="Нет"/>
    <m/>
    <m/>
  </r>
  <r>
    <s v="16.06.2025"/>
    <s v="Заявка на разработку изделия 000026437 от 16.06.2025 0:00:00"/>
    <n v="12"/>
    <x v="71"/>
    <m/>
    <x v="51"/>
    <m/>
    <n v="940"/>
    <m/>
    <x v="1"/>
    <x v="0"/>
    <s v="Нет"/>
    <s v="Нет"/>
    <m/>
    <m/>
  </r>
  <r>
    <s v="16.06.2025"/>
    <s v="Заявка на разработку изделия 000026437 от 16.06.2025 0:00:00"/>
    <n v="13"/>
    <x v="71"/>
    <m/>
    <x v="52"/>
    <m/>
    <n v="1130"/>
    <m/>
    <x v="1"/>
    <x v="0"/>
    <s v="Нет"/>
    <s v="Нет"/>
    <m/>
    <m/>
  </r>
  <r>
    <s v="16.06.2025"/>
    <s v="Заявка на разработку изделия 000026437 от 16.06.2025 0:00:00"/>
    <n v="30"/>
    <x v="71"/>
    <m/>
    <x v="53"/>
    <m/>
    <n v="4920"/>
    <m/>
    <x v="1"/>
    <x v="0"/>
    <s v="Нет"/>
    <s v="Нет"/>
    <m/>
    <m/>
  </r>
  <r>
    <s v="16.06.2025"/>
    <s v="Заявка на разработку изделия 000026437 от 16.06.2025 0:00:00"/>
    <n v="31"/>
    <x v="71"/>
    <m/>
    <x v="54"/>
    <m/>
    <n v="5530"/>
    <m/>
    <x v="1"/>
    <x v="0"/>
    <s v="Нет"/>
    <s v="Нет"/>
    <m/>
    <m/>
  </r>
  <r>
    <s v="16.06.2025"/>
    <s v="Заявка на разработку изделия 000026437 от 16.06.2025 0:00:00"/>
    <n v="32"/>
    <x v="71"/>
    <m/>
    <x v="55"/>
    <m/>
    <n v="6130"/>
    <m/>
    <x v="1"/>
    <x v="0"/>
    <s v="Нет"/>
    <s v="Нет"/>
    <m/>
    <m/>
  </r>
  <r>
    <s v="16.06.2025"/>
    <s v="Заявка на разработку изделия 000026437 от 16.06.2025 0:00:00"/>
    <n v="46"/>
    <x v="71"/>
    <m/>
    <x v="56"/>
    <m/>
    <n v="820"/>
    <m/>
    <x v="1"/>
    <x v="0"/>
    <s v="Нет"/>
    <s v="Нет"/>
    <m/>
    <m/>
  </r>
  <r>
    <s v="16.06.2025"/>
    <s v="Заявка на разработку изделия 000026437 от 16.06.2025 0:00:00"/>
    <n v="53"/>
    <x v="71"/>
    <m/>
    <x v="57"/>
    <m/>
    <n v="450"/>
    <m/>
    <x v="1"/>
    <x v="0"/>
    <s v="Нет"/>
    <s v="Нет"/>
    <m/>
    <m/>
  </r>
  <r>
    <s v="16.06.2025"/>
    <s v="Заявка на разработку изделия 000026437 от 16.06.2025 0:00:00"/>
    <n v="49"/>
    <x v="71"/>
    <m/>
    <x v="58"/>
    <m/>
    <n v="1300"/>
    <m/>
    <x v="1"/>
    <x v="0"/>
    <s v="Нет"/>
    <s v="Нет"/>
    <m/>
    <m/>
  </r>
  <r>
    <s v="16.06.2025"/>
    <s v="Заявка на разработку изделия 000026437 от 16.06.2025 0:00:00"/>
    <n v="58"/>
    <x v="71"/>
    <m/>
    <x v="59"/>
    <m/>
    <n v="3740"/>
    <m/>
    <x v="1"/>
    <x v="0"/>
    <s v="Нет"/>
    <s v="Нет"/>
    <m/>
    <m/>
  </r>
  <r>
    <s v="16.06.2025"/>
    <s v="Заявка на разработку изделия 000026437 от 16.06.2025 0:00:00"/>
    <n v="59"/>
    <x v="71"/>
    <m/>
    <x v="60"/>
    <m/>
    <n v="3740"/>
    <m/>
    <x v="1"/>
    <x v="0"/>
    <s v="Нет"/>
    <s v="Нет"/>
    <m/>
    <m/>
  </r>
  <r>
    <s v="16.06.2025"/>
    <s v="Заявка на разработку изделия 000026437 от 16.06.2025 0:00:00"/>
    <n v="60"/>
    <x v="71"/>
    <m/>
    <x v="61"/>
    <m/>
    <n v="5160"/>
    <m/>
    <x v="1"/>
    <x v="0"/>
    <s v="Нет"/>
    <s v="Нет"/>
    <m/>
    <m/>
  </r>
  <r>
    <s v="16.06.2025"/>
    <s v="Заявка на разработку изделия 000026437 от 16.06.2025 0:00:00"/>
    <n v="65"/>
    <x v="71"/>
    <m/>
    <x v="62"/>
    <m/>
    <n v="590"/>
    <m/>
    <x v="1"/>
    <x v="0"/>
    <s v="Нет"/>
    <s v="Нет"/>
    <m/>
    <m/>
  </r>
  <r>
    <s v="16.06.2025"/>
    <s v="Заявка на разработку изделия 000026437 от 16.06.2025 0:00:00"/>
    <n v="77"/>
    <x v="71"/>
    <m/>
    <x v="63"/>
    <m/>
    <n v="0.01"/>
    <m/>
    <x v="1"/>
    <x v="0"/>
    <s v="Нет"/>
    <s v="Нет"/>
    <m/>
    <m/>
  </r>
  <r>
    <s v="16.06.2025"/>
    <s v="Заявка на разработку изделия 000026437 от 16.06.2025 0:00:00"/>
    <n v="78"/>
    <x v="71"/>
    <m/>
    <x v="64"/>
    <m/>
    <n v="0.01"/>
    <m/>
    <x v="1"/>
    <x v="0"/>
    <s v="Нет"/>
    <s v="Нет"/>
    <m/>
    <m/>
  </r>
  <r>
    <s v="16.06.2025"/>
    <s v="Заявка на разработку изделия 000026437 от 16.06.2025 0:00:00"/>
    <n v="79"/>
    <x v="71"/>
    <m/>
    <x v="65"/>
    <m/>
    <n v="0.01"/>
    <m/>
    <x v="1"/>
    <x v="0"/>
    <s v="Нет"/>
    <s v="Нет"/>
    <m/>
    <m/>
  </r>
  <r>
    <s v="16.06.2025"/>
    <s v="Заявка на разработку изделия 000026437 от 16.06.2025 0:00:00"/>
    <n v="80"/>
    <x v="71"/>
    <m/>
    <x v="66"/>
    <m/>
    <n v="0.01"/>
    <m/>
    <x v="1"/>
    <x v="0"/>
    <s v="Нет"/>
    <s v="Нет"/>
    <m/>
    <m/>
  </r>
  <r>
    <s v="16.06.2025"/>
    <s v="Заявка на разработку изделия 000026437 от 16.06.2025 0:00:00"/>
    <n v="69"/>
    <x v="71"/>
    <m/>
    <x v="67"/>
    <m/>
    <n v="0.01"/>
    <m/>
    <x v="1"/>
    <x v="0"/>
    <s v="Нет"/>
    <s v="Нет"/>
    <m/>
    <m/>
  </r>
  <r>
    <s v="16.06.2025"/>
    <s v="Заявка на разработку изделия 000026437 от 16.06.2025 0:00:00"/>
    <n v="70"/>
    <x v="71"/>
    <m/>
    <x v="68"/>
    <m/>
    <n v="0.01"/>
    <m/>
    <x v="1"/>
    <x v="0"/>
    <s v="Нет"/>
    <s v="Нет"/>
    <m/>
    <m/>
  </r>
  <r>
    <s v="16.06.2025"/>
    <s v="Заявка на разработку изделия 000026437 от 16.06.2025 0:00:00"/>
    <n v="71"/>
    <x v="71"/>
    <m/>
    <x v="69"/>
    <m/>
    <n v="0.01"/>
    <m/>
    <x v="1"/>
    <x v="0"/>
    <s v="Нет"/>
    <s v="Нет"/>
    <m/>
    <m/>
  </r>
  <r>
    <s v="16.06.2025"/>
    <s v="Заявка на разработку изделия 000026437 от 16.06.2025 0:00:00"/>
    <n v="68"/>
    <x v="71"/>
    <m/>
    <x v="70"/>
    <m/>
    <n v="30"/>
    <m/>
    <x v="1"/>
    <x v="0"/>
    <s v="Нет"/>
    <s v="Нет"/>
    <m/>
    <m/>
  </r>
  <r>
    <s v="16.06.2025"/>
    <s v="Заявка на разработку изделия 000026437 от 16.06.2025 0:00:00"/>
    <n v="73"/>
    <x v="71"/>
    <m/>
    <x v="71"/>
    <m/>
    <n v="20"/>
    <m/>
    <x v="1"/>
    <x v="0"/>
    <s v="Нет"/>
    <s v="Нет"/>
    <m/>
    <m/>
  </r>
  <r>
    <s v="16.06.2025"/>
    <s v="Заявка на разработку изделия 000026437 от 16.06.2025 0:00:00"/>
    <n v="74"/>
    <x v="71"/>
    <m/>
    <x v="72"/>
    <m/>
    <n v="390"/>
    <m/>
    <x v="1"/>
    <x v="0"/>
    <s v="Нет"/>
    <s v="Нет"/>
    <m/>
    <m/>
  </r>
  <r>
    <s v="16.06.2025"/>
    <s v="Заявка на разработку изделия 000026437 от 16.06.2025 0:00:00"/>
    <n v="76"/>
    <x v="71"/>
    <m/>
    <x v="73"/>
    <m/>
    <n v="10"/>
    <m/>
    <x v="1"/>
    <x v="0"/>
    <s v="Нет"/>
    <s v="Нет"/>
    <m/>
    <m/>
  </r>
  <r>
    <s v="16.06.2025"/>
    <s v="Заявка на разработку изделия 000026437 от 16.06.2025 0:00:00"/>
    <n v="62"/>
    <x v="71"/>
    <m/>
    <x v="74"/>
    <m/>
    <n v="6940"/>
    <m/>
    <x v="1"/>
    <x v="0"/>
    <s v="Нет"/>
    <s v="Нет"/>
    <m/>
    <m/>
  </r>
  <r>
    <s v="16.06.2025"/>
    <s v="Заявка на разработку изделия 000026437 от 16.06.2025 0:00:00"/>
    <n v="28"/>
    <x v="71"/>
    <m/>
    <x v="75"/>
    <m/>
    <n v="5040"/>
    <m/>
    <x v="1"/>
    <x v="0"/>
    <s v="Нет"/>
    <s v="Нет"/>
    <m/>
    <m/>
  </r>
  <r>
    <s v="16.06.2025"/>
    <s v="Заявка на разработку изделия 000026437 от 16.06.2025 0:00:00"/>
    <n v="29"/>
    <x v="71"/>
    <m/>
    <x v="76"/>
    <m/>
    <n v="4140"/>
    <m/>
    <x v="1"/>
    <x v="0"/>
    <s v="Нет"/>
    <s v="Нет"/>
    <m/>
    <m/>
  </r>
  <r>
    <s v="16.06.2025"/>
    <s v="Заявка на разработку изделия 000026437 от 16.06.2025 0:00:00"/>
    <n v="61"/>
    <x v="71"/>
    <m/>
    <x v="77"/>
    <m/>
    <n v="6080"/>
    <m/>
    <x v="1"/>
    <x v="0"/>
    <s v="Нет"/>
    <s v="Нет"/>
    <m/>
    <m/>
  </r>
  <r>
    <s v="16.06.2025"/>
    <s v="Заявка на разработку изделия 000026437 от 16.06.2025 0:00:00"/>
    <n v="54"/>
    <x v="71"/>
    <m/>
    <x v="78"/>
    <m/>
    <n v="620"/>
    <m/>
    <x v="1"/>
    <x v="0"/>
    <s v="Нет"/>
    <s v="Нет"/>
    <m/>
    <m/>
  </r>
  <r>
    <s v="16.06.2025"/>
    <s v="Заявка на разработку изделия 000026437 от 16.06.2025 0:00:00"/>
    <n v="47"/>
    <x v="71"/>
    <m/>
    <x v="79"/>
    <m/>
    <n v="1560"/>
    <m/>
    <x v="1"/>
    <x v="0"/>
    <s v="Нет"/>
    <s v="Нет"/>
    <m/>
    <m/>
  </r>
  <r>
    <s v="16.06.2025"/>
    <s v="Заявка на разработку изделия 000026437 от 16.06.2025 0:00:00"/>
    <n v="50"/>
    <x v="71"/>
    <m/>
    <x v="80"/>
    <m/>
    <n v="1300"/>
    <m/>
    <x v="1"/>
    <x v="0"/>
    <s v="Нет"/>
    <s v="Нет"/>
    <m/>
    <m/>
  </r>
  <r>
    <s v="16.06.2025"/>
    <s v="Заявка на разработку изделия 000026437 от 16.06.2025 0:00:00"/>
    <n v="24"/>
    <x v="71"/>
    <m/>
    <x v="81"/>
    <m/>
    <n v="480"/>
    <m/>
    <x v="1"/>
    <x v="0"/>
    <s v="Нет"/>
    <s v="Нет"/>
    <m/>
    <m/>
  </r>
  <r>
    <s v="16.06.2025"/>
    <s v="Заявка на разработку изделия 000026437 от 16.06.2025 0:00:00"/>
    <n v="26"/>
    <x v="71"/>
    <m/>
    <x v="82"/>
    <m/>
    <n v="370"/>
    <m/>
    <x v="1"/>
    <x v="0"/>
    <s v="Нет"/>
    <s v="Нет"/>
    <m/>
    <m/>
  </r>
  <r>
    <s v="16.06.2025"/>
    <s v="Заявка на разработку изделия 000026437 от 16.06.2025 0:00:00"/>
    <n v="27"/>
    <x v="71"/>
    <m/>
    <x v="83"/>
    <m/>
    <n v="170"/>
    <m/>
    <x v="1"/>
    <x v="0"/>
    <s v="Нет"/>
    <s v="Нет"/>
    <m/>
    <m/>
  </r>
  <r>
    <s v="16.06.2025"/>
    <s v="Заявка на разработку изделия 000026437 от 16.06.2025 0:00:00"/>
    <n v="48"/>
    <x v="71"/>
    <m/>
    <x v="84"/>
    <m/>
    <n v="190"/>
    <m/>
    <x v="1"/>
    <x v="0"/>
    <s v="Нет"/>
    <s v="Нет"/>
    <m/>
    <m/>
  </r>
  <r>
    <s v="16.06.2025"/>
    <s v="Заявка на разработку изделия 000026437 от 16.06.2025 0:00:00"/>
    <n v="52"/>
    <x v="71"/>
    <m/>
    <x v="85"/>
    <m/>
    <n v="200"/>
    <m/>
    <x v="1"/>
    <x v="0"/>
    <s v="Нет"/>
    <s v="Нет"/>
    <m/>
    <m/>
  </r>
  <r>
    <s v="16.06.2025"/>
    <s v="Заявка на разработку изделия 000026437 от 16.06.2025 0:00:00"/>
    <n v="57"/>
    <x v="71"/>
    <m/>
    <x v="86"/>
    <m/>
    <n v="130"/>
    <m/>
    <x v="1"/>
    <x v="0"/>
    <s v="Нет"/>
    <s v="Нет"/>
    <m/>
    <m/>
  </r>
  <r>
    <s v="16.06.2025"/>
    <s v="Заявка на разработку изделия 000026437 от 16.06.2025 0:00:00"/>
    <n v="64"/>
    <x v="71"/>
    <m/>
    <x v="87"/>
    <m/>
    <n v="2290"/>
    <m/>
    <x v="1"/>
    <x v="0"/>
    <s v="Нет"/>
    <s v="Нет"/>
    <m/>
    <m/>
  </r>
  <r>
    <s v="16.06.2025"/>
    <s v="Заявка на разработку изделия 000026437 от 16.06.2025 0:00:00"/>
    <n v="51"/>
    <x v="71"/>
    <m/>
    <x v="88"/>
    <m/>
    <n v="480"/>
    <m/>
    <x v="1"/>
    <x v="0"/>
    <s v="Нет"/>
    <s v="Нет"/>
    <m/>
    <m/>
  </r>
  <r>
    <s v="16.06.2025"/>
    <s v="Заявка на разработку изделия 000026437 от 16.06.2025 0:00:00"/>
    <n v="66"/>
    <x v="71"/>
    <m/>
    <x v="89"/>
    <m/>
    <n v="210"/>
    <m/>
    <x v="1"/>
    <x v="0"/>
    <s v="Нет"/>
    <s v="Нет"/>
    <m/>
    <m/>
  </r>
  <r>
    <s v="16.06.2025"/>
    <s v="Заявка на разработку изделия 000026437 от 16.06.2025 0:00:00"/>
    <n v="19"/>
    <x v="71"/>
    <m/>
    <x v="90"/>
    <m/>
    <n v="280"/>
    <m/>
    <x v="1"/>
    <x v="0"/>
    <s v="Нет"/>
    <s v="Нет"/>
    <m/>
    <m/>
  </r>
  <r>
    <s v="16.06.2025"/>
    <s v="Заявка на разработку изделия 000026437 от 16.06.2025 0:00:00"/>
    <n v="72"/>
    <x v="71"/>
    <m/>
    <x v="91"/>
    <m/>
    <n v="40"/>
    <m/>
    <x v="1"/>
    <x v="0"/>
    <s v="Нет"/>
    <s v="Нет"/>
    <m/>
    <m/>
  </r>
  <r>
    <s v="16.06.2025"/>
    <s v="Заявка на разработку изделия 000026437 от 16.06.2025 0:00:00"/>
    <n v="34"/>
    <x v="71"/>
    <m/>
    <x v="92"/>
    <m/>
    <n v="6330"/>
    <m/>
    <x v="1"/>
    <x v="0"/>
    <s v="Нет"/>
    <s v="Нет"/>
    <m/>
    <m/>
  </r>
  <r>
    <s v="16.06.2025"/>
    <s v="Заявка на разработку изделия 000026437 от 16.06.2025 0:00:00"/>
    <n v="35"/>
    <x v="71"/>
    <m/>
    <x v="93"/>
    <m/>
    <n v="7270"/>
    <m/>
    <x v="1"/>
    <x v="0"/>
    <s v="Нет"/>
    <s v="Нет"/>
    <m/>
    <m/>
  </r>
  <r>
    <s v="16.06.2025"/>
    <s v="Заявка на разработку изделия 000026437 от 16.06.2025 0:00:00"/>
    <n v="36"/>
    <x v="71"/>
    <m/>
    <x v="94"/>
    <m/>
    <n v="7810"/>
    <m/>
    <x v="1"/>
    <x v="0"/>
    <s v="Нет"/>
    <s v="Нет"/>
    <m/>
    <m/>
  </r>
  <r>
    <s v="16.06.2025"/>
    <s v="Заявка на разработку изделия 000026437 от 16.06.2025 0:00:00"/>
    <n v="67"/>
    <x v="71"/>
    <m/>
    <x v="95"/>
    <m/>
    <n v="30"/>
    <m/>
    <x v="1"/>
    <x v="0"/>
    <s v="Нет"/>
    <s v="Нет"/>
    <m/>
    <m/>
  </r>
  <r>
    <s v="16.06.2025"/>
    <s v="Заявка на разработку изделия 000026437 от 16.06.2025 0:00:00"/>
    <n v="25"/>
    <x v="71"/>
    <m/>
    <x v="96"/>
    <m/>
    <n v="950"/>
    <m/>
    <x v="1"/>
    <x v="0"/>
    <s v="Нет"/>
    <s v="Нет"/>
    <m/>
    <m/>
  </r>
  <r>
    <s v="16.06.2025"/>
    <s v="Заявка на разработку изделия 000026437 от 16.06.2025 0:00:00"/>
    <n v="33"/>
    <x v="71"/>
    <m/>
    <x v="97"/>
    <m/>
    <n v="1600"/>
    <m/>
    <x v="1"/>
    <x v="0"/>
    <s v="Нет"/>
    <s v="Нет"/>
    <m/>
    <m/>
  </r>
  <r>
    <s v="16.06.2025"/>
    <s v="Заявка на разработку изделия 000026437 от 16.06.2025 0:00:00"/>
    <n v="44"/>
    <x v="71"/>
    <m/>
    <x v="98"/>
    <m/>
    <n v="11560"/>
    <m/>
    <x v="1"/>
    <x v="0"/>
    <s v="Нет"/>
    <s v="Нет"/>
    <m/>
    <m/>
  </r>
  <r>
    <s v="16.06.2025"/>
    <s v="Заявка на разработку изделия 000026437 от 16.06.2025 0:00:00"/>
    <n v="55"/>
    <x v="71"/>
    <m/>
    <x v="99"/>
    <m/>
    <n v="620"/>
    <m/>
    <x v="1"/>
    <x v="0"/>
    <s v="Нет"/>
    <s v="Нет"/>
    <m/>
    <m/>
  </r>
  <r>
    <s v="16.06.2025"/>
    <s v="Заявка на разработку изделия 000026437 от 16.06.2025 0:00:00"/>
    <n v="56"/>
    <x v="71"/>
    <m/>
    <x v="100"/>
    <m/>
    <n v="620"/>
    <m/>
    <x v="1"/>
    <x v="0"/>
    <s v="Нет"/>
    <s v="Нет"/>
    <m/>
    <m/>
  </r>
  <r>
    <s v="16.06.2025"/>
    <s v="Заявка на разработку изделия 000026437 от 16.06.2025 0:00:00"/>
    <n v="81"/>
    <x v="71"/>
    <m/>
    <x v="101"/>
    <m/>
    <n v="700"/>
    <m/>
    <x v="1"/>
    <x v="0"/>
    <s v="Нет"/>
    <s v="Нет"/>
    <m/>
    <m/>
  </r>
  <r>
    <s v="16.06.2025"/>
    <s v="Заявка на разработку изделия 000026437 от 16.06.2025 0:00:00"/>
    <n v="40"/>
    <x v="71"/>
    <m/>
    <x v="102"/>
    <m/>
    <n v="6130"/>
    <m/>
    <x v="1"/>
    <x v="0"/>
    <s v="Нет"/>
    <s v="Нет"/>
    <m/>
    <m/>
  </r>
  <r>
    <s v="16.06.2025"/>
    <s v="Заявка на разработку изделия 000026437 от 16.06.2025 0:00:00"/>
    <n v="37"/>
    <x v="71"/>
    <m/>
    <x v="103"/>
    <m/>
    <n v="1590"/>
    <m/>
    <x v="1"/>
    <x v="0"/>
    <s v="Нет"/>
    <s v="Нет"/>
    <m/>
    <m/>
  </r>
  <r>
    <s v="16.06.2025"/>
    <s v="Заявка на разработку изделия 000026437 от 16.06.2025 0:00:00"/>
    <n v="38"/>
    <x v="71"/>
    <m/>
    <x v="104"/>
    <m/>
    <n v="4920"/>
    <m/>
    <x v="1"/>
    <x v="0"/>
    <s v="Нет"/>
    <s v="Нет"/>
    <m/>
    <m/>
  </r>
  <r>
    <s v="16.06.2025"/>
    <s v="Заявка на разработку изделия 000026437 от 16.06.2025 0:00:00"/>
    <n v="39"/>
    <x v="71"/>
    <m/>
    <x v="105"/>
    <m/>
    <n v="5530"/>
    <m/>
    <x v="1"/>
    <x v="0"/>
    <s v="Нет"/>
    <s v="Нет"/>
    <m/>
    <m/>
  </r>
  <r>
    <s v="16.06.2025"/>
    <s v="Заявка на разработку изделия 000026437 от 16.06.2025 0:00:00"/>
    <n v="41"/>
    <x v="71"/>
    <m/>
    <x v="106"/>
    <m/>
    <n v="1000"/>
    <m/>
    <x v="1"/>
    <x v="0"/>
    <s v="Нет"/>
    <s v="Нет"/>
    <m/>
    <m/>
  </r>
  <r>
    <s v="16.06.2025"/>
    <s v="Заявка на разработку изделия 000026437 от 16.06.2025 0:00:00"/>
    <n v="42"/>
    <x v="71"/>
    <m/>
    <x v="107"/>
    <m/>
    <n v="1000"/>
    <m/>
    <x v="1"/>
    <x v="0"/>
    <s v="Нет"/>
    <s v="Нет"/>
    <m/>
    <m/>
  </r>
  <r>
    <s v="16.06.2025"/>
    <s v="Заявка на разработку изделия 000026437 от 16.06.2025 0:00:00"/>
    <n v="43"/>
    <x v="71"/>
    <m/>
    <x v="108"/>
    <m/>
    <n v="1000"/>
    <m/>
    <x v="1"/>
    <x v="0"/>
    <s v="Нет"/>
    <s v="Нет"/>
    <m/>
    <m/>
  </r>
  <r>
    <s v="16.06.2025"/>
    <s v="Заявка на разработку изделия 000026437 от 16.06.2025 0:00:00"/>
    <n v="21"/>
    <x v="71"/>
    <m/>
    <x v="109"/>
    <m/>
    <n v="5100"/>
    <m/>
    <x v="1"/>
    <x v="0"/>
    <s v="Нет"/>
    <s v="Нет"/>
    <m/>
    <m/>
  </r>
  <r>
    <s v="16.06.2025"/>
    <s v="Заявка на разработку изделия 000026437 от 16.06.2025 0:00:00"/>
    <n v="22"/>
    <x v="71"/>
    <m/>
    <x v="110"/>
    <m/>
    <n v="6660"/>
    <m/>
    <x v="1"/>
    <x v="0"/>
    <s v="Нет"/>
    <s v="Нет"/>
    <m/>
    <m/>
  </r>
  <r>
    <s v="16.06.2025"/>
    <s v="Заявка на разработку изделия 000026437 от 16.06.2025 0:00:00"/>
    <n v="23"/>
    <x v="71"/>
    <m/>
    <x v="111"/>
    <m/>
    <n v="0.01"/>
    <m/>
    <x v="1"/>
    <x v="0"/>
    <s v="Нет"/>
    <s v="Нет"/>
    <m/>
    <m/>
  </r>
  <r>
    <s v="16.06.2025"/>
    <s v="Заявка на разработку изделия 000026437 от 16.06.2025 0:00:00"/>
    <n v="17"/>
    <x v="71"/>
    <m/>
    <x v="112"/>
    <m/>
    <n v="550"/>
    <m/>
    <x v="1"/>
    <x v="0"/>
    <s v="Нет"/>
    <s v="Нет"/>
    <m/>
    <m/>
  </r>
  <r>
    <s v="16.06.2025"/>
    <s v="Заявка на разработку изделия 000026437 от 16.06.2025 0:00:00"/>
    <n v="82"/>
    <x v="71"/>
    <m/>
    <x v="113"/>
    <m/>
    <n v="8790"/>
    <m/>
    <x v="1"/>
    <x v="0"/>
    <s v="Нет"/>
    <s v="Нет"/>
    <m/>
    <m/>
  </r>
  <r>
    <s v="16.06.2025"/>
    <s v="Заявка на разработку изделия 000026437 от 16.06.2025 0:00:00"/>
    <n v="83"/>
    <x v="71"/>
    <m/>
    <x v="114"/>
    <m/>
    <n v="1200"/>
    <m/>
    <x v="1"/>
    <x v="0"/>
    <s v="Нет"/>
    <s v="Нет"/>
    <m/>
    <m/>
  </r>
  <r>
    <s v="16.06.2025"/>
    <s v="Заявка на разработку изделия 000026437 от 16.06.2025 0:00:00"/>
    <n v="18"/>
    <x v="71"/>
    <m/>
    <x v="115"/>
    <m/>
    <n v="1690"/>
    <m/>
    <x v="1"/>
    <x v="0"/>
    <s v="Нет"/>
    <s v="Нет"/>
    <m/>
    <m/>
  </r>
  <r>
    <s v="16.06.2025"/>
    <s v="Заявка на разработку изделия 000026439 от 16.06.2025 0:00:00"/>
    <n v="1"/>
    <x v="72"/>
    <m/>
    <x v="116"/>
    <m/>
    <n v="2185"/>
    <m/>
    <x v="0"/>
    <x v="0"/>
    <s v="Нет"/>
    <s v="Нет"/>
    <n v="1"/>
    <m/>
  </r>
  <r>
    <s v="16.06.2025"/>
    <s v="Заявка на разработку изделия 000026443 от 16.06.2025 0:00:00"/>
    <n v="1"/>
    <x v="73"/>
    <m/>
    <x v="117"/>
    <s v="(0-5]"/>
    <n v="4430"/>
    <m/>
    <x v="0"/>
    <x v="0"/>
    <s v="Нет"/>
    <s v="Нет"/>
    <n v="1"/>
    <m/>
  </r>
  <r>
    <s v="16.06.2025"/>
    <s v="Заявка на разработку изделия 000026443 от 16.06.2025 0:00:00"/>
    <n v="2"/>
    <x v="73"/>
    <m/>
    <x v="118"/>
    <s v="(0-5]"/>
    <n v="4430"/>
    <m/>
    <x v="0"/>
    <x v="0"/>
    <s v="Нет"/>
    <s v="Нет"/>
    <n v="1"/>
    <m/>
  </r>
  <r>
    <s v="16.06.2025"/>
    <s v="Заявка на разработку изделия 000026443 от 16.06.2025 0:00:00"/>
    <n v="3"/>
    <x v="73"/>
    <m/>
    <x v="119"/>
    <s v="(0-5]"/>
    <n v="3976"/>
    <m/>
    <x v="0"/>
    <x v="0"/>
    <s v="Нет"/>
    <s v="Нет"/>
    <n v="1"/>
    <m/>
  </r>
  <r>
    <s v="16.06.2025"/>
    <s v="Заявка на разработку изделия 000026443 от 16.06.2025 0:00:00"/>
    <n v="4"/>
    <x v="73"/>
    <m/>
    <x v="120"/>
    <s v="(0-5]"/>
    <n v="3976"/>
    <m/>
    <x v="0"/>
    <x v="0"/>
    <s v="Нет"/>
    <s v="Нет"/>
    <n v="1"/>
    <m/>
  </r>
  <r>
    <s v="16.06.2025"/>
    <s v="Заявка на разработку изделия 000026443 от 16.06.2025 0:00:00"/>
    <n v="5"/>
    <x v="73"/>
    <m/>
    <x v="121"/>
    <s v="(0-5]"/>
    <n v="3094"/>
    <m/>
    <x v="0"/>
    <x v="0"/>
    <s v="Нет"/>
    <s v="Нет"/>
    <n v="1"/>
    <m/>
  </r>
  <r>
    <s v="16.06.2025"/>
    <s v="Заявка на разработку изделия 000026443 от 16.06.2025 0:00:00"/>
    <n v="6"/>
    <x v="73"/>
    <m/>
    <x v="122"/>
    <s v="(0-5]"/>
    <n v="1090"/>
    <m/>
    <x v="3"/>
    <x v="0"/>
    <s v="Нет"/>
    <s v="Нет"/>
    <n v="1"/>
    <m/>
  </r>
  <r>
    <s v="16.06.2025"/>
    <s v="Заявка на разработку изделия 000026398 от 16.06.2025 0:00:00"/>
    <n v="1"/>
    <x v="74"/>
    <m/>
    <x v="30"/>
    <m/>
    <n v="2340"/>
    <m/>
    <x v="2"/>
    <x v="25"/>
    <s v="Нет"/>
    <s v="Нет"/>
    <n v="1"/>
    <m/>
  </r>
  <r>
    <s v="16.06.2025"/>
    <s v="Заявка на разработку изделия 000026398 от 16.06.2025 0:00:00"/>
    <n v="2"/>
    <x v="74"/>
    <m/>
    <x v="31"/>
    <m/>
    <n v="2670"/>
    <m/>
    <x v="2"/>
    <x v="25"/>
    <s v="Нет"/>
    <s v="Нет"/>
    <n v="1"/>
    <m/>
  </r>
  <r>
    <s v="16.06.2025"/>
    <s v="Заявка на разработку изделия 000026396 от 16.06.2025 0:00:00"/>
    <n v="1"/>
    <x v="75"/>
    <m/>
    <x v="30"/>
    <m/>
    <n v="1780"/>
    <m/>
    <x v="2"/>
    <x v="26"/>
    <s v="Нет"/>
    <s v="Нет"/>
    <n v="1"/>
    <m/>
  </r>
  <r>
    <s v="16.06.2025"/>
    <s v="Заявка на разработку изделия 000026396 от 16.06.2025 0:00:00"/>
    <n v="2"/>
    <x v="75"/>
    <m/>
    <x v="31"/>
    <m/>
    <n v="1960"/>
    <m/>
    <x v="2"/>
    <x v="26"/>
    <s v="Нет"/>
    <s v="Нет"/>
    <n v="1"/>
    <m/>
  </r>
  <r>
    <s v="16.06.2025"/>
    <s v="Заявка на разработку изделия 000026379 от 16.06.2025 0:00:00"/>
    <n v="1"/>
    <x v="76"/>
    <m/>
    <x v="30"/>
    <m/>
    <n v="3620"/>
    <m/>
    <x v="2"/>
    <x v="14"/>
    <s v="Нет"/>
    <s v="Нет"/>
    <n v="1"/>
    <m/>
  </r>
  <r>
    <s v="16.06.2025"/>
    <s v="Заявка на разработку изделия 000026379 от 16.06.2025 0:00:00"/>
    <n v="2"/>
    <x v="76"/>
    <m/>
    <x v="31"/>
    <m/>
    <n v="4090"/>
    <m/>
    <x v="2"/>
    <x v="14"/>
    <s v="Нет"/>
    <s v="Нет"/>
    <n v="1"/>
    <m/>
  </r>
  <r>
    <s v="16.06.2025"/>
    <s v="Заявка на разработку изделия 000026441 от 16.06.2025 0:00:00"/>
    <n v="1"/>
    <x v="77"/>
    <m/>
    <x v="123"/>
    <m/>
    <n v="1900"/>
    <m/>
    <x v="1"/>
    <x v="0"/>
    <s v="Нет"/>
    <s v="Нет"/>
    <n v="1"/>
    <m/>
  </r>
  <r>
    <s v="16.06.2025"/>
    <s v="Заявка на разработку изделия 000026440 от 16.06.2025 0:00:00"/>
    <n v="1"/>
    <x v="78"/>
    <m/>
    <x v="123"/>
    <m/>
    <n v="1900"/>
    <m/>
    <x v="1"/>
    <x v="0"/>
    <s v="Нет"/>
    <s v="Нет"/>
    <n v="1"/>
    <m/>
  </r>
  <r>
    <s v="16.06.2025"/>
    <s v="Заявка на разработку изделия 000026404 от 16.06.2025 0:00:00"/>
    <n v="1"/>
    <x v="79"/>
    <m/>
    <x v="30"/>
    <m/>
    <n v="3340"/>
    <m/>
    <x v="2"/>
    <x v="2"/>
    <s v="Нет"/>
    <s v="Нет"/>
    <n v="1"/>
    <m/>
  </r>
  <r>
    <s v="16.06.2025"/>
    <s v="Заявка на разработку изделия 000026404 от 16.06.2025 0:00:00"/>
    <n v="2"/>
    <x v="79"/>
    <m/>
    <x v="31"/>
    <m/>
    <n v="3830"/>
    <m/>
    <x v="2"/>
    <x v="2"/>
    <s v="Нет"/>
    <s v="Нет"/>
    <n v="1"/>
    <m/>
  </r>
  <r>
    <s v="16.06.2025"/>
    <s v="Заявка на разработку изделия 000026406 от 16.06.2025 0:00:00"/>
    <n v="1"/>
    <x v="80"/>
    <m/>
    <x v="30"/>
    <m/>
    <n v="3340"/>
    <m/>
    <x v="2"/>
    <x v="2"/>
    <s v="Нет"/>
    <s v="Нет"/>
    <n v="1"/>
    <m/>
  </r>
  <r>
    <s v="16.06.2025"/>
    <s v="Заявка на разработку изделия 000026406 от 16.06.2025 0:00:00"/>
    <n v="2"/>
    <x v="80"/>
    <m/>
    <x v="31"/>
    <m/>
    <n v="3210"/>
    <m/>
    <x v="2"/>
    <x v="2"/>
    <s v="Нет"/>
    <s v="Нет"/>
    <n v="1"/>
    <m/>
  </r>
  <r>
    <s v="16.06.2025"/>
    <s v="Заявка на разработку изделия 000026434 от 16.06.2025 0:00:00"/>
    <n v="1"/>
    <x v="81"/>
    <m/>
    <x v="30"/>
    <m/>
    <n v="7480"/>
    <m/>
    <x v="2"/>
    <x v="1"/>
    <s v="Нет"/>
    <s v="Нет"/>
    <n v="1"/>
    <m/>
  </r>
  <r>
    <s v="16.06.2025"/>
    <s v="Заявка на разработку изделия 000026434 от 16.06.2025 0:00:00"/>
    <n v="2"/>
    <x v="81"/>
    <m/>
    <x v="31"/>
    <m/>
    <n v="8490"/>
    <m/>
    <x v="2"/>
    <x v="1"/>
    <s v="Нет"/>
    <s v="Нет"/>
    <n v="1"/>
    <m/>
  </r>
  <r>
    <s v="16.06.2025"/>
    <s v="Заявка на разработку изделия 000026430 от 16.06.2025 0:00:00"/>
    <n v="1"/>
    <x v="82"/>
    <m/>
    <x v="30"/>
    <m/>
    <n v="7320"/>
    <m/>
    <x v="2"/>
    <x v="1"/>
    <s v="Нет"/>
    <s v="Нет"/>
    <n v="1"/>
    <m/>
  </r>
  <r>
    <s v="16.06.2025"/>
    <s v="Заявка на разработку изделия 000026430 от 16.06.2025 0:00:00"/>
    <n v="2"/>
    <x v="82"/>
    <m/>
    <x v="31"/>
    <m/>
    <n v="8340"/>
    <m/>
    <x v="2"/>
    <x v="1"/>
    <s v="Нет"/>
    <s v="Нет"/>
    <n v="1"/>
    <m/>
  </r>
  <r>
    <s v="16.06.2025"/>
    <s v="Заявка на разработку изделия 000026395 от 16.06.2025 0:00:00"/>
    <n v="1"/>
    <x v="83"/>
    <m/>
    <x v="30"/>
    <m/>
    <n v="2530"/>
    <m/>
    <x v="2"/>
    <x v="3"/>
    <s v="Нет"/>
    <s v="Нет"/>
    <n v="1"/>
    <m/>
  </r>
  <r>
    <s v="16.06.2025"/>
    <s v="Заявка на разработку изделия 000026395 от 16.06.2025 0:00:00"/>
    <n v="2"/>
    <x v="83"/>
    <m/>
    <x v="31"/>
    <m/>
    <n v="2820"/>
    <m/>
    <x v="2"/>
    <x v="3"/>
    <s v="Нет"/>
    <s v="Нет"/>
    <n v="1"/>
    <m/>
  </r>
  <r>
    <s v="16.06.2025"/>
    <s v="Заявка на разработку изделия 000026445 от 16.06.2025 0:00:00"/>
    <n v="1"/>
    <x v="84"/>
    <m/>
    <x v="124"/>
    <m/>
    <n v="400"/>
    <m/>
    <x v="1"/>
    <x v="0"/>
    <s v="Нет"/>
    <s v="Нет"/>
    <n v="1"/>
    <m/>
  </r>
  <r>
    <s v="16.06.2025"/>
    <s v="Заявка на разработку изделия 000026400 от 16.06.2025 0:00:00"/>
    <n v="1"/>
    <x v="85"/>
    <m/>
    <x v="30"/>
    <m/>
    <n v="2530"/>
    <m/>
    <x v="2"/>
    <x v="3"/>
    <s v="Нет"/>
    <s v="Нет"/>
    <n v="1"/>
    <m/>
  </r>
  <r>
    <s v="16.06.2025"/>
    <s v="Заявка на разработку изделия 000026400 от 16.06.2025 0:00:00"/>
    <n v="2"/>
    <x v="85"/>
    <m/>
    <x v="31"/>
    <m/>
    <n v="2820"/>
    <m/>
    <x v="2"/>
    <x v="3"/>
    <s v="Нет"/>
    <s v="Нет"/>
    <n v="1"/>
    <m/>
  </r>
  <r>
    <s v="16.06.2025"/>
    <s v="Заявка на разработку изделия 000026444 от 16.06.2025 8:42:33"/>
    <n v="3"/>
    <x v="86"/>
    <m/>
    <x v="0"/>
    <m/>
    <n v="11083.4458"/>
    <m/>
    <x v="0"/>
    <x v="0"/>
    <s v="Нет"/>
    <s v="Нет"/>
    <n v="1"/>
    <m/>
  </r>
  <r>
    <s v="16.06.2025"/>
    <s v="Заявка на разработку изделия 000026444 от 16.06.2025 8:42:33"/>
    <n v="17"/>
    <x v="86"/>
    <m/>
    <x v="1"/>
    <m/>
    <n v="13853.3073"/>
    <m/>
    <x v="0"/>
    <x v="0"/>
    <s v="Нет"/>
    <s v="Нет"/>
    <n v="1"/>
    <m/>
  </r>
  <r>
    <s v="16.06.2025"/>
    <s v="Заявка на разработку изделия 000026444 от 16.06.2025 8:42:33"/>
    <n v="1"/>
    <x v="86"/>
    <m/>
    <x v="2"/>
    <m/>
    <n v="6465.6767"/>
    <m/>
    <x v="0"/>
    <x v="0"/>
    <s v="Нет"/>
    <s v="Нет"/>
    <n v="1"/>
    <m/>
  </r>
  <r>
    <s v="16.06.2025"/>
    <s v="Заявка на разработку изделия 000026444 от 16.06.2025 8:42:33"/>
    <n v="15"/>
    <x v="86"/>
    <m/>
    <x v="3"/>
    <m/>
    <n v="8081.5959000000003"/>
    <m/>
    <x v="0"/>
    <x v="0"/>
    <s v="Нет"/>
    <s v="Нет"/>
    <n v="1"/>
    <m/>
  </r>
  <r>
    <s v="16.06.2025"/>
    <s v="Заявка на разработку изделия 000026444 от 16.06.2025 8:42:33"/>
    <n v="2"/>
    <x v="86"/>
    <m/>
    <x v="4"/>
    <m/>
    <n v="9297.5350999999991"/>
    <m/>
    <x v="0"/>
    <x v="0"/>
    <s v="Нет"/>
    <s v="Нет"/>
    <n v="1"/>
    <m/>
  </r>
  <r>
    <s v="16.06.2025"/>
    <s v="Заявка на разработку изделия 000026444 от 16.06.2025 8:42:33"/>
    <n v="16"/>
    <x v="86"/>
    <m/>
    <x v="5"/>
    <m/>
    <n v="11619.419"/>
    <m/>
    <x v="0"/>
    <x v="0"/>
    <s v="Нет"/>
    <s v="Нет"/>
    <n v="1"/>
    <m/>
  </r>
  <r>
    <s v="16.06.2025"/>
    <s v="Заявка на разработку изделия 000026444 от 16.06.2025 8:42:33"/>
    <n v="4"/>
    <x v="86"/>
    <m/>
    <x v="6"/>
    <m/>
    <n v="7841.6079"/>
    <m/>
    <x v="0"/>
    <x v="0"/>
    <s v="Нет"/>
    <s v="Нет"/>
    <n v="1"/>
    <m/>
  </r>
  <r>
    <s v="16.06.2025"/>
    <s v="Заявка на разработку изделия 000026444 от 16.06.2025 8:42:33"/>
    <n v="18"/>
    <x v="86"/>
    <m/>
    <x v="7"/>
    <m/>
    <n v="9799.51"/>
    <m/>
    <x v="0"/>
    <x v="0"/>
    <s v="Нет"/>
    <s v="Нет"/>
    <n v="1"/>
    <m/>
  </r>
  <r>
    <s v="16.06.2025"/>
    <s v="Заявка на разработку изделия 000026444 от 16.06.2025 8:42:33"/>
    <n v="5"/>
    <x v="86"/>
    <m/>
    <x v="8"/>
    <m/>
    <n v="11083.4458"/>
    <m/>
    <x v="0"/>
    <x v="0"/>
    <s v="Нет"/>
    <s v="Нет"/>
    <n v="1"/>
    <m/>
  </r>
  <r>
    <s v="16.06.2025"/>
    <s v="Заявка на разработку изделия 000026444 от 16.06.2025 8:42:33"/>
    <n v="19"/>
    <x v="86"/>
    <m/>
    <x v="9"/>
    <m/>
    <n v="13853.3073"/>
    <m/>
    <x v="0"/>
    <x v="0"/>
    <s v="Нет"/>
    <s v="Нет"/>
    <n v="1"/>
    <m/>
  </r>
  <r>
    <s v="16.06.2025"/>
    <s v="Заявка на разработку изделия 000026444 от 16.06.2025 8:42:33"/>
    <n v="6"/>
    <x v="86"/>
    <m/>
    <x v="10"/>
    <m/>
    <n v="12865.3567"/>
    <m/>
    <x v="0"/>
    <x v="0"/>
    <s v="Нет"/>
    <s v="Нет"/>
    <n v="1"/>
    <m/>
  </r>
  <r>
    <s v="16.06.2025"/>
    <s v="Заявка на разработку изделия 000026444 от 16.06.2025 8:42:33"/>
    <n v="20"/>
    <x v="86"/>
    <m/>
    <x v="11"/>
    <m/>
    <n v="16081.195900000001"/>
    <m/>
    <x v="0"/>
    <x v="0"/>
    <s v="Нет"/>
    <s v="Нет"/>
    <n v="1"/>
    <m/>
  </r>
  <r>
    <s v="16.06.2025"/>
    <s v="Заявка на разработку изделия 000026444 от 16.06.2025 8:42:33"/>
    <n v="7"/>
    <x v="86"/>
    <m/>
    <x v="12"/>
    <m/>
    <n v="14653.2673"/>
    <m/>
    <x v="0"/>
    <x v="0"/>
    <s v="Нет"/>
    <s v="Нет"/>
    <n v="1"/>
    <m/>
  </r>
  <r>
    <s v="16.06.2025"/>
    <s v="Заявка на разработку изделия 000026444 от 16.06.2025 8:42:33"/>
    <n v="21"/>
    <x v="86"/>
    <m/>
    <x v="13"/>
    <m/>
    <n v="18315.084200000001"/>
    <m/>
    <x v="0"/>
    <x v="0"/>
    <s v="Нет"/>
    <s v="Нет"/>
    <n v="1"/>
    <m/>
  </r>
  <r>
    <s v="16.06.2025"/>
    <s v="Заявка на разработку изделия 000026444 от 16.06.2025 8:42:33"/>
    <n v="8"/>
    <x v="86"/>
    <m/>
    <x v="14"/>
    <m/>
    <n v="7113.6442999999999"/>
    <m/>
    <x v="0"/>
    <x v="0"/>
    <s v="Нет"/>
    <s v="Нет"/>
    <n v="1"/>
    <m/>
  </r>
  <r>
    <s v="16.06.2025"/>
    <s v="Заявка на разработку изделия 000026444 от 16.06.2025 8:42:33"/>
    <n v="22"/>
    <x v="86"/>
    <m/>
    <x v="15"/>
    <m/>
    <n v="8889.5555000000004"/>
    <m/>
    <x v="0"/>
    <x v="0"/>
    <s v="Нет"/>
    <s v="Нет"/>
    <n v="1"/>
    <m/>
  </r>
  <r>
    <s v="16.06.2025"/>
    <s v="Заявка на разработку изделия 000026444 от 16.06.2025 8:42:33"/>
    <n v="9"/>
    <x v="86"/>
    <m/>
    <x v="16"/>
    <m/>
    <n v="10225.4887"/>
    <m/>
    <x v="0"/>
    <x v="0"/>
    <s v="Нет"/>
    <s v="Нет"/>
    <n v="1"/>
    <m/>
  </r>
  <r>
    <s v="16.06.2025"/>
    <s v="Заявка на разработку изделия 000026444 от 16.06.2025 8:42:33"/>
    <n v="23"/>
    <x v="86"/>
    <m/>
    <x v="17"/>
    <m/>
    <n v="12781.3609"/>
    <m/>
    <x v="0"/>
    <x v="0"/>
    <s v="Нет"/>
    <s v="Нет"/>
    <n v="1"/>
    <m/>
  </r>
  <r>
    <s v="16.06.2025"/>
    <s v="Заявка на разработку изделия 000026444 от 16.06.2025 8:42:33"/>
    <n v="10"/>
    <x v="86"/>
    <m/>
    <x v="18"/>
    <m/>
    <n v="12191.3904"/>
    <m/>
    <x v="0"/>
    <x v="0"/>
    <s v="Нет"/>
    <s v="Нет"/>
    <n v="1"/>
    <m/>
  </r>
  <r>
    <s v="16.06.2025"/>
    <s v="Заявка на разработку изделия 000026444 от 16.06.2025 8:42:33"/>
    <n v="24"/>
    <x v="86"/>
    <m/>
    <x v="19"/>
    <m/>
    <n v="15241.2379"/>
    <m/>
    <x v="0"/>
    <x v="0"/>
    <s v="Нет"/>
    <s v="Нет"/>
    <n v="1"/>
    <m/>
  </r>
  <r>
    <s v="16.06.2025"/>
    <s v="Заявка на разработку изделия 000026444 от 16.06.2025 8:42:33"/>
    <n v="11"/>
    <x v="86"/>
    <m/>
    <x v="20"/>
    <m/>
    <n v="8619.5689999999995"/>
    <m/>
    <x v="0"/>
    <x v="0"/>
    <s v="Нет"/>
    <s v="Нет"/>
    <n v="1"/>
    <m/>
  </r>
  <r>
    <s v="16.06.2025"/>
    <s v="Заявка на разработку изделия 000026444 от 16.06.2025 8:42:33"/>
    <n v="25"/>
    <x v="86"/>
    <m/>
    <x v="21"/>
    <m/>
    <n v="10773.461300000001"/>
    <m/>
    <x v="0"/>
    <x v="0"/>
    <s v="Нет"/>
    <s v="Нет"/>
    <n v="1"/>
    <m/>
  </r>
  <r>
    <s v="16.06.2025"/>
    <s v="Заявка на разработку изделия 000026444 от 16.06.2025 8:42:33"/>
    <n v="12"/>
    <x v="86"/>
    <m/>
    <x v="22"/>
    <m/>
    <n v="12191.3904"/>
    <m/>
    <x v="0"/>
    <x v="0"/>
    <s v="Нет"/>
    <s v="Нет"/>
    <n v="1"/>
    <m/>
  </r>
  <r>
    <s v="16.06.2025"/>
    <s v="Заявка на разработку изделия 000026444 от 16.06.2025 8:42:33"/>
    <n v="26"/>
    <x v="86"/>
    <m/>
    <x v="23"/>
    <m/>
    <n v="15241.2379"/>
    <m/>
    <x v="0"/>
    <x v="0"/>
    <s v="Нет"/>
    <s v="Нет"/>
    <n v="1"/>
    <m/>
  </r>
  <r>
    <s v="16.06.2025"/>
    <s v="Заявка на разработку изделия 000026444 от 16.06.2025 8:42:33"/>
    <n v="13"/>
    <x v="86"/>
    <m/>
    <x v="24"/>
    <m/>
    <n v="14155.2922"/>
    <m/>
    <x v="0"/>
    <x v="0"/>
    <s v="Нет"/>
    <s v="Нет"/>
    <n v="1"/>
    <m/>
  </r>
  <r>
    <s v="16.06.2025"/>
    <s v="Заявка на разработку изделия 000026444 от 16.06.2025 8:42:33"/>
    <n v="27"/>
    <x v="86"/>
    <m/>
    <x v="25"/>
    <m/>
    <n v="17693.115300000001"/>
    <m/>
    <x v="0"/>
    <x v="0"/>
    <s v="Нет"/>
    <s v="Нет"/>
    <n v="1"/>
    <m/>
  </r>
  <r>
    <s v="16.06.2025"/>
    <s v="Заявка на разработку изделия 000026444 от 16.06.2025 8:42:33"/>
    <n v="14"/>
    <x v="86"/>
    <m/>
    <x v="26"/>
    <m/>
    <n v="16119.194"/>
    <m/>
    <x v="0"/>
    <x v="0"/>
    <s v="Нет"/>
    <s v="Нет"/>
    <n v="1"/>
    <m/>
  </r>
  <r>
    <s v="16.06.2025"/>
    <s v="Заявка на разработку изделия 000026444 от 16.06.2025 8:42:33"/>
    <n v="28"/>
    <x v="86"/>
    <m/>
    <x v="27"/>
    <m/>
    <n v="20150.992399999999"/>
    <m/>
    <x v="0"/>
    <x v="0"/>
    <s v="Нет"/>
    <s v="Нет"/>
    <n v="1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Сводная таблица2" cacheId="0" applyNumberFormats="0" applyBorderFormats="0" applyFontFormats="0" applyPatternFormats="0" applyAlignmentFormats="0" applyWidthHeightFormats="1" dataCaption="Значения" updatedVersion="8" minRefreshableVersion="3" useAutoFormatting="1" itemPrintTitles="1" createdVersion="8" indent="0" outline="1" outlineData="1" multipleFieldFilters="0">
  <location ref="A3:D153" firstHeaderRow="1" firstDataRow="2" firstDataCol="1" rowPageCount="1" colPageCount="1"/>
  <pivotFields count="15">
    <pivotField showAll="0"/>
    <pivotField showAll="0"/>
    <pivotField numFmtId="1" showAll="0"/>
    <pivotField axis="axisRow" showAll="0">
      <items count="88">
        <item x="37"/>
        <item x="49"/>
        <item x="79"/>
        <item x="4"/>
        <item x="55"/>
        <item x="80"/>
        <item x="14"/>
        <item x="19"/>
        <item x="8"/>
        <item x="24"/>
        <item x="76"/>
        <item x="17"/>
        <item x="9"/>
        <item x="16"/>
        <item x="15"/>
        <item x="30"/>
        <item x="83"/>
        <item x="75"/>
        <item x="34"/>
        <item x="74"/>
        <item x="35"/>
        <item x="85"/>
        <item x="36"/>
        <item x="22"/>
        <item x="25"/>
        <item x="56"/>
        <item x="23"/>
        <item x="57"/>
        <item x="7"/>
        <item x="31"/>
        <item x="39"/>
        <item x="33"/>
        <item x="1"/>
        <item x="2"/>
        <item x="38"/>
        <item x="70"/>
        <item x="68"/>
        <item x="69"/>
        <item x="81"/>
        <item x="82"/>
        <item x="41"/>
        <item x="65"/>
        <item x="43"/>
        <item x="61"/>
        <item x="32"/>
        <item x="42"/>
        <item x="67"/>
        <item x="66"/>
        <item x="40"/>
        <item x="20"/>
        <item x="21"/>
        <item x="54"/>
        <item x="59"/>
        <item x="60"/>
        <item x="18"/>
        <item x="28"/>
        <item x="64"/>
        <item x="12"/>
        <item x="63"/>
        <item x="46"/>
        <item x="58"/>
        <item x="44"/>
        <item x="5"/>
        <item x="45"/>
        <item x="51"/>
        <item x="29"/>
        <item x="26"/>
        <item x="27"/>
        <item x="10"/>
        <item x="11"/>
        <item x="13"/>
        <item x="62"/>
        <item x="47"/>
        <item x="50"/>
        <item x="48"/>
        <item x="52"/>
        <item x="53"/>
        <item x="3"/>
        <item x="0"/>
        <item x="86"/>
        <item x="73"/>
        <item x="71"/>
        <item x="72"/>
        <item x="6"/>
        <item x="84"/>
        <item x="77"/>
        <item x="78"/>
        <item t="default"/>
      </items>
    </pivotField>
    <pivotField showAll="0"/>
    <pivotField axis="axisCol" showAll="0">
      <items count="126">
        <item x="2"/>
        <item x="14"/>
        <item x="3"/>
        <item x="15"/>
        <item x="4"/>
        <item x="16"/>
        <item x="5"/>
        <item x="17"/>
        <item x="29"/>
        <item x="0"/>
        <item x="18"/>
        <item x="1"/>
        <item x="19"/>
        <item x="35"/>
        <item x="96"/>
        <item x="81"/>
        <item x="82"/>
        <item x="83"/>
        <item x="89"/>
        <item x="71"/>
        <item x="70"/>
        <item x="91"/>
        <item x="67"/>
        <item x="69"/>
        <item x="68"/>
        <item x="95"/>
        <item x="78"/>
        <item x="99"/>
        <item x="79"/>
        <item x="80"/>
        <item x="86"/>
        <item x="84"/>
        <item x="85"/>
        <item x="34"/>
        <item x="88"/>
        <item x="87"/>
        <item x="77"/>
        <item x="74"/>
        <item x="97"/>
        <item x="92"/>
        <item x="93"/>
        <item x="94"/>
        <item x="98"/>
        <item x="36"/>
        <item x="6"/>
        <item x="20"/>
        <item x="7"/>
        <item x="21"/>
        <item x="8"/>
        <item x="22"/>
        <item x="9"/>
        <item x="23"/>
        <item x="10"/>
        <item x="24"/>
        <item x="28"/>
        <item x="11"/>
        <item x="25"/>
        <item x="12"/>
        <item x="26"/>
        <item x="13"/>
        <item x="27"/>
        <item x="122"/>
        <item x="120"/>
        <item x="117"/>
        <item x="118"/>
        <item x="119"/>
        <item x="121"/>
        <item x="123"/>
        <item x="110"/>
        <item x="109"/>
        <item x="101"/>
        <item x="113"/>
        <item x="72"/>
        <item x="61"/>
        <item x="59"/>
        <item x="60"/>
        <item x="115"/>
        <item x="33"/>
        <item x="63"/>
        <item x="64"/>
        <item x="65"/>
        <item x="66"/>
        <item x="73"/>
        <item x="37"/>
        <item x="46"/>
        <item x="50"/>
        <item x="51"/>
        <item x="52"/>
        <item x="47"/>
        <item x="48"/>
        <item x="49"/>
        <item x="112"/>
        <item x="38"/>
        <item x="39"/>
        <item x="40"/>
        <item x="41"/>
        <item x="42"/>
        <item x="43"/>
        <item x="44"/>
        <item x="45"/>
        <item x="111"/>
        <item x="62"/>
        <item x="90"/>
        <item x="100"/>
        <item x="58"/>
        <item x="57"/>
        <item x="114"/>
        <item x="56"/>
        <item x="103"/>
        <item x="106"/>
        <item x="104"/>
        <item x="107"/>
        <item x="105"/>
        <item x="102"/>
        <item x="108"/>
        <item x="53"/>
        <item x="54"/>
        <item x="55"/>
        <item x="75"/>
        <item x="76"/>
        <item x="30"/>
        <item x="31"/>
        <item x="116"/>
        <item x="32"/>
        <item x="124"/>
        <item t="default"/>
      </items>
    </pivotField>
    <pivotField showAll="0"/>
    <pivotField dataField="1" showAll="0"/>
    <pivotField showAll="0"/>
    <pivotField axis="axisPage" showAll="0">
      <items count="5">
        <item x="0"/>
        <item x="3"/>
        <item x="2"/>
        <item x="1"/>
        <item t="default"/>
      </items>
    </pivotField>
    <pivotField axis="axisRow" showAll="0">
      <items count="28">
        <item x="7"/>
        <item x="20"/>
        <item x="22"/>
        <item x="10"/>
        <item x="26"/>
        <item x="3"/>
        <item x="5"/>
        <item x="21"/>
        <item x="12"/>
        <item x="11"/>
        <item x="19"/>
        <item x="6"/>
        <item x="14"/>
        <item x="25"/>
        <item x="9"/>
        <item x="8"/>
        <item x="23"/>
        <item x="24"/>
        <item x="13"/>
        <item x="15"/>
        <item x="1"/>
        <item x="16"/>
        <item x="18"/>
        <item x="4"/>
        <item x="17"/>
        <item x="2"/>
        <item x="0"/>
        <item t="default"/>
      </items>
    </pivotField>
    <pivotField showAll="0"/>
    <pivotField showAll="0"/>
    <pivotField showAll="0"/>
    <pivotField showAll="0"/>
  </pivotFields>
  <rowFields count="2">
    <field x="3"/>
    <field x="10"/>
  </rowFields>
  <rowItems count="149">
    <i>
      <x/>
    </i>
    <i r="1">
      <x v="12"/>
    </i>
    <i>
      <x v="1"/>
    </i>
    <i r="1">
      <x v="22"/>
    </i>
    <i>
      <x v="2"/>
    </i>
    <i r="1">
      <x v="25"/>
    </i>
    <i>
      <x v="3"/>
    </i>
    <i r="1">
      <x v="25"/>
    </i>
    <i>
      <x v="4"/>
    </i>
    <i r="1">
      <x v="22"/>
    </i>
    <i>
      <x v="5"/>
    </i>
    <i r="1">
      <x v="25"/>
    </i>
    <i>
      <x v="6"/>
    </i>
    <i r="1">
      <x v="3"/>
    </i>
    <i>
      <x v="7"/>
    </i>
    <i r="1">
      <x v="3"/>
    </i>
    <i>
      <x v="8"/>
    </i>
    <i r="1">
      <x v="6"/>
    </i>
    <i>
      <x v="9"/>
    </i>
    <i r="1">
      <x v="6"/>
    </i>
    <i>
      <x v="10"/>
    </i>
    <i r="1">
      <x v="12"/>
    </i>
    <i>
      <x v="11"/>
    </i>
    <i r="1">
      <x v="3"/>
    </i>
    <i>
      <x v="12"/>
    </i>
    <i r="1">
      <x v="6"/>
    </i>
    <i>
      <x v="13"/>
    </i>
    <i r="1">
      <x v="3"/>
    </i>
    <i>
      <x v="14"/>
    </i>
    <i r="1">
      <x v="3"/>
    </i>
    <i>
      <x v="15"/>
    </i>
    <i r="1">
      <x v="5"/>
    </i>
    <i>
      <x v="16"/>
    </i>
    <i r="1">
      <x v="5"/>
    </i>
    <i>
      <x v="17"/>
    </i>
    <i r="1">
      <x v="4"/>
    </i>
    <i>
      <x v="18"/>
    </i>
    <i r="1">
      <x v="5"/>
    </i>
    <i>
      <x v="19"/>
    </i>
    <i r="1">
      <x v="13"/>
    </i>
    <i>
      <x v="20"/>
    </i>
    <i r="1">
      <x v="5"/>
    </i>
    <i>
      <x v="21"/>
    </i>
    <i r="1">
      <x v="5"/>
    </i>
    <i>
      <x v="22"/>
    </i>
    <i r="1">
      <x v="5"/>
    </i>
    <i>
      <x v="23"/>
    </i>
    <i r="1">
      <x v="6"/>
    </i>
    <i>
      <x v="24"/>
    </i>
    <i r="1">
      <x v="6"/>
    </i>
    <i>
      <x v="25"/>
    </i>
    <i r="1">
      <x v="3"/>
    </i>
    <i>
      <x v="26"/>
    </i>
    <i r="1">
      <x v="6"/>
    </i>
    <i>
      <x v="27"/>
    </i>
    <i r="1">
      <x v="3"/>
    </i>
    <i>
      <x v="28"/>
    </i>
    <i r="1">
      <x v="23"/>
    </i>
    <i>
      <x v="29"/>
    </i>
    <i r="1">
      <x v="18"/>
    </i>
    <i>
      <x v="30"/>
    </i>
    <i r="1">
      <x v="19"/>
    </i>
    <i>
      <x v="31"/>
    </i>
    <i r="1">
      <x v="20"/>
    </i>
    <i>
      <x v="34"/>
    </i>
    <i r="1">
      <x v="19"/>
    </i>
    <i>
      <x v="35"/>
    </i>
    <i r="1">
      <x v="18"/>
    </i>
    <i>
      <x v="36"/>
    </i>
    <i r="1">
      <x v="20"/>
    </i>
    <i>
      <x v="37"/>
    </i>
    <i r="1">
      <x v="20"/>
    </i>
    <i>
      <x v="38"/>
    </i>
    <i r="1">
      <x v="20"/>
    </i>
    <i>
      <x v="39"/>
    </i>
    <i r="1">
      <x v="20"/>
    </i>
    <i>
      <x v="40"/>
    </i>
    <i r="1">
      <x v="20"/>
    </i>
    <i>
      <x v="41"/>
    </i>
    <i r="1">
      <x v="20"/>
    </i>
    <i>
      <x v="42"/>
    </i>
    <i r="1">
      <x v="21"/>
    </i>
    <i>
      <x v="43"/>
    </i>
    <i r="1">
      <x v="17"/>
    </i>
    <i>
      <x v="44"/>
    </i>
    <i r="1">
      <x v="18"/>
    </i>
    <i>
      <x v="45"/>
    </i>
    <i r="1">
      <x v="19"/>
    </i>
    <i>
      <x v="46"/>
    </i>
    <i r="1">
      <x v="19"/>
    </i>
    <i>
      <x v="47"/>
    </i>
    <i r="1">
      <x v="20"/>
    </i>
    <i>
      <x v="48"/>
    </i>
    <i r="1">
      <x v="19"/>
    </i>
    <i>
      <x v="49"/>
    </i>
    <i r="1">
      <x v="8"/>
    </i>
    <i>
      <x v="50"/>
    </i>
    <i r="1">
      <x v="8"/>
    </i>
    <i>
      <x v="51"/>
    </i>
    <i r="1">
      <x v="7"/>
    </i>
    <i>
      <x v="52"/>
    </i>
    <i r="1">
      <x v="2"/>
    </i>
    <i>
      <x v="53"/>
    </i>
    <i r="1">
      <x v="16"/>
    </i>
    <i>
      <x v="54"/>
    </i>
    <i r="1">
      <x v="9"/>
    </i>
    <i>
      <x v="55"/>
    </i>
    <i r="1">
      <x v="5"/>
    </i>
    <i>
      <x v="56"/>
    </i>
    <i r="1">
      <x v="5"/>
    </i>
    <i>
      <x v="57"/>
    </i>
    <i r="1">
      <x v="15"/>
    </i>
    <i>
      <x v="58"/>
    </i>
    <i r="1">
      <x v="15"/>
    </i>
    <i>
      <x v="59"/>
    </i>
    <i r="1">
      <x v="12"/>
    </i>
    <i>
      <x v="60"/>
    </i>
    <i r="1">
      <x v="12"/>
    </i>
    <i>
      <x v="61"/>
    </i>
    <i r="1">
      <x v="5"/>
    </i>
    <i>
      <x v="63"/>
    </i>
    <i r="1">
      <x v="5"/>
    </i>
    <i>
      <x v="64"/>
    </i>
    <i r="1">
      <x v="5"/>
    </i>
    <i>
      <x v="65"/>
    </i>
    <i r="1">
      <x v="5"/>
    </i>
    <i>
      <x v="66"/>
    </i>
    <i r="1">
      <x v="6"/>
    </i>
    <i>
      <x v="67"/>
    </i>
    <i r="1">
      <x v="6"/>
    </i>
    <i>
      <x v="68"/>
    </i>
    <i r="1">
      <x v="11"/>
    </i>
    <i>
      <x v="69"/>
    </i>
    <i r="1">
      <x/>
    </i>
    <i>
      <x v="70"/>
    </i>
    <i r="1">
      <x v="14"/>
    </i>
    <i>
      <x v="71"/>
    </i>
    <i r="1">
      <x v="14"/>
    </i>
    <i>
      <x v="72"/>
    </i>
    <i r="1">
      <x v="24"/>
    </i>
    <i>
      <x v="73"/>
    </i>
    <i r="1">
      <x v="5"/>
    </i>
    <i>
      <x v="74"/>
    </i>
    <i r="1">
      <x v="24"/>
    </i>
    <i>
      <x v="75"/>
    </i>
    <i r="1">
      <x v="10"/>
    </i>
    <i>
      <x v="76"/>
    </i>
    <i r="1">
      <x v="1"/>
    </i>
    <i t="grand">
      <x/>
    </i>
  </rowItems>
  <colFields count="1">
    <field x="5"/>
  </colFields>
  <colItems count="3">
    <i>
      <x v="120"/>
    </i>
    <i>
      <x v="121"/>
    </i>
    <i t="grand">
      <x/>
    </i>
  </colItems>
  <pageFields count="1">
    <pageField fld="9" item="2" hier="-1"/>
  </pageFields>
  <dataFields count="1">
    <dataField name="Сумма по полю Коэффициент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340EAAE5-0461-4662-98C6-CD7621A8DF06}" name="Таблица43" displayName="Таблица43" ref="A2:E11" totalsRowShown="0">
  <autoFilter ref="A2:E11" xr:uid="{3D3BF9B4-3FF7-4AC3-AE71-8A1BDA804290}"/>
  <tableColumns count="5">
    <tableColumn id="1" xr3:uid="{A0069B05-61CB-40F4-9ECA-1A50F211FEC0}" name="Модуль БЗ"/>
    <tableColumn id="2" xr3:uid="{8CFF26E1-B70F-42E7-9A46-55D96364167C}" name="Цена БЗ" dataDxfId="429"/>
    <tableColumn id="3" xr3:uid="{777E6523-8058-4EFC-9D40-77A63690952D}" name="Цена Калькулятор" dataDxfId="428">
      <calculatedColumnFormula>Заказ!#REF!</calculatedColumnFormula>
    </tableColumn>
    <tableColumn id="4" xr3:uid="{96BD3AB7-4283-4578-B9B9-D22BBAFF865C}" name="Разница" dataDxfId="427" dataCellStyle="Финансовый 2">
      <calculatedColumnFormula>(Таблица43[[#This Row],[Цена Калькулятор]]-Таблица43[[#This Row],[Цена БЗ]])/Таблица43[[#This Row],[Цена БЗ]]</calculatedColumnFormula>
    </tableColumn>
    <tableColumn id="5" xr3:uid="{99C856FD-E753-4B08-9ED3-E3404AE00F1F}" name="Комментарий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835CE995-BC7C-4B9D-A8DB-3C928CC008D7}" name="Таблица44" displayName="Таблица44" ref="A14:E17" totalsRowShown="0">
  <autoFilter ref="A14:E17" xr:uid="{FE3E3586-1797-4C13-86F8-983E337D20F8}"/>
  <tableColumns count="5">
    <tableColumn id="1" xr3:uid="{10848B77-31BC-4612-B609-DAC20EC99E12}" name="Фасады БЗ"/>
    <tableColumn id="2" xr3:uid="{222CD75A-CB5F-42E8-A447-C169B6542E20}" name="Цена БЗ" dataDxfId="426"/>
    <tableColumn id="3" xr3:uid="{454F16DE-EEFE-4F2F-AF4C-821061DBD9C9}" name="Цена Калькулятор" dataDxfId="425"/>
    <tableColumn id="4" xr3:uid="{3D20B8F3-2067-49BC-BEC6-59A09986307C}" name="Разница" dataDxfId="424" dataCellStyle="Процентный">
      <calculatedColumnFormula>(Таблица44[[#This Row],[Цена Калькулятор]]-Таблица44[[#This Row],[Цена БЗ]])/Таблица44[[#This Row],[Цена БЗ]]</calculatedColumnFormula>
    </tableColumn>
    <tableColumn id="5" xr3:uid="{A80E139D-1BAA-45B3-8B92-62DD558CAC39}" name="Комментарий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1000000}" name="Заказ_Столешницы" displayName="Заказ_Столешницы" ref="AP1:BA2" insertRow="1" totalsRowShown="0" headerRowDxfId="419" dataDxfId="418">
  <autoFilter ref="AP1:BA2" xr:uid="{00000000-0009-0000-0100-00000E000000}"/>
  <tableColumns count="12">
    <tableColumn id="1" xr3:uid="{00000000-0010-0000-0100-000001000000}" name="Производитель" dataDxfId="417"/>
    <tableColumn id="2" xr3:uid="{00000000-0010-0000-0100-000002000000}" name="Цвет столешницы" dataDxfId="416"/>
    <tableColumn id="3" xr3:uid="{00000000-0010-0000-0100-000003000000}" name="Толщина столешницы" dataDxfId="415"/>
    <tableColumn id="4" xr3:uid="{00000000-0010-0000-0100-000004000000}" name="Высота" dataDxfId="414"/>
    <tableColumn id="5" xr3:uid="{00000000-0010-0000-0100-000005000000}" name="Ширина" dataDxfId="413"/>
    <tableColumn id="6" xr3:uid="{00000000-0010-0000-0100-000006000000}" name="Кол-во" dataDxfId="412"/>
    <tableColumn id="7" xr3:uid="{00000000-0010-0000-0100-000007000000}" name="Стоимость" dataDxfId="411"/>
    <tableColumn id="8" xr3:uid="{00000000-0010-0000-0100-000008000000}" name="Тип изделия" dataDxfId="410"/>
    <tableColumn id="11" xr3:uid="{00000000-0010-0000-0100-00000B000000}" name="Соединенное название" dataDxfId="409">
      <calculatedColumnFormula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calculatedColumnFormula>
    </tableColumn>
    <tableColumn id="9" xr3:uid="{00000000-0010-0000-0100-000009000000}" name="Цена в БЗ" dataDxfId="408"/>
    <tableColumn id="10" xr3:uid="{00000000-0010-0000-0100-00000A000000}" name="разница" dataDxfId="407">
      <calculatedColumnFormula>Заказ_Столешницы[[#This Row],[Стоимость]]-Заказ_Столешницы[[#This Row],[Цена в БЗ]]</calculatedColumnFormula>
    </tableColumn>
    <tableColumn id="12" xr3:uid="{00000000-0010-0000-0100-00000C000000}" name="Столбец1" dataDxfId="406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2000000}" name="Корзина" displayName="Корзина" ref="A1:AN3" insertRow="1" totalsRowCount="1" headerRowDxfId="405" dataDxfId="404" totalsRowDxfId="403">
  <autoFilter ref="A1:AN2" xr:uid="{00000000-0009-0000-0100-00000F000000}"/>
  <tableColumns count="40">
    <tableColumn id="1" xr3:uid="{00000000-0010-0000-0200-000001000000}" name="Номенклатура" totalsRowLabel="Итог" dataDxfId="402" totalsRowDxfId="39"/>
    <tableColumn id="2" xr3:uid="{00000000-0010-0000-0200-000002000000}" name="Высота" dataDxfId="401" totalsRowDxfId="38"/>
    <tableColumn id="3" xr3:uid="{00000000-0010-0000-0200-000003000000}" name="Ширина" dataDxfId="400" totalsRowDxfId="37"/>
    <tableColumn id="4" xr3:uid="{00000000-0010-0000-0200-000004000000}" name="Глубина" dataDxfId="399" totalsRowDxfId="36"/>
    <tableColumn id="5" xr3:uid="{00000000-0010-0000-0200-000005000000}" name="Кол-во" dataDxfId="398" totalsRowDxfId="35"/>
    <tableColumn id="6" xr3:uid="{00000000-0010-0000-0200-000006000000}" name="Цена корпуса" dataDxfId="397" totalsRowDxfId="34"/>
    <tableColumn id="7" xr3:uid="{00000000-0010-0000-0200-000007000000}" name="Фасады,м2" dataDxfId="396" totalsRowDxfId="33"/>
    <tableColumn id="8" xr3:uid="{00000000-0010-0000-0200-000008000000}" name="Полки,шт." dataDxfId="395" totalsRowDxfId="32"/>
    <tableColumn id="9" xr3:uid="{00000000-0010-0000-0200-000009000000}" name="Полки,м2" dataDxfId="394" totalsRowDxfId="31"/>
    <tableColumn id="10" xr3:uid="{00000000-0010-0000-0200-00000A000000}" name="Цена фасадов" totalsRowFunction="sum" dataDxfId="393" totalsRowDxfId="30"/>
    <tableColumn id="11" xr3:uid="{00000000-0010-0000-0200-00000B000000}" name="Цена полок" dataDxfId="392" totalsRowDxfId="29"/>
    <tableColumn id="12" xr3:uid="{00000000-0010-0000-0200-00000C000000}" name="Цена Gola" dataDxfId="391" totalsRowDxfId="28"/>
    <tableColumn id="13" xr3:uid="{00000000-0010-0000-0200-00000D000000}" name="Базовая цена корпуса" dataDxfId="390" totalsRowDxfId="27"/>
    <tableColumn id="14" xr3:uid="{00000000-0010-0000-0200-00000E000000}" name="Базовая ширина" dataDxfId="389" totalsRowDxfId="26"/>
    <tableColumn id="15" xr3:uid="{00000000-0010-0000-0200-00000F000000}" name="Тип фасада" dataDxfId="388" totalsRowDxfId="25"/>
    <tableColumn id="16" xr3:uid="{00000000-0010-0000-0200-000010000000}" name="Комплектация" dataDxfId="387" totalsRowDxfId="24"/>
    <tableColumn id="17" xr3:uid="{00000000-0010-0000-0200-000011000000}" name="Тип модуля" dataDxfId="386" totalsRowDxfId="23"/>
    <tableColumn id="18" xr3:uid="{00000000-0010-0000-0200-000012000000}" name="Коллекция" dataDxfId="385" totalsRowDxfId="22"/>
    <tableColumn id="19" xr3:uid="{00000000-0010-0000-0200-000013000000}" name="Цвет" dataDxfId="384" totalsRowDxfId="21"/>
    <tableColumn id="20" xr3:uid="{00000000-0010-0000-0200-000014000000}" name="Фрезеровка" dataDxfId="383" totalsRowDxfId="20"/>
    <tableColumn id="21" xr3:uid="{00000000-0010-0000-0200-000015000000}" name="Толщина" dataDxfId="382" totalsRowDxfId="19"/>
    <tableColumn id="22" xr3:uid="{00000000-0010-0000-0200-000016000000}" name="Уровень модуля" dataDxfId="381" totalsRowDxfId="18"/>
    <tableColumn id="24" xr3:uid="{00000000-0010-0000-0200-000018000000}" name="Базовый комплект" dataDxfId="380" totalsRowDxfId="17"/>
    <tableColumn id="25" xr3:uid="{00000000-0010-0000-0200-000019000000}" name="Добавочная цена от комплектации" dataDxfId="379" totalsRowDxfId="16"/>
    <tableColumn id="26" xr3:uid="{00000000-0010-0000-0200-00001A000000}" name="Цвет стекла для витрины" dataDxfId="378" totalsRowDxfId="15"/>
    <tableColumn id="27" xr3:uid="{00000000-0010-0000-0200-00001B000000}" name="Цена стекла для витрины" dataDxfId="377" totalsRowDxfId="14"/>
    <tableColumn id="28" xr3:uid="{00000000-0010-0000-0200-00001C000000}" name="Материал полок" dataDxfId="376" totalsRowDxfId="13"/>
    <tableColumn id="23" xr3:uid="{00000000-0010-0000-0200-000017000000}" name="Цена корпус + полки" totalsRowFunction="sum" dataDxfId="375" totalsRowDxfId="12"/>
    <tableColumn id="29" xr3:uid="{00000000-0010-0000-0200-00001D000000}" name="Материал корпуса" dataDxfId="374" totalsRowDxfId="11"/>
    <tableColumn id="33" xr3:uid="{00000000-0010-0000-0200-000021000000}" name="Тип фрезеровки" dataDxfId="373" totalsRowDxfId="10"/>
    <tableColumn id="34" xr3:uid="{00000000-0010-0000-0200-000022000000}" name="Скидка для фрезеровки" dataDxfId="372" totalsRowDxfId="9"/>
    <tableColumn id="36" xr3:uid="{00000000-0010-0000-0200-000024000000}" name="Кол-во фасадов в модуле" dataDxfId="371" totalsRowDxfId="8"/>
    <tableColumn id="30" xr3:uid="{00000000-0010-0000-0200-00001E000000}" name="Соединенное название" dataDxfId="370" totalsRowDxfId="7">
      <calculatedColumnFormula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calculatedColumnFormula>
    </tableColumn>
    <tableColumn id="35" xr3:uid="{00000000-0010-0000-0200-000023000000}" name="Комплектация для вывода на экран" dataDxfId="369" totalsRowDxfId="6"/>
    <tableColumn id="37" xr3:uid="{00000000-0010-0000-0200-000025000000}" name="Цена пленки" dataDxfId="368" totalsRowDxfId="5"/>
    <tableColumn id="31" xr3:uid="{00000000-0010-0000-0200-00001F000000}" name="Цена БЗ" dataDxfId="367" totalsRowDxfId="4">
      <calculatedColumnFormula>VLOOKUP(Корзина[[#This Row],[Соединенное название]],#REF!,2,0)</calculatedColumnFormula>
    </tableColumn>
    <tableColumn id="32" xr3:uid="{00000000-0010-0000-0200-000020000000}" name="Разница" dataDxfId="366" totalsRowDxfId="3">
      <calculatedColumnFormula>AB2-AJ2</calculatedColumnFormula>
    </tableColumn>
    <tableColumn id="38" xr3:uid="{00000000-0010-0000-0200-000026000000}" name="Подсветка" dataDxfId="365" totalsRowDxfId="2"/>
    <tableColumn id="39" xr3:uid="{00000000-0010-0000-0200-000027000000}" name="Высота ниши" dataDxfId="364" totalsRowDxfId="1"/>
    <tableColumn id="40" xr3:uid="{00000000-0010-0000-0200-000028000000}" name="Высота верхней частти пенала" dataDxfId="363" totalsRowDxfId="0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3000000}" name="Заказ_Отдельные_фасады" displayName="Заказ_Отдельные_фасады" ref="BC1:BN3" insertRow="1" totalsRowCount="1" headerRowDxfId="362" dataDxfId="360" totalsRowDxfId="358" headerRowBorderDxfId="361" tableBorderDxfId="359">
  <autoFilter ref="BC1:BN2" xr:uid="{00000000-0009-0000-0100-000010000000}"/>
  <tableColumns count="12">
    <tableColumn id="1" xr3:uid="{00000000-0010-0000-0300-000001000000}" name="Коллекция" totalsRowLabel="Итог" dataDxfId="357" totalsRowDxfId="356"/>
    <tableColumn id="2" xr3:uid="{00000000-0010-0000-0300-000002000000}" name="Цвет" dataDxfId="355" totalsRowDxfId="354"/>
    <tableColumn id="3" xr3:uid="{00000000-0010-0000-0300-000003000000}" name="Фрезеровка" dataDxfId="353" totalsRowDxfId="352"/>
    <tableColumn id="4" xr3:uid="{00000000-0010-0000-0300-000004000000}" name="Толщина" dataDxfId="351" totalsRowDxfId="350"/>
    <tableColumn id="11" xr3:uid="{00000000-0010-0000-0300-00000B000000}" name="Высота,мм" dataDxfId="349" totalsRowDxfId="348"/>
    <tableColumn id="10" xr3:uid="{00000000-0010-0000-0300-00000A000000}" name="Ширина,мм" dataDxfId="347" totalsRowDxfId="346"/>
    <tableColumn id="9" xr3:uid="{00000000-0010-0000-0300-000009000000}" name="Площадь,м2" dataDxfId="345" totalsRowDxfId="344"/>
    <tableColumn id="5" xr3:uid="{00000000-0010-0000-0300-000005000000}" name="Цвет стекла для витрины" dataDxfId="343" totalsRowDxfId="342"/>
    <tableColumn id="6" xr3:uid="{00000000-0010-0000-0300-000006000000}" name="Цена стекла для витрины" dataDxfId="341" totalsRowDxfId="340"/>
    <tableColumn id="7" xr3:uid="{00000000-0010-0000-0300-000007000000}" name="Кол-во" dataDxfId="339" totalsRowDxfId="338"/>
    <tableColumn id="8" xr3:uid="{00000000-0010-0000-0300-000008000000}" name="Стоимость" totalsRowFunction="sum" dataDxfId="337" totalsRowDxfId="336"/>
    <tableColumn id="12" xr3:uid="{00000000-0010-0000-0300-00000C000000}" name="Цена пленки" dataDxfId="335" totalsRowDxfId="334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4000000}" name="Заказ_ручки" displayName="Заказ_ручки" ref="BP1:BU2" insertRow="1" totalsRowShown="0" headerRowDxfId="333" dataDxfId="332" tableBorderDxfId="331">
  <autoFilter ref="BP1:BU2" xr:uid="{00000000-0009-0000-0100-000011000000}"/>
  <tableColumns count="6">
    <tableColumn id="1" xr3:uid="{00000000-0010-0000-0400-000001000000}" name="Название ручки / Артикул ручки" dataDxfId="330"/>
    <tableColumn id="2" xr3:uid="{00000000-0010-0000-0400-000002000000}" name="Тип" dataDxfId="329"/>
    <tableColumn id="3" xr3:uid="{00000000-0010-0000-0400-000003000000}" name="Категория" dataDxfId="328"/>
    <tableColumn id="4" xr3:uid="{00000000-0010-0000-0400-000004000000}" name="Коллекция" dataDxfId="327"/>
    <tableColumn id="6" xr3:uid="{00000000-0010-0000-0400-000006000000}" name="Количество" dataDxfId="326"/>
    <tableColumn id="7" xr3:uid="{00000000-0010-0000-0400-000007000000}" name="Цена" dataDxfId="325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5000000}" name="Gola_Base_Furn_for_stol_Order" displayName="Gola_Base_Furn_for_stol_Order" ref="BW1:BZ2" insertRow="1" totalsRowShown="0" headerRowDxfId="324" dataDxfId="323">
  <autoFilter ref="BW1:BZ2" xr:uid="{00000000-0009-0000-0100-000012000000}"/>
  <tableColumns count="4">
    <tableColumn id="1" xr3:uid="{00000000-0010-0000-0500-000001000000}" name="Изделие" dataDxfId="322"/>
    <tableColumn id="2" xr3:uid="{00000000-0010-0000-0500-000002000000}" name="Количество" dataDxfId="321"/>
    <tableColumn id="3" xr3:uid="{00000000-0010-0000-0500-000003000000}" name="Цена" dataDxfId="320"/>
    <tableColumn id="4" xr3:uid="{00000000-0010-0000-0500-000004000000}" name="Коллекция" dataDxfId="319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6000000}" name="Скидки" displayName="Скидки" ref="CB1:CC6" totalsRowShown="0" dataDxfId="318">
  <autoFilter ref="CB1:CC6" xr:uid="{00000000-0009-0000-0100-000014000000}"/>
  <tableColumns count="2">
    <tableColumn id="1" xr3:uid="{00000000-0010-0000-0600-000001000000}" name="Продукция" dataDxfId="317"/>
    <tableColumn id="2" xr3:uid="{00000000-0010-0000-0600-000002000000}" name="Скидка" dataDxfId="316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7000000}" name="Прайс" displayName="Прайс" ref="A1:CU85" totalsRowShown="0" headerRowDxfId="314" dataDxfId="313">
  <autoFilter ref="A1:CU85" xr:uid="{00000000-0009-0000-0100-000004000000}"/>
  <tableColumns count="99">
    <tableColumn id="1" xr3:uid="{00000000-0010-0000-0700-000001000000}" name="Артикул" dataDxfId="312"/>
    <tableColumn id="2" xr3:uid="{00000000-0010-0000-0700-000002000000}" name="Тип" dataDxfId="311"/>
    <tableColumn id="4" xr3:uid="{00000000-0010-0000-0700-000004000000}" name="Варианты наполнения" dataDxfId="310"/>
    <tableColumn id="16" xr3:uid="{00000000-0010-0000-0700-000010000000}" name="Вид модуля" dataDxfId="309"/>
    <tableColumn id="15" xr3:uid="{00000000-0010-0000-0700-00000F000000}" name="Профиль Gola" dataDxfId="308"/>
    <tableColumn id="3" xr3:uid="{00000000-0010-0000-0700-000003000000}" name="Признаки для фильтров" dataDxfId="307"/>
    <tableColumn id="6" xr3:uid="{00000000-0010-0000-0700-000006000000}" name="Высота min" dataDxfId="306"/>
    <tableColumn id="7" xr3:uid="{00000000-0010-0000-0700-000007000000}" name="Высота max" dataDxfId="305"/>
    <tableColumn id="8" xr3:uid="{00000000-0010-0000-0700-000008000000}" name="Ширина min" dataDxfId="304"/>
    <tableColumn id="9" xr3:uid="{00000000-0010-0000-0700-000009000000}" name="Ширина max" dataDxfId="303"/>
    <tableColumn id="10" xr3:uid="{00000000-0010-0000-0700-00000A000000}" name="Глубина min" dataDxfId="302"/>
    <tableColumn id="11" xr3:uid="{00000000-0010-0000-0700-00000B000000}" name="Глубина max" dataDxfId="301"/>
    <tableColumn id="14" xr3:uid="{00000000-0010-0000-0700-00000E000000}" name="Количество полок" dataDxfId="300"/>
    <tableColumn id="12" xr3:uid="{00000000-0010-0000-0700-00000C000000}" name="Комментарий" dataDxfId="299"/>
    <tableColumn id="5" xr3:uid="{00000000-0010-0000-0700-000005000000}" name="Базовая цена" dataDxfId="298"/>
    <tableColumn id="28" xr3:uid="{00000000-0010-0000-0700-00001C000000}" name="КФ НСТ11" dataDxfId="297"/>
    <tableColumn id="27" xr3:uid="{00000000-0010-0000-0700-00001B000000}" name="КФ НСТ1" dataDxfId="296"/>
    <tableColumn id="13" xr3:uid="{00000000-0010-0000-0700-00000D000000}" name="КФ крепежа корпуса 1" dataDxfId="295">
      <calculatedColumnFormula>'комплекты фурнитуры'!C3</calculatedColumnFormula>
    </tableColumn>
    <tableColumn id="18" xr3:uid="{00000000-0010-0000-0700-000012000000}" name="КФ крепежа корпуса 2" dataDxfId="294"/>
    <tableColumn id="19" xr3:uid="{00000000-0010-0000-0700-000013000000}" name="КФ крепежа корпуса 4" dataDxfId="293"/>
    <tableColumn id="20" xr3:uid="{00000000-0010-0000-0700-000014000000}" name="КФ крепежа корпуса 6" dataDxfId="292"/>
    <tableColumn id="21" xr3:uid="{00000000-0010-0000-0700-000015000000}" name="КФ крепежа корпуса 7" dataDxfId="291"/>
    <tableColumn id="23" xr3:uid="{00000000-0010-0000-0700-000017000000}" name="КФ крепежа корпуса 9" dataDxfId="290"/>
    <tableColumn id="32" xr3:uid="{00000000-0010-0000-0700-000020000000}" name="КФ крепежа корпуса 10" dataDxfId="289"/>
    <tableColumn id="22" xr3:uid="{00000000-0010-0000-0700-000016000000}" name="КФ крепежа корпуса 11" dataDxfId="288"/>
    <tableColumn id="33" xr3:uid="{00000000-0010-0000-0700-000021000000}" name="КФ крепежа корпуса 12" dataDxfId="287"/>
    <tableColumn id="29" xr3:uid="{00000000-0010-0000-0700-00001D000000}" name="КФ крепежа корпуса 13" dataDxfId="286"/>
    <tableColumn id="31" xr3:uid="{00000000-0010-0000-0700-00001F000000}" name="КФ НСТ 14" dataDxfId="285"/>
    <tableColumn id="30" xr3:uid="{00000000-0010-0000-0700-00001E000000}" name="КФ крепежа корпуса 15" dataDxfId="284"/>
    <tableColumn id="24" xr3:uid="{00000000-0010-0000-0700-000018000000}" name="КФ крепежа корпуса 16" dataDxfId="283"/>
    <tableColumn id="17" xr3:uid="{00000000-0010-0000-0700-000011000000}" name="КФ опора пластиковая 120" dataDxfId="282"/>
    <tableColumn id="25" xr3:uid="{00000000-0010-0000-0700-000019000000}" name="KFPr-SB-POD" dataDxfId="281"/>
    <tableColumn id="26" xr3:uid="{00000000-0010-0000-0700-00001A000000}" name="KFPr-SB-ZPG" dataDxfId="280"/>
    <tableColumn id="34" xr3:uid="{00000000-0010-0000-0700-000022000000}" name="КФ корпуса" dataDxfId="279">
      <calculatedColumnFormula>SUM(Прайс[[#This Row],[КФ НСТ11]:[KFPr-SB-ZPG]])</calculatedColumnFormula>
    </tableColumn>
    <tableColumn id="65" xr3:uid="{00000000-0010-0000-0700-000041000000}" name=" KFPr-SB-StK " dataDxfId="278"/>
    <tableColumn id="67" xr3:uid="{00000000-0010-0000-0700-000043000000}" name="KFPr-SB-SPL" dataDxfId="277"/>
    <tableColumn id="66" xr3:uid="{00000000-0010-0000-0700-000042000000}" name="KFPr-SB-SMRZ_16мм" dataDxfId="276"/>
    <tableColumn id="68" xr3:uid="{00000000-0010-0000-0700-000044000000}" name="КФ KEKU" dataDxfId="275"/>
    <tableColumn id="38" xr3:uid="{00000000-0010-0000-0700-000026000000}" name="КФ петли SENS накл.110 гр. с крестообр. Планкой" dataDxfId="274"/>
    <tableColumn id="39" xr3:uid="{00000000-0010-0000-0700-000027000000}" name="KFP-SB-N110" dataDxfId="273"/>
    <tableColumn id="43" xr3:uid="{00000000-0010-0000-0700-00002B000000}" name="КФ петли вклад. 95 гр. с крестообр. планкой" dataDxfId="272"/>
    <tableColumn id="44" xr3:uid="{00000000-0010-0000-0700-00002C000000}" name="KFP-SB-PY94" dataDxfId="271"/>
    <tableColumn id="45" xr3:uid="{00000000-0010-0000-0700-00002D000000}" name="КKFP-SB-GT45" dataDxfId="270"/>
    <tableColumn id="46" xr3:uid="{00000000-0010-0000-0700-00002E000000}" name="KFP-SB-N45" dataDxfId="269"/>
    <tableColumn id="61" xr3:uid="{00000000-0010-0000-0700-00003D000000}" name="KFS-SB-45 (посудосушители)" dataDxfId="268"/>
    <tableColumn id="62" xr3:uid="{00000000-0010-0000-0700-00003E000000}" name="КФ Сушка AFF 600" dataDxfId="267"/>
    <tableColumn id="64" xr3:uid="{00000000-0010-0000-0700-000040000000}" name="КФ Сушка AFF 800" dataDxfId="266"/>
    <tableColumn id="63" xr3:uid="{00000000-0010-0000-0700-00003F000000}" name="КФ Сушка AFF 900" dataDxfId="265"/>
    <tableColumn id="56" xr3:uid="{00000000-0010-0000-0700-000038000000}" name="KFP-SP-PPGK" dataDxfId="264"/>
    <tableColumn id="57" xr3:uid="{00000000-0010-0000-0700-000039000000}" name="KFP-SP-PPGK_71_x000a_" dataDxfId="263"/>
    <tableColumn id="58" xr3:uid="{00000000-0010-0000-0700-00003A000000}" name="KFP-SP-PPA" dataDxfId="262"/>
    <tableColumn id="59" xr3:uid="{00000000-0010-0000-0700-00003B000000}" name="KFP-SB-PPHF_W" dataDxfId="261"/>
    <tableColumn id="55" xr3:uid="{00000000-0010-0000-0700-000037000000}" name="KFN-SB-M54" dataDxfId="260"/>
    <tableColumn id="47" xr3:uid="{00000000-0010-0000-0700-00002F000000}" name="Комплект для ящика Hettich ATIRA Серый, NL-470, H-70" dataDxfId="259"/>
    <tableColumn id="53" xr3:uid="{00000000-0010-0000-0700-000035000000}" name="Комплект для ящика Hettich ATIRA Серый с реллингом, NL-470, H-176" dataDxfId="258"/>
    <tableColumn id="48" xr3:uid="{00000000-0010-0000-0700-000030000000}" name="KFN-SB-M86" dataDxfId="257"/>
    <tableColumn id="54" xr3:uid="{00000000-0010-0000-0700-000036000000}" name="KFN-SB-M15" dataDxfId="256"/>
    <tableColumn id="49" xr3:uid="{00000000-0010-0000-0700-000031000000}" name="KFN-SB-MD" dataDxfId="255"/>
    <tableColumn id="50" xr3:uid="{00000000-0010-0000-0700-000032000000}" name="КФ ящика Matrix (H=89 мм)_450_GR" dataDxfId="254"/>
    <tableColumn id="69" xr3:uid="{00000000-0010-0000-0700-000045000000}" name="КФ ящика Matrix (H=175 мм)_450_GR" dataDxfId="253"/>
    <tableColumn id="51" xr3:uid="{00000000-0010-0000-0700-000033000000}" name="Комплект ящика INNOTECH ATIRA полного выдв. с  PUSH TO OPEN , Н70,NL470,цвет серебристый" dataDxfId="252"/>
    <tableColumn id="52" xr3:uid="{00000000-0010-0000-0700-000034000000}" name="Комплект короба INNOTECH ATIRA полного выдв. с Push to open, Н176,NL470,рейлинги, цвет серебристый" dataDxfId="251"/>
    <tableColumn id="40" xr3:uid="{00000000-0010-0000-0700-000028000000}" name="KFS-SB-BYT" dataDxfId="250"/>
    <tableColumn id="41" xr3:uid="{00000000-0010-0000-0700-000029000000}" name="Корзина с держателем для бутылок 414*500*520 мм" dataDxfId="249"/>
    <tableColumn id="42" xr3:uid="{00000000-0010-0000-0700-00002A000000}" name="КФ евровинт" dataDxfId="248"/>
    <tableColumn id="60" xr3:uid="{00000000-0010-0000-0700-00003C000000}" name="КФ  крепления профиля Gola" dataDxfId="247"/>
    <tableColumn id="70" xr3:uid="{00000000-0010-0000-0700-000046000000}" name="Профиль Gola для подвесных шкафов алюм.16 мм" dataDxfId="246"/>
    <tableColumn id="35" xr3:uid="{00000000-0010-0000-0700-000023000000}" name="Комплектация №2" dataDxfId="245"/>
    <tableColumn id="36" xr3:uid="{00000000-0010-0000-0700-000024000000}" name="Комплектация №3" dataDxfId="244"/>
    <tableColumn id="37" xr3:uid="{00000000-0010-0000-0700-000025000000}" name="Комплектация №3Т" dataDxfId="243"/>
    <tableColumn id="72" xr3:uid="{00000000-0010-0000-0700-000048000000}" name="Базовая ширина" dataDxfId="242"/>
    <tableColumn id="73" xr3:uid="{00000000-0010-0000-0700-000049000000}" name="Базовая высота" dataDxfId="241"/>
    <tableColumn id="71" xr3:uid="{00000000-0010-0000-0700-000047000000}" name="Базовая глубина" dataDxfId="240">
      <calculatedColumnFormula>IF(OR(Прайс[[#This Row],[Тип]]="Нижний",Прайс[[#This Row],[Тип]]="Пенал"),"560",IF(Прайс[[#This Row],[Тип]]="Верхний",315,0))</calculatedColumnFormula>
    </tableColumn>
    <tableColumn id="76" xr3:uid="{00000000-0010-0000-0700-00004C000000}" name="Коэфф.высота" dataDxfId="239"/>
    <tableColumn id="78" xr3:uid="{00000000-0010-0000-0700-00004E000000}" name="Коэфф.ширина" dataDxfId="238"/>
    <tableColumn id="77" xr3:uid="{00000000-0010-0000-0700-00004D000000}" name="Коэфф.глубина" dataDxfId="237"/>
    <tableColumn id="74" xr3:uid="{00000000-0010-0000-0700-00004A000000}" name="Полки min,шт." dataDxfId="236"/>
    <tableColumn id="75" xr3:uid="{00000000-0010-0000-0700-00004B000000}" name="Полки max,шт." dataDxfId="235"/>
    <tableColumn id="80" xr3:uid="{00000000-0010-0000-0700-000050000000}" name="Tip-on" dataDxfId="234"/>
    <tableColumn id="79" xr3:uid="{00000000-0010-0000-0700-00004F000000}" name="Инфо о комплектации" dataDxfId="233"/>
    <tableColumn id="81" xr3:uid="{00000000-0010-0000-0700-000051000000}" name="Полки по умолчанию" dataDxfId="232"/>
    <tableColumn id="82" xr3:uid="{00000000-0010-0000-0700-000052000000}" name="Доступ к стеклянным полкам" dataDxfId="231"/>
    <tableColumn id="83" xr3:uid="{00000000-0010-0000-0700-000053000000}" name="Базовая цена цветной корпус" dataDxfId="230"/>
    <tableColumn id="85" xr3:uid="{00000000-0010-0000-0700-000055000000}" name="КФ НСТ19" dataDxfId="229"/>
    <tableColumn id="86" xr3:uid="{00000000-0010-0000-0700-000056000000}" name="Корзина выдв.посудосуш.600 мм + напр. L450 Hettich (ХРОМ)" dataDxfId="228"/>
    <tableColumn id="84" xr3:uid="{00000000-0010-0000-0700-000054000000}" name="Кол-во фасадов" dataDxfId="227"/>
    <tableColumn id="87" xr3:uid="{00000000-0010-0000-0700-000057000000}" name="Комплектация №1" dataDxfId="226"/>
    <tableColumn id="88" xr3:uid="{00000000-0010-0000-0700-000058000000}" name="Комплектация №1T" dataDxfId="225"/>
    <tableColumn id="89" xr3:uid="{00000000-0010-0000-0700-000059000000}" name="КФ НСТ20" dataDxfId="224"/>
    <tableColumn id="90" xr3:uid="{00000000-0010-0000-0700-00005A000000}" name="КФ НСТ12" dataDxfId="223"/>
    <tableColumn id="91" xr3:uid="{00000000-0010-0000-0700-00005B000000}" name="КФ EMV1DL/2DL" dataDxfId="222"/>
    <tableColumn id="92" xr3:uid="{00000000-0010-0000-0700-00005C000000}" name="Комплект петли Hettich с доводчиком для алюм.профиля" dataDxfId="221"/>
    <tableColumn id="94" xr3:uid="{00000000-0010-0000-0700-00005E000000}" name="Наличие подсветки на нижнем горизонте" dataDxfId="220"/>
    <tableColumn id="93" xr3:uid="{00000000-0010-0000-0700-00005D000000}" name="профиль рассеиватель HLBL" dataDxfId="219">
      <calculatedColumnFormula>IF(Прайс[[#This Row],[Наличие подсветки на нижнем горизонте]]="Нет",0,'комплекты фурнитуры'!$C$95)</calculatedColumnFormula>
    </tableColumn>
    <tableColumn id="96" xr3:uid="{BC17AE0E-15AE-47E3-950F-9500D7B61108}" name="КФ петли JET накл. 105 гр." dataDxfId="218"/>
    <tableColumn id="99" xr3:uid="{D4E32982-30B4-4E30-B81C-A2EBCA6FCFC2}" name="КФ петли JET угловая 180 гр." dataDxfId="217"/>
    <tableColumn id="97" xr3:uid="{D680C154-958F-4CDB-AC58-C784AB554938}" name="Ящик JETBOX ULTRA 80 с доводчиком антрацит" dataDxfId="216"/>
    <tableColumn id="98" xr3:uid="{1A07E954-63ED-4F5F-A10D-98698EB48B4B}" name="Ящик JETBOX ULTRA 170 с доводчиком антрацит" dataDxfId="215"/>
    <tableColumn id="95" xr3:uid="{55B80710-3CF3-400B-A5E2-D7A1C5DCBBB2}" name="№2J - С доводчиками" dataDxfId="214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8000000}" name="Фрезеровки_Original" displayName="Фрезеровки_Original" ref="AB1:AL45" totalsRowShown="0" headerRowDxfId="213" dataDxfId="212">
  <autoFilter ref="AB1:AL45" xr:uid="{00000000-0009-0000-0100-00000A000000}"/>
  <sortState xmlns:xlrd2="http://schemas.microsoft.com/office/spreadsheetml/2017/richdata2" ref="AB2:AE45">
    <sortCondition ref="AB1:AB45"/>
  </sortState>
  <tableColumns count="11">
    <tableColumn id="1" xr3:uid="{00000000-0010-0000-0800-000001000000}" name="Фрезеровка" dataDxfId="211"/>
    <tableColumn id="2" xr3:uid="{00000000-0010-0000-0800-000002000000}" name="Тип Фрезеровки" dataDxfId="210"/>
    <tableColumn id="3" xr3:uid="{00000000-0010-0000-0800-000003000000}" name="Толщина 1" dataDxfId="209"/>
    <tableColumn id="4" xr3:uid="{00000000-0010-0000-0800-000004000000}" name="Толщина 2" dataDxfId="208"/>
    <tableColumn id="10" xr3:uid="{00000000-0010-0000-0800-00000A000000}" name="Min Высота" dataDxfId="207" dataCellStyle="Обычный 7"/>
    <tableColumn id="9" xr3:uid="{00000000-0010-0000-0800-000009000000}" name="Max  Высота" dataDxfId="206" dataCellStyle="Обычный 7"/>
    <tableColumn id="8" xr3:uid="{00000000-0010-0000-0800-000008000000}" name="Min Ширина" dataDxfId="205" dataCellStyle="Обычный 7"/>
    <tableColumn id="6" xr3:uid="{00000000-0010-0000-0800-000006000000}" name="Max Ширина" dataDxfId="204" dataCellStyle="Обычный 7"/>
    <tableColumn id="7" xr3:uid="{00000000-0010-0000-0800-000007000000}" name="Наличие витрин" dataDxfId="203"/>
    <tableColumn id="5" xr3:uid="{00000000-0010-0000-0800-000005000000}" name="Наличие решеток" dataDxfId="202"/>
    <tableColumn id="11" xr3:uid="{00000000-0010-0000-0800-00000B000000}" name="Скидка на фрезеровку" dataDxfId="201" dataCellStyle="Обычный 7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9000000}" name="Пленки_Original" displayName="Пленки_Original" ref="S1:Z117" totalsRowShown="0" headerRowDxfId="200" dataDxfId="199">
  <autoFilter ref="S1:Z117" xr:uid="{00000000-0009-0000-0100-00000B000000}"/>
  <sortState xmlns:xlrd2="http://schemas.microsoft.com/office/spreadsheetml/2017/richdata2" ref="S2:Z104">
    <sortCondition ref="Z1:Z104"/>
  </sortState>
  <tableColumns count="8">
    <tableColumn id="1" xr3:uid="{00000000-0010-0000-0900-000001000000}" name="Номер пленки" dataDxfId="198"/>
    <tableColumn id="2" xr3:uid="{00000000-0010-0000-0900-000002000000}" name="Коллекция пленок" dataDxfId="197"/>
    <tableColumn id="3" xr3:uid="{00000000-0010-0000-0900-000003000000}" name="Категория пленки" dataDxfId="196"/>
    <tableColumn id="4" xr3:uid="{00000000-0010-0000-0900-000004000000}" name="Цена 16 мм" dataDxfId="195">
      <calculatedColumnFormula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calculatedColumnFormula>
    </tableColumn>
    <tableColumn id="5" xr3:uid="{00000000-0010-0000-0900-000005000000}" name="Цена 18/19 мм" dataDxfId="194">
      <calculatedColumnFormula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calculatedColumnFormula>
    </tableColumn>
    <tableColumn id="6" xr3:uid="{00000000-0010-0000-0900-000006000000}" name="Цена 22 мм" dataDxfId="193">
      <calculatedColumnFormula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calculatedColumnFormula>
    </tableColumn>
    <tableColumn id="7" xr3:uid="{00000000-0010-0000-0900-000007000000}" name="Скидка" dataDxfId="192">
      <calculatedColumnFormula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calculatedColumnFormula>
    </tableColumn>
    <tableColumn id="8" xr3:uid="{00000000-0010-0000-0900-000008000000}" name="Сортировка" dataDxfId="191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Цены_по_категориям" displayName="Цены_по_категориям" ref="K3:P10" totalsRowShown="0" headerRowDxfId="190" dataDxfId="189">
  <autoFilter ref="K3:P10" xr:uid="{00000000-0009-0000-0100-00000C000000}"/>
  <tableColumns count="6">
    <tableColumn id="1" xr3:uid="{00000000-0010-0000-0A00-000001000000}" name="Коллекция" dataDxfId="188"/>
    <tableColumn id="2" xr3:uid="{00000000-0010-0000-0A00-000002000000}" name="Ценовая категория пленки" dataDxfId="187"/>
    <tableColumn id="3" xr3:uid="{00000000-0010-0000-0A00-000003000000}" name="МДФ 16 мм" dataDxfId="186"/>
    <tableColumn id="4" xr3:uid="{00000000-0010-0000-0A00-000004000000}" name="МДФ 18/19 мм" dataDxfId="185"/>
    <tableColumn id="5" xr3:uid="{00000000-0010-0000-0A00-000005000000}" name="МДФ 22+ мм" dataDxfId="184"/>
    <tableColumn id="6" xr3:uid="{00000000-0010-0000-0A00-000006000000}" name="Скидка" dataDxfId="183"/>
  </tableColumns>
  <tableStyleInfo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B000000}" name="Полки" displayName="Полки" ref="A19:B26" totalsRowShown="0" headerRowDxfId="182" dataDxfId="181" headerRowCellStyle="Обычный 7" dataCellStyle="Обычный 7">
  <autoFilter ref="A19:B26" xr:uid="{00000000-0009-0000-0100-000009000000}"/>
  <tableColumns count="2">
    <tableColumn id="1" xr3:uid="{00000000-0010-0000-0B00-000001000000}" name="Изделие" dataDxfId="180" dataCellStyle="Обычный 7"/>
    <tableColumn id="2" xr3:uid="{00000000-0010-0000-0B00-000002000000}" name="Цена,м2" dataDxfId="179" dataCellStyle="Обычный 7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C000000}" name="Столешницы" displayName="Столешницы" ref="DW2:EE46" totalsRowShown="0" headerRowDxfId="178" dataDxfId="177" headerRowCellStyle="Обычный 7" dataCellStyle="Обычный 7">
  <autoFilter ref="DW2:EE46" xr:uid="{00000000-0009-0000-0100-000013000000}"/>
  <tableColumns count="9">
    <tableColumn id="1" xr3:uid="{00000000-0010-0000-0C00-000001000000}" name="Название" dataDxfId="176"/>
    <tableColumn id="2" xr3:uid="{00000000-0010-0000-0C00-000002000000}" name="Производитель" dataDxfId="175" dataCellStyle="Обычный 7"/>
    <tableColumn id="3" xr3:uid="{00000000-0010-0000-0C00-000003000000}" name="Толщина" dataDxfId="174" dataCellStyle="Обычный 7"/>
    <tableColumn id="4" xr3:uid="{00000000-0010-0000-0C00-000004000000}" name="Макс.длина" dataDxfId="173" dataCellStyle="Обычный 7"/>
    <tableColumn id="5" xr3:uid="{00000000-0010-0000-0C00-000005000000}" name="Макс Ширина" dataDxfId="172" dataCellStyle="Обычный 7"/>
    <tableColumn id="6" xr3:uid="{00000000-0010-0000-0C00-000006000000}" name="600 х 1200" dataDxfId="171" dataCellStyle="Обычный 7"/>
    <tableColumn id="7" xr3:uid="{00000000-0010-0000-0C00-000007000000}" name="600 х 2100" dataDxfId="170" dataCellStyle="Обычный 7"/>
    <tableColumn id="8" xr3:uid="{00000000-0010-0000-0C00-000008000000}" name="600 х 3000" dataDxfId="169" dataCellStyle="Обычный 7"/>
    <tableColumn id="9" xr3:uid="{00000000-0010-0000-0C00-000009000000}" name="600 х 4200" dataDxfId="168" dataCellStyle="Обычный 7"/>
  </tableColumns>
  <tableStyleInfo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D000000}" name="Стекло" displayName="Стекло" ref="A41:C48" totalsRowShown="0" headerRowDxfId="167" dataDxfId="166" headerRowCellStyle="Обычный 7">
  <autoFilter ref="A41:C48" xr:uid="{00000000-0009-0000-0100-000005000000}"/>
  <tableColumns count="3">
    <tableColumn id="1" xr3:uid="{00000000-0010-0000-0D00-000001000000}" name="Цвет стекла" dataDxfId="165"/>
    <tableColumn id="2" xr3:uid="{00000000-0010-0000-0D00-000002000000}" name="Цена за м2" dataDxfId="164"/>
    <tableColumn id="3" xr3:uid="{506DB6D2-CBC4-4E96-9CA4-43AA2D47EAC3}" name="Цена за м3" dataDxfId="163"/>
  </tableColumns>
  <tableStyleInfo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E000000}" name="Gola" displayName="Gola" ref="CN2:CO10" totalsRowShown="0" headerRowDxfId="162" dataDxfId="161" headerRowCellStyle="Обычный 7">
  <autoFilter ref="CN2:CO10" xr:uid="{00000000-0009-0000-0100-000006000000}"/>
  <tableColumns count="2">
    <tableColumn id="1" xr3:uid="{00000000-0010-0000-0E00-000001000000}" name="Изделие" dataDxfId="160"/>
    <tableColumn id="2" xr3:uid="{00000000-0010-0000-0E00-000002000000}" name="Цена" dataDxfId="159"/>
  </tableColumns>
  <tableStyleInfo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0F000000}" name="Пластики_Acryline" displayName="Пластики_Acryline" ref="AN1:AZ31" totalsRowShown="0" headerRowDxfId="158" dataDxfId="156" headerRowBorderDxfId="157" tableBorderDxfId="155" headerRowCellStyle="Обычный 7">
  <autoFilter ref="AN1:AZ31" xr:uid="{00000000-0009-0000-0100-000019000000}"/>
  <sortState xmlns:xlrd2="http://schemas.microsoft.com/office/spreadsheetml/2017/richdata2" ref="AN2:AZ31">
    <sortCondition ref="AZ1:AZ31"/>
  </sortState>
  <tableColumns count="13">
    <tableColumn id="1" xr3:uid="{00000000-0010-0000-0F00-000001000000}" name="Номер пленки" dataDxfId="154"/>
    <tableColumn id="2" xr3:uid="{00000000-0010-0000-0F00-000002000000}" name="Ценовая группа" dataDxfId="153"/>
    <tableColumn id="5" xr3:uid="{00000000-0010-0000-0F00-000005000000}" name="Цена Глухих" dataDxfId="152">
      <calculatedColumnFormula>VLOOKUP(Пластики_Acryline[[#This Row],[Ценовая группа]],Цены_по_категориям_Acryline[],2,0)</calculatedColumnFormula>
    </tableColumn>
    <tableColumn id="6" xr3:uid="{00000000-0010-0000-0F00-000006000000}" name="Цена Витрин" dataDxfId="151">
      <calculatedColumnFormula>VLOOKUP(Пластики_Acryline[[#This Row],[Ценовая группа]],Цены_по_категориям_Acryline[],3,0)</calculatedColumnFormula>
    </tableColumn>
    <tableColumn id="4" xr3:uid="{00000000-0010-0000-0F00-000004000000}" name="Тип покрытия" dataDxfId="150"/>
    <tableColumn id="7" xr3:uid="{00000000-0010-0000-0F00-000007000000}" name="Наличие витрин" dataDxfId="149"/>
    <tableColumn id="8" xr3:uid="{00000000-0010-0000-0F00-000008000000}" name="Наличие решеток" dataDxfId="148"/>
    <tableColumn id="10" xr3:uid="{00000000-0010-0000-0F00-00000A000000}" name="Min Высота" dataDxfId="147"/>
    <tableColumn id="12" xr3:uid="{00000000-0010-0000-0F00-00000C000000}" name="Max  Высота" dataDxfId="146"/>
    <tableColumn id="11" xr3:uid="{00000000-0010-0000-0F00-00000B000000}" name="Min Ширина" dataDxfId="145"/>
    <tableColumn id="9" xr3:uid="{00000000-0010-0000-0F00-000009000000}" name="Max Ширина" dataDxfId="144"/>
    <tableColumn id="13" xr3:uid="{00000000-0010-0000-0F00-00000D000000}" name="Скидка" dataDxfId="143">
      <calculatedColumnFormula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calculatedColumnFormula>
    </tableColumn>
    <tableColumn id="3" xr3:uid="{00000000-0010-0000-0F00-000003000000}" name="Сортировка" dataDxfId="142" dataCellStyle="Обычный 7"/>
  </tableColumns>
  <tableStyleInfo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0000000}" name="Цены_по_категориям_Acryline" displayName="Цены_по_категориям_Acryline" ref="BB2:BF7" totalsRowShown="0" headerRowDxfId="141" dataDxfId="140">
  <autoFilter ref="BB2:BF7" xr:uid="{00000000-0009-0000-0100-000018000000}"/>
  <tableColumns count="5">
    <tableColumn id="1" xr3:uid="{00000000-0010-0000-1000-000001000000}" name="Ценовая группа" dataDxfId="139"/>
    <tableColumn id="3" xr3:uid="{00000000-0010-0000-1000-000003000000}" name="Фасад глухой, фасад под врезную ручку Grosseto    кв.м" dataDxfId="138"/>
    <tableColumn id="4" xr3:uid="{00000000-0010-0000-1000-000004000000}" name="Фасад витрина,   кв.м" dataDxfId="137"/>
    <tableColumn id="2" xr3:uid="{00000000-0010-0000-1000-000002000000}" name="Наличие витрин" dataDxfId="136"/>
    <tableColumn id="5" xr3:uid="{00000000-0010-0000-1000-000005000000}" name="Скидка" dataDxfId="135" dataCellStyle="Финансовый 2"/>
  </tableColumns>
  <tableStyleInfo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1000000}" name="Ценовые_категории_ручек" displayName="Ценовые_категории_ручек" ref="DK2:DL11" totalsRowShown="0" headerRowDxfId="134" dataDxfId="133">
  <autoFilter ref="DK2:DL11" xr:uid="{00000000-0009-0000-0100-000017000000}"/>
  <tableColumns count="2">
    <tableColumn id="1" xr3:uid="{00000000-0010-0000-1100-000001000000}" name="Ценовая группа" dataDxfId="132"/>
    <tableColumn id="2" xr3:uid="{00000000-0010-0000-1100-000002000000}" name="Цена" dataDxfId="131"/>
  </tableColumns>
  <tableStyleInfo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2000000}" name="Ручки" displayName="Ручки" ref="DC2:DG59" totalsRowShown="0" dataDxfId="130" tableBorderDxfId="129">
  <autoFilter ref="DC2:DG59" xr:uid="{00000000-0009-0000-0100-00001A000000}"/>
  <sortState xmlns:xlrd2="http://schemas.microsoft.com/office/spreadsheetml/2017/richdata2" ref="DC3:DG59">
    <sortCondition descending="1" ref="DC2:DC59"/>
  </sortState>
  <tableColumns count="5">
    <tableColumn id="1" xr3:uid="{00000000-0010-0000-1200-000001000000}" name="Название ручки / Артикул ручки" dataDxfId="128"/>
    <tableColumn id="2" xr3:uid="{00000000-0010-0000-1200-000002000000}" name="Тип" dataDxfId="127"/>
    <tableColumn id="3" xr3:uid="{00000000-0010-0000-1200-000003000000}" name="Категория" dataDxfId="126"/>
    <tableColumn id="5" xr3:uid="{00000000-0010-0000-1200-000005000000}" name="Коллекция" dataDxfId="125"/>
    <tableColumn id="4" xr3:uid="{00000000-0010-0000-1200-000004000000}" name="Цена" dataDxfId="124" dataCellStyle="Обычный 7">
      <calculatedColumnFormula>VLOOKUP(Ручки[[#This Row],[Категория]],Ценовые_категории_ручек[],2,0)</calculatedColumnFormula>
    </tableColumn>
  </tableColumns>
  <tableStyleInfo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3000000}" name="Погонаж_Original_Select" displayName="Погонаж_Original_Select" ref="DO2:DS11" totalsRowShown="0" headerRowDxfId="123" dataDxfId="122" headerRowCellStyle="Обычный 7">
  <autoFilter ref="DO2:DS11" xr:uid="{00000000-0009-0000-0100-00001C000000}"/>
  <tableColumns count="5">
    <tableColumn id="1" xr3:uid="{00000000-0010-0000-1300-000001000000}" name="Название товара" dataDxfId="121" dataCellStyle="Обычный 7 3"/>
    <tableColumn id="5" xr3:uid="{00000000-0010-0000-1300-000005000000}" name="Коллекция" dataDxfId="120" dataCellStyle="Обычный 7 3"/>
    <tableColumn id="2" xr3:uid="{00000000-0010-0000-1300-000002000000}" name="Тип" dataDxfId="119" dataCellStyle="Обычный 7 3"/>
    <tableColumn id="3" xr3:uid="{00000000-0010-0000-1300-000003000000}" name="Инфо" dataDxfId="118" dataCellStyle="Обычный 7"/>
    <tableColumn id="4" xr3:uid="{00000000-0010-0000-1300-000004000000}" name="Цена" dataDxfId="117"/>
  </tableColumns>
  <tableStyleInfo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4000000}" name="Цены_Softline_Marine" displayName="Цены_Softline_Marine" ref="BH3:BJ7" totalsRowShown="0" headerRowDxfId="116" dataDxfId="115">
  <autoFilter ref="BH3:BJ7" xr:uid="{00000000-0009-0000-0100-00001D000000}"/>
  <tableColumns count="3">
    <tableColumn id="1" xr3:uid="{00000000-0010-0000-1400-000001000000}" name="Ценовая группа" dataDxfId="114"/>
    <tableColumn id="3" xr3:uid="{00000000-0010-0000-1400-000003000000}" name="Наличие витрин" dataDxfId="113"/>
    <tableColumn id="2" xr3:uid="{00000000-0010-0000-1400-000002000000}" name="Цена за  кв.м" dataDxfId="112"/>
  </tableColumns>
  <tableStyleInfo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5000000}" name="Цвета_Softline_Marine" displayName="Цвета_Softline_Marine" ref="BL2:BL13" totalsRowShown="0" headerRowDxfId="111" dataDxfId="110" tableBorderDxfId="109" headerRowCellStyle="Обычный 7">
  <autoFilter ref="BL2:BL13" xr:uid="{00000000-0009-0000-0100-00001E000000}"/>
  <tableColumns count="1">
    <tableColumn id="1" xr3:uid="{00000000-0010-0000-1500-000001000000}" name="Цвета" dataDxfId="108"/>
  </tableColumns>
  <tableStyleInfo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6000000}" name="Base" displayName="Base" ref="CR2:CS3" totalsRowShown="0" headerRowDxfId="107" headerRowBorderDxfId="106" tableBorderDxfId="105" headerRowCellStyle="Обычный 7">
  <autoFilter ref="CR2:CS3" xr:uid="{00000000-0009-0000-0100-00001F000000}"/>
  <tableColumns count="2">
    <tableColumn id="1" xr3:uid="{00000000-0010-0000-1600-000001000000}" name="Изделие" dataDxfId="104"/>
    <tableColumn id="2" xr3:uid="{00000000-0010-0000-1600-000002000000}" name="Цена" dataDxfId="103"/>
  </tableColumns>
  <tableStyleInfo name="TableStyleLight6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17000000}" name="Furn_for_stol" displayName="Furn_for_stol" ref="CU2:CV13" totalsRowShown="0" headerRowDxfId="102" headerRowBorderDxfId="101" tableBorderDxfId="100" headerRowCellStyle="Обычный 7">
  <autoFilter ref="CU2:CV13" xr:uid="{00000000-0009-0000-0100-000020000000}"/>
  <tableColumns count="2">
    <tableColumn id="1" xr3:uid="{00000000-0010-0000-1700-000001000000}" name="Изделие"/>
    <tableColumn id="2" xr3:uid="{00000000-0010-0000-1700-000002000000}" name="Цена"/>
  </tableColumns>
  <tableStyleInfo name="TableStyleLight3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00000000-000C-0000-FFFF-FFFF18000000}" name="Цены_Frame" displayName="Цены_Frame" ref="EG2:EJ4" totalsRowShown="0" headerRowDxfId="99" headerRowBorderDxfId="98" headerRowCellStyle="Обычный 3 3 2">
  <autoFilter ref="EG2:EJ4" xr:uid="{00000000-0009-0000-0100-000029000000}"/>
  <tableColumns count="4">
    <tableColumn id="1" xr3:uid="{00000000-0010-0000-1800-000001000000}" name="Номер пленки" dataDxfId="97"/>
    <tableColumn id="4" xr3:uid="{00000000-0010-0000-1800-000004000000}" name="Ценовая группа" dataDxfId="96"/>
    <tableColumn id="5" xr3:uid="{00000000-0010-0000-1800-000005000000}" name="Цена Глухих" dataDxfId="95" dataCellStyle="Финансовый 2">
      <calculatedColumnFormula>VLOOKUP(Пластики_Acryline[[#This Row],[Ценовая группа]],Цены_по_категориям_Acryline[],2,0)</calculatedColumnFormula>
    </tableColumn>
    <tableColumn id="2" xr3:uid="{00000000-0010-0000-1800-000002000000}" name="Цена Глухих2"/>
  </tableColumns>
  <tableStyleInfo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0000000-000C-0000-FFFF-FFFF19000000}" name="Цвета_Frame" displayName="Цвета_Frame" ref="EL2:EL4" totalsRowShown="0" headerRowDxfId="94" dataDxfId="93" tableBorderDxfId="92" headerRowCellStyle="Обычный 3 3 2">
  <autoFilter ref="EL2:EL4" xr:uid="{00000000-0009-0000-0100-00002A000000}"/>
  <tableColumns count="1">
    <tableColumn id="1" xr3:uid="{00000000-0010-0000-1900-000001000000}" name="Цвета" dataDxfId="91"/>
  </tableColumns>
  <tableStyleInfo name="TableStyleLight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0000000-000C-0000-FFFF-FFFF1A000000}" name="Цены_Softline_Новые_горизонты" displayName="Цены_Softline_Новые_горизонты" ref="BO2:BS4" totalsRowShown="0" headerRowDxfId="90" dataDxfId="89">
  <autoFilter ref="BO2:BS4" xr:uid="{00000000-0009-0000-0100-00002E000000}"/>
  <tableColumns count="5">
    <tableColumn id="1" xr3:uid="{00000000-0010-0000-1A00-000001000000}" name="Ценовая группа" dataDxfId="88"/>
    <tableColumn id="3" xr3:uid="{00000000-0010-0000-1A00-000003000000}" name="Фасад глухой, фасад под врезную ручку Grosseto    кв.м" dataDxfId="87"/>
    <tableColumn id="4" xr3:uid="{00000000-0010-0000-1A00-000004000000}" name="Фасад витрина,   кв.м" dataDxfId="86"/>
    <tableColumn id="2" xr3:uid="{00000000-0010-0000-1A00-000002000000}" name="Наличие витрин" dataDxfId="85"/>
    <tableColumn id="5" xr3:uid="{00000000-0010-0000-1A00-000005000000}" name="Скидка" dataDxfId="84" dataCellStyle="Финансовый 2"/>
  </tableColumns>
  <tableStyleInfo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00000000-000C-0000-FFFF-FFFF1B000000}" name="Цвета_Softline_Новые_горизонты" displayName="Цвета_Softline_Новые_горизонты" ref="BV2:CH14" totalsRowShown="0" headerRowDxfId="83" dataDxfId="82" tableBorderDxfId="81" headerRowCellStyle="Обычный 3 3 2">
  <autoFilter ref="BV2:CH14" xr:uid="{00000000-0009-0000-0100-000030000000}"/>
  <tableColumns count="13">
    <tableColumn id="1" xr3:uid="{00000000-0010-0000-1B00-000001000000}" name="Номер пленки" dataDxfId="80"/>
    <tableColumn id="2" xr3:uid="{00000000-0010-0000-1B00-000002000000}" name="Ценовая группа" dataDxfId="79"/>
    <tableColumn id="3" xr3:uid="{00000000-0010-0000-1B00-000003000000}" name="Цена Глухих" dataDxfId="78">
      <calculatedColumnFormula>VLOOKUP(Цвета_Softline_Новые_горизонты[[#This Row],[Ценовая группа]],Цены_Softline_Новые_горизонты[],2,0)</calculatedColumnFormula>
    </tableColumn>
    <tableColumn id="4" xr3:uid="{00000000-0010-0000-1B00-000004000000}" name="Цена Витрин" dataDxfId="77">
      <calculatedColumnFormula>VLOOKUP(Цвета_Softline_Новые_горизонты[[#This Row],[Ценовая группа]],Цены_Softline_Новые_горизонты[],3,0)</calculatedColumnFormula>
    </tableColumn>
    <tableColumn id="5" xr3:uid="{00000000-0010-0000-1B00-000005000000}" name="Тип покрытия" dataDxfId="76"/>
    <tableColumn id="6" xr3:uid="{00000000-0010-0000-1B00-000006000000}" name="Наличие витрин" dataDxfId="75"/>
    <tableColumn id="7" xr3:uid="{00000000-0010-0000-1B00-000007000000}" name="Наличие решеток" dataDxfId="74"/>
    <tableColumn id="8" xr3:uid="{00000000-0010-0000-1B00-000008000000}" name="Min Высота" dataDxfId="73"/>
    <tableColumn id="9" xr3:uid="{00000000-0010-0000-1B00-000009000000}" name="Max  Высота" dataDxfId="72"/>
    <tableColumn id="10" xr3:uid="{00000000-0010-0000-1B00-00000A000000}" name="Min Ширина" dataDxfId="71"/>
    <tableColumn id="11" xr3:uid="{00000000-0010-0000-1B00-00000B000000}" name="Max Ширина" dataDxfId="70"/>
    <tableColumn id="12" xr3:uid="{00000000-0010-0000-1B00-00000C000000}" name="Скидка" dataDxfId="69">
      <calculatedColumnFormula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calculatedColumnFormula>
    </tableColumn>
    <tableColumn id="13" xr3:uid="{00000000-0010-0000-1B00-00000D000000}" name="Сортировка" dataDxfId="68" dataCellStyle="Обычный 3 3 2"/>
  </tableColumns>
  <tableStyleInfo name="TableStyleLight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C000000}" name="Комплектация" displayName="Комплектация" ref="A1:A6" totalsRowShown="0" dataDxfId="67">
  <autoFilter ref="A1:A6" xr:uid="{00000000-0009-0000-0100-000001000000}"/>
  <tableColumns count="1">
    <tableColumn id="1" xr3:uid="{00000000-0010-0000-1C00-000001000000}" name="Комплектация" dataDxfId="66"/>
  </tableColumns>
  <tableStyleInfo name="TableStyleLight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1D000000}" name="Материал_корпуса" displayName="Материал_корпуса" ref="C1:D12" totalsRowShown="0">
  <autoFilter ref="C1:D12" xr:uid="{00000000-0009-0000-0100-000002000000}"/>
  <tableColumns count="2">
    <tableColumn id="1" xr3:uid="{00000000-0010-0000-1D00-000001000000}" name="Материал корпуса" dataDxfId="65"/>
    <tableColumn id="2" xr3:uid="{00000000-0010-0000-1D00-000002000000}" name="Категория"/>
  </tableColumns>
  <tableStyleInfo name="TableStyleLight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1E000000}" name="Высота_цоколя" displayName="Высота_цоколя" ref="G1:G3" totalsRowShown="0" dataDxfId="64">
  <autoFilter ref="G1:G3" xr:uid="{00000000-0009-0000-0100-000007000000}"/>
  <tableColumns count="1">
    <tableColumn id="1" xr3:uid="{00000000-0010-0000-1E00-000001000000}" name="Высота цоколя" dataDxfId="63"/>
  </tableColumns>
  <tableStyleInfo name="TableStyleLight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1F000000}" name="Коллекция" displayName="Коллекция" ref="J1:J6" totalsRowShown="0" dataDxfId="62">
  <autoFilter ref="J1:J6" xr:uid="{00000000-0009-0000-0100-000008000000}"/>
  <tableColumns count="1">
    <tableColumn id="1" xr3:uid="{00000000-0010-0000-1F00-000001000000}" name="Коллекция" dataDxfId="61"/>
  </tableColumns>
  <tableStyleInfo name="TableStyleLight1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20000000}" name="Высота_стандарт" displayName="Высота_стандарт" ref="M1:M14" totalsRowShown="0" headerRowDxfId="60" dataDxfId="59">
  <autoFilter ref="M1:M14" xr:uid="{00000000-0009-0000-0100-000003000000}"/>
  <tableColumns count="1">
    <tableColumn id="1" xr3:uid="{00000000-0010-0000-2000-000001000000}" name="Высота стандарт" dataDxfId="58"/>
  </tableColumns>
  <tableStyleInfo name="TableStyleLight8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21000000}" name="Ширина_стандарт" displayName="Ширина_стандарт" ref="O1:O13" totalsRowShown="0" headerRowDxfId="57" dataDxfId="56">
  <autoFilter ref="O1:O13" xr:uid="{00000000-0009-0000-0100-00000D000000}"/>
  <tableColumns count="1">
    <tableColumn id="1" xr3:uid="{00000000-0010-0000-2100-000001000000}" name="Ширина стандарт" dataDxfId="55"/>
  </tableColumns>
  <tableStyleInfo name="TableStyleLight8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22000000}" name="Коллекция_НСТ" displayName="Коллекция_НСТ" ref="R1:R8" totalsRowShown="0" dataDxfId="54">
  <autoFilter ref="R1:R8" xr:uid="{00000000-0009-0000-0100-000015000000}"/>
  <tableColumns count="1">
    <tableColumn id="1" xr3:uid="{00000000-0010-0000-2200-000001000000}" name="Коллекция" dataDxfId="53"/>
  </tableColumns>
  <tableStyleInfo name="TableStyleLight1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23000000}" name="Тип_модуля_НСТ" displayName="Тип_модуля_НСТ" ref="T1:T4" totalsRowShown="0">
  <autoFilter ref="T1:T4" xr:uid="{00000000-0009-0000-0100-000016000000}"/>
  <tableColumns count="1">
    <tableColumn id="1" xr3:uid="{00000000-0010-0000-2300-000001000000}" name="Тип модуля"/>
  </tableColumns>
  <tableStyleInfo name="TableStyleLight1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24000000}" name="Тип_НСТ" displayName="Тип_НСТ" ref="V1:V3" totalsRowShown="0">
  <autoFilter ref="V1:V3" xr:uid="{00000000-0009-0000-0100-00001B000000}"/>
  <tableColumns count="1">
    <tableColumn id="1" xr3:uid="{00000000-0010-0000-2400-000001000000}" name="Тип НСТ"/>
  </tableColumns>
  <tableStyleInfo name="TableStyleLight1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25000000}" name="Освещение" displayName="Освещение" ref="X1:X3" totalsRowShown="0">
  <autoFilter ref="X1:X3" xr:uid="{00000000-0009-0000-0100-000021000000}"/>
  <tableColumns count="1">
    <tableColumn id="1" xr3:uid="{00000000-0010-0000-2500-000001000000}" name="Освещение"/>
  </tableColumns>
  <tableStyleInfo name="TableStyleLight1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26000000}" name="Открывание" displayName="Открывание" ref="Z1:Z5" totalsRowShown="0" headerRowDxfId="52" headerRowBorderDxfId="51" tableBorderDxfId="50">
  <autoFilter ref="Z1:Z5" xr:uid="{00000000-0009-0000-0100-000022000000}"/>
  <tableColumns count="1">
    <tableColumn id="1" xr3:uid="{00000000-0010-0000-2600-000001000000}" name="Открывание"/>
  </tableColumns>
  <tableStyleInfo name="TableStyleLight1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27000000}" name="Опоры" displayName="Опоры" ref="R12:R15" totalsRowShown="0">
  <autoFilter ref="R12:R15" xr:uid="{00000000-0009-0000-0100-000023000000}"/>
  <tableColumns count="1">
    <tableColumn id="1" xr3:uid="{00000000-0010-0000-2700-000001000000}" name="Опоры"/>
  </tableColumns>
  <tableStyleInfo name="TableStyleLight1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28000000}" name="Подъемник" displayName="Подъемник" ref="T12:T15" totalsRowShown="0" headerRowDxfId="49" dataDxfId="47" headerRowBorderDxfId="48" tableBorderDxfId="46">
  <autoFilter ref="T12:T15" xr:uid="{00000000-0009-0000-0100-000024000000}"/>
  <tableColumns count="1">
    <tableColumn id="1" xr3:uid="{00000000-0010-0000-2800-000001000000}" name="Подъемник" dataDxfId="45"/>
  </tableColumns>
  <tableStyleInfo name="TableStyleLight1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29000000}" name="Материал_полок" displayName="Материал_полок" ref="V12:V15" totalsRowShown="0" headerRowDxfId="44" headerRowBorderDxfId="43" tableBorderDxfId="42" totalsRowBorderDxfId="41">
  <autoFilter ref="V12:V15" xr:uid="{00000000-0009-0000-0100-000025000000}"/>
  <tableColumns count="1">
    <tableColumn id="1" xr3:uid="{00000000-0010-0000-2900-000001000000}" name="Материал полок"/>
  </tableColumns>
  <tableStyleInfo name="TableStyleLight1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2A000000}" name="Комплектация_НСТ" displayName="Комплектация_НСТ" ref="X12:X19" totalsRowShown="0">
  <autoFilter ref="X12:X19" xr:uid="{00000000-0009-0000-0100-000026000000}"/>
  <tableColumns count="1">
    <tableColumn id="1" xr3:uid="{00000000-0010-0000-2A00-000001000000}" name="Комплектация "/>
  </tableColumns>
  <tableStyleInfo name="TableStyleLight1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0000000-000C-0000-FFFF-FFFF2B000000}" name="Вопрос" displayName="Вопрос" ref="R19:R21" totalsRowShown="0">
  <autoFilter ref="R19:R21" xr:uid="{00000000-0009-0000-0100-000027000000}"/>
  <tableColumns count="1">
    <tableColumn id="1" xr3:uid="{00000000-0010-0000-2B00-000001000000}" name="Вопрос"/>
  </tableColumns>
  <tableStyleInfo name="TableStyleLight1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2C000000}" name="Ячейки_для_элементов" displayName="Ячейки_для_элементов" ref="AE1:AF28" totalsRowShown="0">
  <autoFilter ref="AE1:AF28" xr:uid="{00000000-0009-0000-0100-000028000000}"/>
  <tableColumns count="2">
    <tableColumn id="1" xr3:uid="{00000000-0010-0000-2C00-000001000000}" name="Наименование элемента"/>
    <tableColumn id="2" xr3:uid="{00000000-0010-0000-2C00-000002000000}" name="Адрес ячейки" dataDxfId="4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3.xml"/><Relationship Id="rId13" Type="http://schemas.openxmlformats.org/officeDocument/2006/relationships/table" Target="../tables/table18.xml"/><Relationship Id="rId18" Type="http://schemas.openxmlformats.org/officeDocument/2006/relationships/table" Target="../tables/table23.xml"/><Relationship Id="rId3" Type="http://schemas.openxmlformats.org/officeDocument/2006/relationships/vmlDrawing" Target="../drawings/vmlDrawing3.vml"/><Relationship Id="rId21" Type="http://schemas.openxmlformats.org/officeDocument/2006/relationships/table" Target="../tables/table26.xml"/><Relationship Id="rId7" Type="http://schemas.openxmlformats.org/officeDocument/2006/relationships/table" Target="../tables/table12.xml"/><Relationship Id="rId12" Type="http://schemas.openxmlformats.org/officeDocument/2006/relationships/table" Target="../tables/table17.xml"/><Relationship Id="rId17" Type="http://schemas.openxmlformats.org/officeDocument/2006/relationships/table" Target="../tables/table22.xml"/><Relationship Id="rId2" Type="http://schemas.openxmlformats.org/officeDocument/2006/relationships/drawing" Target="../drawings/drawing2.xml"/><Relationship Id="rId16" Type="http://schemas.openxmlformats.org/officeDocument/2006/relationships/table" Target="../tables/table21.xml"/><Relationship Id="rId20" Type="http://schemas.openxmlformats.org/officeDocument/2006/relationships/table" Target="../tables/table25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1.xml"/><Relationship Id="rId11" Type="http://schemas.openxmlformats.org/officeDocument/2006/relationships/table" Target="../tables/table16.xml"/><Relationship Id="rId24" Type="http://schemas.openxmlformats.org/officeDocument/2006/relationships/table" Target="../tables/table29.xml"/><Relationship Id="rId5" Type="http://schemas.openxmlformats.org/officeDocument/2006/relationships/table" Target="../tables/table10.xml"/><Relationship Id="rId15" Type="http://schemas.openxmlformats.org/officeDocument/2006/relationships/table" Target="../tables/table20.xml"/><Relationship Id="rId23" Type="http://schemas.openxmlformats.org/officeDocument/2006/relationships/table" Target="../tables/table28.xml"/><Relationship Id="rId10" Type="http://schemas.openxmlformats.org/officeDocument/2006/relationships/table" Target="../tables/table15.xml"/><Relationship Id="rId19" Type="http://schemas.openxmlformats.org/officeDocument/2006/relationships/table" Target="../tables/table24.xml"/><Relationship Id="rId4" Type="http://schemas.openxmlformats.org/officeDocument/2006/relationships/ctrlProp" Target="../ctrlProps/ctrlProp2.xml"/><Relationship Id="rId9" Type="http://schemas.openxmlformats.org/officeDocument/2006/relationships/table" Target="../tables/table14.xml"/><Relationship Id="rId14" Type="http://schemas.openxmlformats.org/officeDocument/2006/relationships/table" Target="../tables/table19.xml"/><Relationship Id="rId22" Type="http://schemas.openxmlformats.org/officeDocument/2006/relationships/table" Target="../tables/table2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55.emf"/><Relationship Id="rId21" Type="http://schemas.openxmlformats.org/officeDocument/2006/relationships/image" Target="../media/image9.emf"/><Relationship Id="rId42" Type="http://schemas.openxmlformats.org/officeDocument/2006/relationships/image" Target="../media/image19.emf"/><Relationship Id="rId63" Type="http://schemas.openxmlformats.org/officeDocument/2006/relationships/control" Target="../activeX/activeX32.xml"/><Relationship Id="rId84" Type="http://schemas.openxmlformats.org/officeDocument/2006/relationships/image" Target="../media/image39.emf"/><Relationship Id="rId138" Type="http://schemas.openxmlformats.org/officeDocument/2006/relationships/control" Target="../activeX/activeX71.xml"/><Relationship Id="rId159" Type="http://schemas.openxmlformats.org/officeDocument/2006/relationships/image" Target="../media/image75.emf"/><Relationship Id="rId170" Type="http://schemas.openxmlformats.org/officeDocument/2006/relationships/control" Target="../activeX/activeX87.xml"/><Relationship Id="rId107" Type="http://schemas.openxmlformats.org/officeDocument/2006/relationships/image" Target="../media/image50.emf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53" Type="http://schemas.openxmlformats.org/officeDocument/2006/relationships/control" Target="../activeX/activeX26.xml"/><Relationship Id="rId74" Type="http://schemas.openxmlformats.org/officeDocument/2006/relationships/image" Target="../media/image34.emf"/><Relationship Id="rId128" Type="http://schemas.openxmlformats.org/officeDocument/2006/relationships/control" Target="../activeX/activeX66.xml"/><Relationship Id="rId149" Type="http://schemas.openxmlformats.org/officeDocument/2006/relationships/image" Target="../media/image70.emf"/><Relationship Id="rId5" Type="http://schemas.openxmlformats.org/officeDocument/2006/relationships/image" Target="../media/image1.emf"/><Relationship Id="rId95" Type="http://schemas.openxmlformats.org/officeDocument/2006/relationships/control" Target="../activeX/activeX48.xml"/><Relationship Id="rId160" Type="http://schemas.openxmlformats.org/officeDocument/2006/relationships/control" Target="../activeX/activeX82.xml"/><Relationship Id="rId181" Type="http://schemas.openxmlformats.org/officeDocument/2006/relationships/control" Target="../activeX/activeX97.xml"/><Relationship Id="rId22" Type="http://schemas.openxmlformats.org/officeDocument/2006/relationships/control" Target="../activeX/activeX10.xml"/><Relationship Id="rId43" Type="http://schemas.openxmlformats.org/officeDocument/2006/relationships/control" Target="../activeX/activeX21.xml"/><Relationship Id="rId64" Type="http://schemas.openxmlformats.org/officeDocument/2006/relationships/image" Target="../media/image29.emf"/><Relationship Id="rId118" Type="http://schemas.openxmlformats.org/officeDocument/2006/relationships/control" Target="../activeX/activeX60.xml"/><Relationship Id="rId139" Type="http://schemas.openxmlformats.org/officeDocument/2006/relationships/image" Target="../media/image65.emf"/><Relationship Id="rId85" Type="http://schemas.openxmlformats.org/officeDocument/2006/relationships/control" Target="../activeX/activeX43.xml"/><Relationship Id="rId150" Type="http://schemas.openxmlformats.org/officeDocument/2006/relationships/control" Target="../activeX/activeX77.xml"/><Relationship Id="rId171" Type="http://schemas.openxmlformats.org/officeDocument/2006/relationships/control" Target="../activeX/activeX88.xml"/><Relationship Id="rId12" Type="http://schemas.openxmlformats.org/officeDocument/2006/relationships/control" Target="../activeX/activeX5.xml"/><Relationship Id="rId33" Type="http://schemas.openxmlformats.org/officeDocument/2006/relationships/image" Target="../media/image15.emf"/><Relationship Id="rId108" Type="http://schemas.openxmlformats.org/officeDocument/2006/relationships/control" Target="../activeX/activeX55.xml"/><Relationship Id="rId129" Type="http://schemas.openxmlformats.org/officeDocument/2006/relationships/image" Target="../media/image60.emf"/><Relationship Id="rId54" Type="http://schemas.openxmlformats.org/officeDocument/2006/relationships/image" Target="../media/image25.emf"/><Relationship Id="rId75" Type="http://schemas.openxmlformats.org/officeDocument/2006/relationships/control" Target="../activeX/activeX38.xml"/><Relationship Id="rId96" Type="http://schemas.openxmlformats.org/officeDocument/2006/relationships/control" Target="../activeX/activeX49.xml"/><Relationship Id="rId140" Type="http://schemas.openxmlformats.org/officeDocument/2006/relationships/control" Target="../activeX/activeX72.xml"/><Relationship Id="rId161" Type="http://schemas.openxmlformats.org/officeDocument/2006/relationships/image" Target="../media/image76.emf"/><Relationship Id="rId182" Type="http://schemas.openxmlformats.org/officeDocument/2006/relationships/image" Target="../media/image82.emf"/><Relationship Id="rId6" Type="http://schemas.openxmlformats.org/officeDocument/2006/relationships/control" Target="../activeX/activeX2.xml"/><Relationship Id="rId23" Type="http://schemas.openxmlformats.org/officeDocument/2006/relationships/image" Target="../media/image10.emf"/><Relationship Id="rId119" Type="http://schemas.openxmlformats.org/officeDocument/2006/relationships/image" Target="../media/image56.emf"/><Relationship Id="rId44" Type="http://schemas.openxmlformats.org/officeDocument/2006/relationships/image" Target="../media/image20.emf"/><Relationship Id="rId60" Type="http://schemas.openxmlformats.org/officeDocument/2006/relationships/image" Target="../media/image28.emf"/><Relationship Id="rId65" Type="http://schemas.openxmlformats.org/officeDocument/2006/relationships/control" Target="../activeX/activeX33.xml"/><Relationship Id="rId81" Type="http://schemas.openxmlformats.org/officeDocument/2006/relationships/control" Target="../activeX/activeX41.xml"/><Relationship Id="rId86" Type="http://schemas.openxmlformats.org/officeDocument/2006/relationships/image" Target="../media/image40.emf"/><Relationship Id="rId130" Type="http://schemas.openxmlformats.org/officeDocument/2006/relationships/control" Target="../activeX/activeX67.xml"/><Relationship Id="rId135" Type="http://schemas.openxmlformats.org/officeDocument/2006/relationships/image" Target="../media/image63.emf"/><Relationship Id="rId151" Type="http://schemas.openxmlformats.org/officeDocument/2006/relationships/image" Target="../media/image71.emf"/><Relationship Id="rId156" Type="http://schemas.openxmlformats.org/officeDocument/2006/relationships/control" Target="../activeX/activeX80.xml"/><Relationship Id="rId177" Type="http://schemas.openxmlformats.org/officeDocument/2006/relationships/control" Target="../activeX/activeX94.xml"/><Relationship Id="rId172" Type="http://schemas.openxmlformats.org/officeDocument/2006/relationships/control" Target="../activeX/activeX89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109" Type="http://schemas.openxmlformats.org/officeDocument/2006/relationships/image" Target="../media/image51.emf"/><Relationship Id="rId34" Type="http://schemas.openxmlformats.org/officeDocument/2006/relationships/control" Target="../activeX/activeX16.xml"/><Relationship Id="rId50" Type="http://schemas.openxmlformats.org/officeDocument/2006/relationships/image" Target="../media/image23.emf"/><Relationship Id="rId55" Type="http://schemas.openxmlformats.org/officeDocument/2006/relationships/control" Target="../activeX/activeX27.xml"/><Relationship Id="rId76" Type="http://schemas.openxmlformats.org/officeDocument/2006/relationships/image" Target="../media/image35.emf"/><Relationship Id="rId97" Type="http://schemas.openxmlformats.org/officeDocument/2006/relationships/image" Target="../media/image45.emf"/><Relationship Id="rId104" Type="http://schemas.openxmlformats.org/officeDocument/2006/relationships/control" Target="../activeX/activeX53.xml"/><Relationship Id="rId120" Type="http://schemas.openxmlformats.org/officeDocument/2006/relationships/control" Target="../activeX/activeX61.xml"/><Relationship Id="rId125" Type="http://schemas.openxmlformats.org/officeDocument/2006/relationships/image" Target="../media/image58.emf"/><Relationship Id="rId141" Type="http://schemas.openxmlformats.org/officeDocument/2006/relationships/image" Target="../media/image66.emf"/><Relationship Id="rId146" Type="http://schemas.openxmlformats.org/officeDocument/2006/relationships/control" Target="../activeX/activeX75.xml"/><Relationship Id="rId167" Type="http://schemas.openxmlformats.org/officeDocument/2006/relationships/image" Target="../media/image79.emf"/><Relationship Id="rId7" Type="http://schemas.openxmlformats.org/officeDocument/2006/relationships/image" Target="../media/image2.emf"/><Relationship Id="rId71" Type="http://schemas.openxmlformats.org/officeDocument/2006/relationships/control" Target="../activeX/activeX36.xml"/><Relationship Id="rId92" Type="http://schemas.openxmlformats.org/officeDocument/2006/relationships/image" Target="../media/image43.emf"/><Relationship Id="rId162" Type="http://schemas.openxmlformats.org/officeDocument/2006/relationships/control" Target="../activeX/activeX83.xml"/><Relationship Id="rId2" Type="http://schemas.openxmlformats.org/officeDocument/2006/relationships/drawing" Target="../drawings/drawing3.xml"/><Relationship Id="rId29" Type="http://schemas.openxmlformats.org/officeDocument/2006/relationships/image" Target="../media/image13.emf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19.xml"/><Relationship Id="rId45" Type="http://schemas.openxmlformats.org/officeDocument/2006/relationships/control" Target="../activeX/activeX22.xml"/><Relationship Id="rId66" Type="http://schemas.openxmlformats.org/officeDocument/2006/relationships/image" Target="../media/image30.emf"/><Relationship Id="rId87" Type="http://schemas.openxmlformats.org/officeDocument/2006/relationships/control" Target="../activeX/activeX44.xml"/><Relationship Id="rId110" Type="http://schemas.openxmlformats.org/officeDocument/2006/relationships/control" Target="../activeX/activeX56.xml"/><Relationship Id="rId115" Type="http://schemas.openxmlformats.org/officeDocument/2006/relationships/image" Target="../media/image54.emf"/><Relationship Id="rId131" Type="http://schemas.openxmlformats.org/officeDocument/2006/relationships/image" Target="../media/image61.emf"/><Relationship Id="rId136" Type="http://schemas.openxmlformats.org/officeDocument/2006/relationships/control" Target="../activeX/activeX70.xml"/><Relationship Id="rId157" Type="http://schemas.openxmlformats.org/officeDocument/2006/relationships/image" Target="../media/image74.emf"/><Relationship Id="rId178" Type="http://schemas.openxmlformats.org/officeDocument/2006/relationships/control" Target="../activeX/activeX95.xml"/><Relationship Id="rId61" Type="http://schemas.openxmlformats.org/officeDocument/2006/relationships/control" Target="../activeX/activeX30.xml"/><Relationship Id="rId82" Type="http://schemas.openxmlformats.org/officeDocument/2006/relationships/image" Target="../media/image38.emf"/><Relationship Id="rId152" Type="http://schemas.openxmlformats.org/officeDocument/2006/relationships/control" Target="../activeX/activeX78.xml"/><Relationship Id="rId173" Type="http://schemas.openxmlformats.org/officeDocument/2006/relationships/control" Target="../activeX/activeX90.xml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56" Type="http://schemas.openxmlformats.org/officeDocument/2006/relationships/image" Target="../media/image26.emf"/><Relationship Id="rId77" Type="http://schemas.openxmlformats.org/officeDocument/2006/relationships/control" Target="../activeX/activeX39.xml"/><Relationship Id="rId100" Type="http://schemas.openxmlformats.org/officeDocument/2006/relationships/control" Target="../activeX/activeX51.xml"/><Relationship Id="rId105" Type="http://schemas.openxmlformats.org/officeDocument/2006/relationships/image" Target="../media/image49.emf"/><Relationship Id="rId126" Type="http://schemas.openxmlformats.org/officeDocument/2006/relationships/control" Target="../activeX/activeX65.xml"/><Relationship Id="rId147" Type="http://schemas.openxmlformats.org/officeDocument/2006/relationships/image" Target="../media/image69.emf"/><Relationship Id="rId168" Type="http://schemas.openxmlformats.org/officeDocument/2006/relationships/control" Target="../activeX/activeX86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25.xml"/><Relationship Id="rId72" Type="http://schemas.openxmlformats.org/officeDocument/2006/relationships/image" Target="../media/image33.emf"/><Relationship Id="rId93" Type="http://schemas.openxmlformats.org/officeDocument/2006/relationships/control" Target="../activeX/activeX47.xml"/><Relationship Id="rId98" Type="http://schemas.openxmlformats.org/officeDocument/2006/relationships/control" Target="../activeX/activeX50.xml"/><Relationship Id="rId121" Type="http://schemas.openxmlformats.org/officeDocument/2006/relationships/control" Target="../activeX/activeX62.xml"/><Relationship Id="rId142" Type="http://schemas.openxmlformats.org/officeDocument/2006/relationships/control" Target="../activeX/activeX73.xml"/><Relationship Id="rId163" Type="http://schemas.openxmlformats.org/officeDocument/2006/relationships/image" Target="../media/image77.emf"/><Relationship Id="rId3" Type="http://schemas.openxmlformats.org/officeDocument/2006/relationships/vmlDrawing" Target="../drawings/vmlDrawing5.vml"/><Relationship Id="rId25" Type="http://schemas.openxmlformats.org/officeDocument/2006/relationships/image" Target="../media/image11.emf"/><Relationship Id="rId46" Type="http://schemas.openxmlformats.org/officeDocument/2006/relationships/image" Target="../media/image21.emf"/><Relationship Id="rId67" Type="http://schemas.openxmlformats.org/officeDocument/2006/relationships/control" Target="../activeX/activeX34.xml"/><Relationship Id="rId116" Type="http://schemas.openxmlformats.org/officeDocument/2006/relationships/control" Target="../activeX/activeX59.xml"/><Relationship Id="rId137" Type="http://schemas.openxmlformats.org/officeDocument/2006/relationships/image" Target="../media/image64.emf"/><Relationship Id="rId158" Type="http://schemas.openxmlformats.org/officeDocument/2006/relationships/control" Target="../activeX/activeX81.xml"/><Relationship Id="rId20" Type="http://schemas.openxmlformats.org/officeDocument/2006/relationships/control" Target="../activeX/activeX9.xml"/><Relationship Id="rId41" Type="http://schemas.openxmlformats.org/officeDocument/2006/relationships/control" Target="../activeX/activeX20.xml"/><Relationship Id="rId62" Type="http://schemas.openxmlformats.org/officeDocument/2006/relationships/control" Target="../activeX/activeX31.xml"/><Relationship Id="rId83" Type="http://schemas.openxmlformats.org/officeDocument/2006/relationships/control" Target="../activeX/activeX42.xml"/><Relationship Id="rId88" Type="http://schemas.openxmlformats.org/officeDocument/2006/relationships/image" Target="../media/image41.emf"/><Relationship Id="rId111" Type="http://schemas.openxmlformats.org/officeDocument/2006/relationships/image" Target="../media/image52.emf"/><Relationship Id="rId132" Type="http://schemas.openxmlformats.org/officeDocument/2006/relationships/control" Target="../activeX/activeX68.xml"/><Relationship Id="rId153" Type="http://schemas.openxmlformats.org/officeDocument/2006/relationships/image" Target="../media/image72.emf"/><Relationship Id="rId174" Type="http://schemas.openxmlformats.org/officeDocument/2006/relationships/control" Target="../activeX/activeX91.xml"/><Relationship Id="rId179" Type="http://schemas.openxmlformats.org/officeDocument/2006/relationships/image" Target="../media/image81.emf"/><Relationship Id="rId15" Type="http://schemas.openxmlformats.org/officeDocument/2006/relationships/image" Target="../media/image6.emf"/><Relationship Id="rId36" Type="http://schemas.openxmlformats.org/officeDocument/2006/relationships/control" Target="../activeX/activeX17.xml"/><Relationship Id="rId57" Type="http://schemas.openxmlformats.org/officeDocument/2006/relationships/control" Target="../activeX/activeX28.xml"/><Relationship Id="rId106" Type="http://schemas.openxmlformats.org/officeDocument/2006/relationships/control" Target="../activeX/activeX54.xml"/><Relationship Id="rId127" Type="http://schemas.openxmlformats.org/officeDocument/2006/relationships/image" Target="../media/image59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52" Type="http://schemas.openxmlformats.org/officeDocument/2006/relationships/image" Target="../media/image24.emf"/><Relationship Id="rId73" Type="http://schemas.openxmlformats.org/officeDocument/2006/relationships/control" Target="../activeX/activeX37.xml"/><Relationship Id="rId78" Type="http://schemas.openxmlformats.org/officeDocument/2006/relationships/image" Target="../media/image36.emf"/><Relationship Id="rId94" Type="http://schemas.openxmlformats.org/officeDocument/2006/relationships/image" Target="../media/image44.emf"/><Relationship Id="rId99" Type="http://schemas.openxmlformats.org/officeDocument/2006/relationships/image" Target="../media/image46.emf"/><Relationship Id="rId101" Type="http://schemas.openxmlformats.org/officeDocument/2006/relationships/image" Target="../media/image47.emf"/><Relationship Id="rId122" Type="http://schemas.openxmlformats.org/officeDocument/2006/relationships/control" Target="../activeX/activeX63.xml"/><Relationship Id="rId143" Type="http://schemas.openxmlformats.org/officeDocument/2006/relationships/image" Target="../media/image67.emf"/><Relationship Id="rId148" Type="http://schemas.openxmlformats.org/officeDocument/2006/relationships/control" Target="../activeX/activeX76.xml"/><Relationship Id="rId164" Type="http://schemas.openxmlformats.org/officeDocument/2006/relationships/control" Target="../activeX/activeX84.xml"/><Relationship Id="rId169" Type="http://schemas.openxmlformats.org/officeDocument/2006/relationships/image" Target="../media/image80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80" Type="http://schemas.openxmlformats.org/officeDocument/2006/relationships/control" Target="../activeX/activeX96.xml"/><Relationship Id="rId26" Type="http://schemas.openxmlformats.org/officeDocument/2006/relationships/control" Target="../activeX/activeX12.xml"/><Relationship Id="rId47" Type="http://schemas.openxmlformats.org/officeDocument/2006/relationships/control" Target="../activeX/activeX23.xml"/><Relationship Id="rId68" Type="http://schemas.openxmlformats.org/officeDocument/2006/relationships/image" Target="../media/image31.emf"/><Relationship Id="rId89" Type="http://schemas.openxmlformats.org/officeDocument/2006/relationships/control" Target="../activeX/activeX45.xml"/><Relationship Id="rId112" Type="http://schemas.openxmlformats.org/officeDocument/2006/relationships/control" Target="../activeX/activeX57.xml"/><Relationship Id="rId133" Type="http://schemas.openxmlformats.org/officeDocument/2006/relationships/image" Target="../media/image62.emf"/><Relationship Id="rId154" Type="http://schemas.openxmlformats.org/officeDocument/2006/relationships/control" Target="../activeX/activeX79.xml"/><Relationship Id="rId175" Type="http://schemas.openxmlformats.org/officeDocument/2006/relationships/control" Target="../activeX/activeX92.xml"/><Relationship Id="rId16" Type="http://schemas.openxmlformats.org/officeDocument/2006/relationships/control" Target="../activeX/activeX7.xml"/><Relationship Id="rId37" Type="http://schemas.openxmlformats.org/officeDocument/2006/relationships/image" Target="../media/image17.emf"/><Relationship Id="rId58" Type="http://schemas.openxmlformats.org/officeDocument/2006/relationships/image" Target="../media/image27.emf"/><Relationship Id="rId79" Type="http://schemas.openxmlformats.org/officeDocument/2006/relationships/control" Target="../activeX/activeX40.xml"/><Relationship Id="rId102" Type="http://schemas.openxmlformats.org/officeDocument/2006/relationships/control" Target="../activeX/activeX52.xml"/><Relationship Id="rId123" Type="http://schemas.openxmlformats.org/officeDocument/2006/relationships/image" Target="../media/image57.emf"/><Relationship Id="rId144" Type="http://schemas.openxmlformats.org/officeDocument/2006/relationships/control" Target="../activeX/activeX74.xml"/><Relationship Id="rId90" Type="http://schemas.openxmlformats.org/officeDocument/2006/relationships/image" Target="../media/image42.emf"/><Relationship Id="rId165" Type="http://schemas.openxmlformats.org/officeDocument/2006/relationships/image" Target="../media/image78.emf"/><Relationship Id="rId27" Type="http://schemas.openxmlformats.org/officeDocument/2006/relationships/image" Target="../media/image12.emf"/><Relationship Id="rId48" Type="http://schemas.openxmlformats.org/officeDocument/2006/relationships/image" Target="../media/image22.emf"/><Relationship Id="rId69" Type="http://schemas.openxmlformats.org/officeDocument/2006/relationships/control" Target="../activeX/activeX35.xml"/><Relationship Id="rId113" Type="http://schemas.openxmlformats.org/officeDocument/2006/relationships/image" Target="../media/image53.emf"/><Relationship Id="rId134" Type="http://schemas.openxmlformats.org/officeDocument/2006/relationships/control" Target="../activeX/activeX69.xml"/><Relationship Id="rId80" Type="http://schemas.openxmlformats.org/officeDocument/2006/relationships/image" Target="../media/image37.emf"/><Relationship Id="rId155" Type="http://schemas.openxmlformats.org/officeDocument/2006/relationships/image" Target="../media/image73.emf"/><Relationship Id="rId176" Type="http://schemas.openxmlformats.org/officeDocument/2006/relationships/control" Target="../activeX/activeX93.xml"/><Relationship Id="rId17" Type="http://schemas.openxmlformats.org/officeDocument/2006/relationships/image" Target="../media/image7.emf"/><Relationship Id="rId38" Type="http://schemas.openxmlformats.org/officeDocument/2006/relationships/control" Target="../activeX/activeX18.xml"/><Relationship Id="rId59" Type="http://schemas.openxmlformats.org/officeDocument/2006/relationships/control" Target="../activeX/activeX29.xml"/><Relationship Id="rId103" Type="http://schemas.openxmlformats.org/officeDocument/2006/relationships/image" Target="../media/image48.emf"/><Relationship Id="rId124" Type="http://schemas.openxmlformats.org/officeDocument/2006/relationships/control" Target="../activeX/activeX64.xml"/><Relationship Id="rId70" Type="http://schemas.openxmlformats.org/officeDocument/2006/relationships/image" Target="../media/image32.emf"/><Relationship Id="rId91" Type="http://schemas.openxmlformats.org/officeDocument/2006/relationships/control" Target="../activeX/activeX46.xml"/><Relationship Id="rId145" Type="http://schemas.openxmlformats.org/officeDocument/2006/relationships/image" Target="../media/image68.emf"/><Relationship Id="rId166" Type="http://schemas.openxmlformats.org/officeDocument/2006/relationships/control" Target="../activeX/activeX85.xml"/><Relationship Id="rId1" Type="http://schemas.openxmlformats.org/officeDocument/2006/relationships/printerSettings" Target="../printerSettings/printerSettings6.bin"/><Relationship Id="rId28" Type="http://schemas.openxmlformats.org/officeDocument/2006/relationships/control" Target="../activeX/activeX13.xml"/><Relationship Id="rId49" Type="http://schemas.openxmlformats.org/officeDocument/2006/relationships/control" Target="../activeX/activeX24.xml"/><Relationship Id="rId114" Type="http://schemas.openxmlformats.org/officeDocument/2006/relationships/control" Target="../activeX/activeX58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6.xml"/><Relationship Id="rId13" Type="http://schemas.openxmlformats.org/officeDocument/2006/relationships/table" Target="../tables/table41.xml"/><Relationship Id="rId18" Type="http://schemas.openxmlformats.org/officeDocument/2006/relationships/table" Target="../tables/table46.xml"/><Relationship Id="rId3" Type="http://schemas.openxmlformats.org/officeDocument/2006/relationships/table" Target="../tables/table31.xml"/><Relationship Id="rId7" Type="http://schemas.openxmlformats.org/officeDocument/2006/relationships/table" Target="../tables/table35.xml"/><Relationship Id="rId12" Type="http://schemas.openxmlformats.org/officeDocument/2006/relationships/table" Target="../tables/table40.xml"/><Relationship Id="rId17" Type="http://schemas.openxmlformats.org/officeDocument/2006/relationships/table" Target="../tables/table45.xml"/><Relationship Id="rId2" Type="http://schemas.openxmlformats.org/officeDocument/2006/relationships/table" Target="../tables/table30.xml"/><Relationship Id="rId16" Type="http://schemas.openxmlformats.org/officeDocument/2006/relationships/table" Target="../tables/table44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4.xml"/><Relationship Id="rId11" Type="http://schemas.openxmlformats.org/officeDocument/2006/relationships/table" Target="../tables/table39.xml"/><Relationship Id="rId5" Type="http://schemas.openxmlformats.org/officeDocument/2006/relationships/table" Target="../tables/table33.xml"/><Relationship Id="rId15" Type="http://schemas.openxmlformats.org/officeDocument/2006/relationships/table" Target="../tables/table43.xml"/><Relationship Id="rId10" Type="http://schemas.openxmlformats.org/officeDocument/2006/relationships/table" Target="../tables/table38.xml"/><Relationship Id="rId4" Type="http://schemas.openxmlformats.org/officeDocument/2006/relationships/table" Target="../tables/table32.xml"/><Relationship Id="rId9" Type="http://schemas.openxmlformats.org/officeDocument/2006/relationships/table" Target="../tables/table37.xml"/><Relationship Id="rId14" Type="http://schemas.openxmlformats.org/officeDocument/2006/relationships/table" Target="../tables/table4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4"/>
  <dimension ref="A1"/>
  <sheetViews>
    <sheetView tabSelected="1" workbookViewId="0">
      <selection activeCell="D17" sqref="D17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Open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AFACB6-7847-4EBD-9EF9-FDE6DBB8CDE2}">
  <sheetPr codeName="Лист9"/>
  <dimension ref="A1:E17"/>
  <sheetViews>
    <sheetView workbookViewId="0">
      <selection activeCell="A8" sqref="A8"/>
    </sheetView>
  </sheetViews>
  <sheetFormatPr defaultRowHeight="15" x14ac:dyDescent="0.25"/>
  <cols>
    <col min="1" max="1" width="105.28515625" bestFit="1" customWidth="1"/>
    <col min="2" max="2" width="10.42578125" style="268" customWidth="1"/>
    <col min="3" max="3" width="19.85546875" style="268" customWidth="1"/>
    <col min="4" max="4" width="12.7109375" style="269" bestFit="1" customWidth="1"/>
    <col min="5" max="5" width="50.42578125" bestFit="1" customWidth="1"/>
  </cols>
  <sheetData>
    <row r="1" spans="1:5" x14ac:dyDescent="0.25">
      <c r="A1" t="s">
        <v>1280</v>
      </c>
    </row>
    <row r="2" spans="1:5" x14ac:dyDescent="0.25">
      <c r="A2" t="s">
        <v>1276</v>
      </c>
      <c r="B2" s="268" t="s">
        <v>703</v>
      </c>
      <c r="C2" s="268" t="s">
        <v>1277</v>
      </c>
      <c r="D2" s="269" t="s">
        <v>702</v>
      </c>
      <c r="E2" t="s">
        <v>68</v>
      </c>
    </row>
    <row r="3" spans="1:5" x14ac:dyDescent="0.25">
      <c r="A3" t="s">
        <v>1275</v>
      </c>
      <c r="B3" s="268">
        <v>5385.18</v>
      </c>
      <c r="C3" s="268" t="e">
        <f>Заказ!#REF!</f>
        <v>#REF!</v>
      </c>
      <c r="D3" s="269" t="e">
        <f>(Таблица43[[#This Row],[Цена Калькулятор]]-Таблица43[[#This Row],[Цена БЗ]])/Таблица43[[#This Row],[Цена БЗ]]</f>
        <v>#REF!</v>
      </c>
    </row>
    <row r="4" spans="1:5" x14ac:dyDescent="0.25">
      <c r="A4" t="s">
        <v>1278</v>
      </c>
      <c r="B4" s="268">
        <v>5821.3</v>
      </c>
      <c r="C4" s="268" t="e">
        <f>Заказ!#REF!</f>
        <v>#REF!</v>
      </c>
      <c r="D4" s="269" t="e">
        <f>(Таблица43[[#This Row],[Цена Калькулятор]]-Таблица43[[#This Row],[Цена БЗ]])/Таблица43[[#This Row],[Цена БЗ]]</f>
        <v>#REF!</v>
      </c>
    </row>
    <row r="5" spans="1:5" x14ac:dyDescent="0.25">
      <c r="A5" t="s">
        <v>1279</v>
      </c>
      <c r="B5" s="268">
        <v>6739.78</v>
      </c>
      <c r="C5" s="268" t="e">
        <f>Заказ!#REF!</f>
        <v>#REF!</v>
      </c>
      <c r="D5" s="269" t="e">
        <f>(Таблица43[[#This Row],[Цена Калькулятор]]-Таблица43[[#This Row],[Цена БЗ]])/Таблица43[[#This Row],[Цена БЗ]]</f>
        <v>#REF!</v>
      </c>
    </row>
    <row r="6" spans="1:5" x14ac:dyDescent="0.25">
      <c r="A6" t="s">
        <v>1281</v>
      </c>
      <c r="B6" s="268">
        <v>12857.56</v>
      </c>
      <c r="C6" s="268" t="e">
        <f>Заказ!#REF!</f>
        <v>#REF!</v>
      </c>
      <c r="D6" s="269" t="e">
        <f>(Таблица43[[#This Row],[Цена Калькулятор]]-Таблица43[[#This Row],[Цена БЗ]])/Таблица43[[#This Row],[Цена БЗ]]</f>
        <v>#REF!</v>
      </c>
      <c r="E6" t="s">
        <v>1282</v>
      </c>
    </row>
    <row r="7" spans="1:5" x14ac:dyDescent="0.25">
      <c r="A7" t="s">
        <v>1283</v>
      </c>
      <c r="B7" s="268">
        <v>7237.89</v>
      </c>
      <c r="C7" s="268" t="e">
        <f>Заказ!#REF!</f>
        <v>#REF!</v>
      </c>
      <c r="D7" s="269" t="e">
        <f>(Таблица43[[#This Row],[Цена Калькулятор]]-Таблица43[[#This Row],[Цена БЗ]])/Таблица43[[#This Row],[Цена БЗ]]</f>
        <v>#REF!</v>
      </c>
    </row>
    <row r="8" spans="1:5" x14ac:dyDescent="0.25">
      <c r="A8" t="s">
        <v>1284</v>
      </c>
      <c r="B8" s="268">
        <v>7575.02</v>
      </c>
      <c r="C8" s="268" t="e">
        <f>Заказ!#REF!</f>
        <v>#REF!</v>
      </c>
      <c r="D8" s="269" t="e">
        <f>(Таблица43[[#This Row],[Цена Калькулятор]]-Таблица43[[#This Row],[Цена БЗ]])/Таблица43[[#This Row],[Цена БЗ]]</f>
        <v>#REF!</v>
      </c>
      <c r="E8" t="s">
        <v>1288</v>
      </c>
    </row>
    <row r="9" spans="1:5" x14ac:dyDescent="0.25">
      <c r="A9" t="s">
        <v>1285</v>
      </c>
      <c r="B9" s="268">
        <v>22149.94</v>
      </c>
      <c r="C9" s="268" t="e">
        <f>Заказ!#REF!</f>
        <v>#REF!</v>
      </c>
      <c r="D9" s="269" t="e">
        <f>(Таблица43[[#This Row],[Цена Калькулятор]]-Таблица43[[#This Row],[Цена БЗ]])/Таблица43[[#This Row],[Цена БЗ]]</f>
        <v>#REF!</v>
      </c>
    </row>
    <row r="10" spans="1:5" x14ac:dyDescent="0.25">
      <c r="A10" t="s">
        <v>1286</v>
      </c>
      <c r="B10" s="268">
        <v>19358.080000000002</v>
      </c>
      <c r="C10" s="268" t="e">
        <f>Заказ!#REF!</f>
        <v>#REF!</v>
      </c>
      <c r="D10" s="269" t="e">
        <f>(Таблица43[[#This Row],[Цена Калькулятор]]-Таблица43[[#This Row],[Цена БЗ]])/Таблица43[[#This Row],[Цена БЗ]]</f>
        <v>#REF!</v>
      </c>
    </row>
    <row r="11" spans="1:5" x14ac:dyDescent="0.25">
      <c r="A11" t="s">
        <v>1287</v>
      </c>
      <c r="B11" s="268">
        <v>24924.48</v>
      </c>
      <c r="C11" s="268" t="e">
        <f>Заказ!#REF!</f>
        <v>#REF!</v>
      </c>
      <c r="D11" s="269" t="e">
        <f>(Таблица43[[#This Row],[Цена Калькулятор]]-Таблица43[[#This Row],[Цена БЗ]])/Таблица43[[#This Row],[Цена БЗ]]</f>
        <v>#REF!</v>
      </c>
    </row>
    <row r="14" spans="1:5" x14ac:dyDescent="0.25">
      <c r="A14" t="s">
        <v>1290</v>
      </c>
      <c r="B14" s="276" t="s">
        <v>703</v>
      </c>
      <c r="C14" s="276" t="s">
        <v>1277</v>
      </c>
      <c r="D14" s="277" t="s">
        <v>702</v>
      </c>
      <c r="E14" s="274" t="s">
        <v>68</v>
      </c>
    </row>
    <row r="15" spans="1:5" x14ac:dyDescent="0.25">
      <c r="A15" t="s">
        <v>1289</v>
      </c>
      <c r="B15" s="268">
        <v>1468.96</v>
      </c>
      <c r="C15" s="275">
        <v>1468.96</v>
      </c>
      <c r="D15" s="269">
        <f>(Таблица44[[#This Row],[Цена Калькулятор]]-Таблица44[[#This Row],[Цена БЗ]])/Таблица44[[#This Row],[Цена БЗ]]</f>
        <v>0</v>
      </c>
    </row>
    <row r="16" spans="1:5" x14ac:dyDescent="0.25">
      <c r="A16" s="278" t="s">
        <v>1291</v>
      </c>
      <c r="B16" s="279">
        <v>2577.71</v>
      </c>
      <c r="C16" s="219">
        <v>2577.52</v>
      </c>
      <c r="D16" s="281">
        <f>(Таблица44[[#This Row],[Цена Калькулятор]]-Таблица44[[#This Row],[Цена БЗ]])/Таблица44[[#This Row],[Цена БЗ]]</f>
        <v>-7.3708834585758121E-5</v>
      </c>
      <c r="E16" s="278"/>
    </row>
    <row r="17" spans="1:5" x14ac:dyDescent="0.25">
      <c r="A17" s="278" t="s">
        <v>1292</v>
      </c>
      <c r="B17" s="279">
        <v>2720.78</v>
      </c>
      <c r="C17" s="280">
        <v>2720.78</v>
      </c>
      <c r="D17" s="281">
        <f>(Таблица44[[#This Row],[Цена Калькулятор]]-Таблица44[[#This Row],[Цена БЗ]])/Таблица44[[#This Row],[Цена БЗ]]</f>
        <v>0</v>
      </c>
      <c r="E17" s="278"/>
    </row>
  </sheetData>
  <sheetProtection algorithmName="SHA-512" hashValue="rDDJzB5W8Z4pMfefoo9NtGOWcKNa8WAe4zw58K0Y7pnqfYrjzI+r8SINEpSdmgODtSfa8jpY3aCSrrcSJNTDeQ==" saltValue="7X2QTb44nRq5fW+i0ln6gA==" spinCount="100000" sheet="1" objects="1" scenarios="1"/>
  <conditionalFormatting sqref="C15">
    <cfRule type="expression" dxfId="431" priority="2">
      <formula>$AP1048357&lt;#REF!</formula>
    </cfRule>
  </conditionalFormatting>
  <conditionalFormatting sqref="C16">
    <cfRule type="expression" dxfId="430" priority="1">
      <formula>$AP1048358&lt;#REF!</formula>
    </cfRule>
  </conditionalFormatting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CC210"/>
  <sheetViews>
    <sheetView zoomScaleNormal="100" workbookViewId="0">
      <pane xSplit="1" topLeftCell="B1" activePane="topRight" state="frozen"/>
      <selection pane="topRight" activeCell="C3" sqref="C3"/>
    </sheetView>
  </sheetViews>
  <sheetFormatPr defaultRowHeight="15" x14ac:dyDescent="0.25"/>
  <cols>
    <col min="1" max="1" width="20.7109375" style="1" bestFit="1" customWidth="1"/>
    <col min="2" max="2" width="14.28515625" style="1" customWidth="1"/>
    <col min="3" max="3" width="15.28515625" style="1" customWidth="1"/>
    <col min="4" max="4" width="15" style="1" customWidth="1"/>
    <col min="5" max="5" width="13.85546875" style="1" customWidth="1"/>
    <col min="6" max="6" width="19.7109375" style="271" customWidth="1"/>
    <col min="7" max="7" width="17.85546875" style="99" customWidth="1"/>
    <col min="8" max="8" width="17.140625" style="137" customWidth="1"/>
    <col min="9" max="9" width="16.42578125" style="1" customWidth="1"/>
    <col min="10" max="10" width="20.5703125" style="102" customWidth="1"/>
    <col min="11" max="11" width="17.85546875" style="254" customWidth="1"/>
    <col min="12" max="12" width="16.42578125" style="102" customWidth="1"/>
    <col min="13" max="13" width="27.42578125" style="273" customWidth="1"/>
    <col min="14" max="14" width="22.85546875" customWidth="1"/>
    <col min="15" max="15" width="18.140625" customWidth="1"/>
    <col min="16" max="16" width="41.7109375" customWidth="1"/>
    <col min="17" max="17" width="19.85546875" customWidth="1"/>
    <col min="18" max="18" width="20.140625" customWidth="1"/>
    <col min="19" max="19" width="24.7109375" customWidth="1"/>
    <col min="20" max="20" width="32.140625" bestFit="1" customWidth="1"/>
    <col min="21" max="22" width="20.140625" customWidth="1"/>
    <col min="23" max="23" width="25.5703125" style="254" customWidth="1"/>
    <col min="24" max="24" width="35.85546875" style="254" customWidth="1"/>
    <col min="25" max="27" width="24.28515625" customWidth="1"/>
    <col min="28" max="28" width="24.7109375" style="254" bestFit="1" customWidth="1"/>
    <col min="29" max="29" width="31.85546875" customWidth="1"/>
    <col min="30" max="30" width="20.140625" customWidth="1"/>
    <col min="31" max="32" width="28" customWidth="1"/>
    <col min="33" max="33" width="80.28515625" customWidth="1"/>
    <col min="34" max="35" width="77" customWidth="1"/>
    <col min="36" max="39" width="20.140625" customWidth="1"/>
    <col min="40" max="40" width="34" bestFit="1" customWidth="1"/>
    <col min="41" max="41" width="20.140625" customWidth="1"/>
    <col min="42" max="42" width="24.140625" bestFit="1" customWidth="1"/>
    <col min="43" max="43" width="26.28515625" bestFit="1" customWidth="1"/>
    <col min="44" max="44" width="26.42578125" bestFit="1" customWidth="1"/>
    <col min="45" max="45" width="9.42578125" customWidth="1"/>
    <col min="46" max="46" width="13.140625" bestFit="1" customWidth="1"/>
    <col min="48" max="48" width="15.28515625" bestFit="1" customWidth="1"/>
    <col min="49" max="49" width="17.5703125" bestFit="1" customWidth="1"/>
    <col min="50" max="50" width="32.7109375" bestFit="1" customWidth="1"/>
    <col min="51" max="51" width="17.5703125" customWidth="1"/>
    <col min="55" max="55" width="13.140625" customWidth="1"/>
    <col min="56" max="56" width="33.28515625" bestFit="1" customWidth="1"/>
    <col min="57" max="57" width="16.7109375" bestFit="1" customWidth="1"/>
    <col min="58" max="58" width="14.28515625" bestFit="1" customWidth="1"/>
    <col min="59" max="59" width="15.85546875" bestFit="1" customWidth="1"/>
    <col min="60" max="60" width="16.7109375" bestFit="1" customWidth="1"/>
    <col min="61" max="61" width="17.28515625" bestFit="1" customWidth="1"/>
    <col min="62" max="62" width="26.28515625" customWidth="1"/>
    <col min="63" max="63" width="26.5703125" customWidth="1"/>
    <col min="64" max="64" width="9.42578125" customWidth="1"/>
    <col min="65" max="65" width="12.85546875" customWidth="1"/>
    <col min="66" max="66" width="17.42578125" bestFit="1" customWidth="1"/>
    <col min="68" max="68" width="43.140625" bestFit="1" customWidth="1"/>
    <col min="69" max="69" width="15.42578125" customWidth="1"/>
    <col min="70" max="70" width="14.85546875" bestFit="1" customWidth="1"/>
    <col min="71" max="71" width="15.5703125" bestFit="1" customWidth="1"/>
    <col min="72" max="72" width="16.140625" bestFit="1" customWidth="1"/>
    <col min="73" max="73" width="15.28515625" bestFit="1" customWidth="1"/>
    <col min="74" max="74" width="15.7109375" bestFit="1" customWidth="1"/>
    <col min="75" max="75" width="63.140625" bestFit="1" customWidth="1"/>
    <col min="76" max="76" width="13.5703125" customWidth="1"/>
    <col min="78" max="78" width="13.42578125" bestFit="1" customWidth="1"/>
    <col min="80" max="80" width="21.42578125" bestFit="1" customWidth="1"/>
    <col min="81" max="81" width="9.85546875" bestFit="1" customWidth="1"/>
  </cols>
  <sheetData>
    <row r="1" spans="1:81" x14ac:dyDescent="0.25">
      <c r="A1" s="1" t="s">
        <v>119</v>
      </c>
      <c r="B1" s="1" t="s">
        <v>116</v>
      </c>
      <c r="C1" s="1" t="s">
        <v>117</v>
      </c>
      <c r="D1" s="1" t="s">
        <v>118</v>
      </c>
      <c r="E1" s="1" t="s">
        <v>123</v>
      </c>
      <c r="F1" s="271" t="s">
        <v>412</v>
      </c>
      <c r="G1" s="99" t="s">
        <v>402</v>
      </c>
      <c r="H1" s="137" t="s">
        <v>413</v>
      </c>
      <c r="I1" s="1" t="s">
        <v>409</v>
      </c>
      <c r="J1" s="99" t="s">
        <v>416</v>
      </c>
      <c r="K1" s="271" t="s">
        <v>417</v>
      </c>
      <c r="L1" s="99" t="s">
        <v>419</v>
      </c>
      <c r="M1" s="270" t="s">
        <v>420</v>
      </c>
      <c r="N1" s="1" t="s">
        <v>400</v>
      </c>
      <c r="O1" s="1" t="s">
        <v>425</v>
      </c>
      <c r="P1" s="1" t="s">
        <v>100</v>
      </c>
      <c r="Q1" s="1" t="s">
        <v>473</v>
      </c>
      <c r="R1" s="1" t="s">
        <v>125</v>
      </c>
      <c r="S1" s="1" t="s">
        <v>465</v>
      </c>
      <c r="T1" s="1" t="s">
        <v>150</v>
      </c>
      <c r="U1" s="1" t="s">
        <v>121</v>
      </c>
      <c r="V1" s="1" t="s">
        <v>475</v>
      </c>
      <c r="W1" s="271" t="s">
        <v>507</v>
      </c>
      <c r="X1" s="253" t="s">
        <v>522</v>
      </c>
      <c r="Y1" s="1" t="s">
        <v>523</v>
      </c>
      <c r="Z1" s="1" t="s">
        <v>526</v>
      </c>
      <c r="AA1" s="1" t="s">
        <v>528</v>
      </c>
      <c r="AB1" s="271" t="s">
        <v>506</v>
      </c>
      <c r="AC1" s="1" t="s">
        <v>101</v>
      </c>
      <c r="AD1" s="1" t="s">
        <v>706</v>
      </c>
      <c r="AE1" s="1" t="s">
        <v>708</v>
      </c>
      <c r="AF1" s="1" t="s">
        <v>718</v>
      </c>
      <c r="AG1" s="1" t="s">
        <v>704</v>
      </c>
      <c r="AH1" s="1" t="s">
        <v>825</v>
      </c>
      <c r="AI1" s="1" t="s">
        <v>834</v>
      </c>
      <c r="AJ1" s="1" t="s">
        <v>703</v>
      </c>
      <c r="AK1" s="1" t="s">
        <v>702</v>
      </c>
      <c r="AL1" s="138" t="s">
        <v>1224</v>
      </c>
      <c r="AM1" s="138" t="s">
        <v>1226</v>
      </c>
      <c r="AN1" s="138" t="s">
        <v>1240</v>
      </c>
      <c r="AP1" s="1" t="s">
        <v>428</v>
      </c>
      <c r="AQ1" s="1" t="s">
        <v>460</v>
      </c>
      <c r="AR1" s="1" t="s">
        <v>461</v>
      </c>
      <c r="AS1" s="1" t="s">
        <v>116</v>
      </c>
      <c r="AT1" s="1" t="s">
        <v>117</v>
      </c>
      <c r="AU1" s="1" t="s">
        <v>123</v>
      </c>
      <c r="AV1" s="1" t="s">
        <v>462</v>
      </c>
      <c r="AW1" s="1" t="s">
        <v>697</v>
      </c>
      <c r="AX1" s="1" t="s">
        <v>704</v>
      </c>
      <c r="AY1" s="1" t="s">
        <v>813</v>
      </c>
      <c r="AZ1" s="1" t="s">
        <v>814</v>
      </c>
      <c r="BA1" s="1" t="s">
        <v>815</v>
      </c>
      <c r="BC1" s="46" t="s">
        <v>125</v>
      </c>
      <c r="BD1" s="46" t="s">
        <v>465</v>
      </c>
      <c r="BE1" s="46" t="s">
        <v>150</v>
      </c>
      <c r="BF1" s="46" t="s">
        <v>121</v>
      </c>
      <c r="BG1" s="46" t="s">
        <v>530</v>
      </c>
      <c r="BH1" s="46" t="s">
        <v>531</v>
      </c>
      <c r="BI1" s="46" t="s">
        <v>529</v>
      </c>
      <c r="BJ1" s="46" t="s">
        <v>523</v>
      </c>
      <c r="BK1" s="46" t="s">
        <v>526</v>
      </c>
      <c r="BL1" s="46" t="s">
        <v>123</v>
      </c>
      <c r="BM1" s="46" t="s">
        <v>462</v>
      </c>
      <c r="BN1" s="46" t="s">
        <v>834</v>
      </c>
      <c r="BP1" s="66" t="s">
        <v>536</v>
      </c>
      <c r="BQ1" s="67" t="s">
        <v>5</v>
      </c>
      <c r="BR1" s="66" t="s">
        <v>114</v>
      </c>
      <c r="BS1" s="66" t="s">
        <v>125</v>
      </c>
      <c r="BT1" s="68" t="s">
        <v>502</v>
      </c>
      <c r="BU1" s="68" t="s">
        <v>490</v>
      </c>
      <c r="BW1" t="s">
        <v>347</v>
      </c>
      <c r="BX1" t="s">
        <v>502</v>
      </c>
      <c r="BY1" t="s">
        <v>490</v>
      </c>
      <c r="BZ1" t="s">
        <v>125</v>
      </c>
      <c r="CB1" t="s">
        <v>828</v>
      </c>
      <c r="CC1" t="s">
        <v>418</v>
      </c>
    </row>
    <row r="2" spans="1:81" s="134" customFormat="1" x14ac:dyDescent="0.25">
      <c r="A2" s="218"/>
      <c r="B2" s="218"/>
      <c r="C2" s="218"/>
      <c r="D2" s="218"/>
      <c r="E2" s="218"/>
      <c r="F2" s="272"/>
      <c r="G2" s="324"/>
      <c r="H2" s="325"/>
      <c r="I2" s="218"/>
      <c r="J2" s="326"/>
      <c r="K2" s="272"/>
      <c r="L2" s="325"/>
      <c r="M2" s="327"/>
      <c r="N2" s="218"/>
      <c r="O2" s="218"/>
      <c r="P2" s="218"/>
      <c r="Q2" s="218"/>
      <c r="R2" s="218"/>
      <c r="S2" s="218"/>
      <c r="T2" s="218"/>
      <c r="U2" s="218"/>
      <c r="V2" s="218"/>
      <c r="W2" s="272"/>
      <c r="X2" s="272"/>
      <c r="Y2" s="218"/>
      <c r="Z2" s="218"/>
      <c r="AA2" s="218"/>
      <c r="AB2" s="272"/>
      <c r="AC2" s="218"/>
      <c r="AD2" s="218"/>
      <c r="AE2" s="218"/>
      <c r="AF2" s="218"/>
      <c r="AG2" s="218"/>
      <c r="AH2" s="218"/>
      <c r="AI2" s="218"/>
      <c r="AJ2" s="218"/>
      <c r="AK2" s="218"/>
      <c r="AL2" s="218"/>
      <c r="AM2" s="218"/>
      <c r="AN2" s="218"/>
      <c r="AP2" s="138"/>
      <c r="AQ2" s="138"/>
      <c r="AR2" s="138"/>
      <c r="AS2" s="159"/>
      <c r="AT2" s="159"/>
      <c r="AU2" s="138"/>
      <c r="AV2" s="138"/>
      <c r="AW2" s="138"/>
      <c r="AX2" s="138"/>
      <c r="AY2" s="138"/>
      <c r="AZ2" s="138"/>
      <c r="BA2" s="138"/>
      <c r="BC2" s="247"/>
      <c r="BD2" s="247"/>
      <c r="BE2" s="247"/>
      <c r="BF2" s="247"/>
      <c r="BG2" s="247"/>
      <c r="BH2" s="247"/>
      <c r="BI2" s="247"/>
      <c r="BJ2" s="247"/>
      <c r="BK2" s="247"/>
      <c r="BL2" s="247"/>
      <c r="BM2" s="247"/>
      <c r="BN2" s="247"/>
      <c r="BP2" s="246"/>
      <c r="BQ2" s="246"/>
      <c r="BR2" s="246"/>
      <c r="BS2" s="246"/>
      <c r="BT2" s="246"/>
      <c r="BU2" s="246"/>
      <c r="BW2" s="183"/>
      <c r="BX2" s="183"/>
      <c r="BY2" s="183"/>
      <c r="BZ2" s="183"/>
      <c r="CB2" s="134" t="s">
        <v>829</v>
      </c>
      <c r="CC2" s="134">
        <v>0</v>
      </c>
    </row>
    <row r="3" spans="1:81" s="134" customFormat="1" x14ac:dyDescent="0.25">
      <c r="A3" s="218" t="s">
        <v>817</v>
      </c>
      <c r="B3" s="218"/>
      <c r="C3" s="218"/>
      <c r="D3" s="218"/>
      <c r="E3" s="218"/>
      <c r="F3" s="272"/>
      <c r="G3" s="324"/>
      <c r="H3" s="325"/>
      <c r="I3" s="218"/>
      <c r="J3" s="326">
        <f>SUBTOTAL(109,Корзина[Цена фасадов])</f>
        <v>0</v>
      </c>
      <c r="K3" s="272"/>
      <c r="L3" s="325"/>
      <c r="M3" s="327"/>
      <c r="N3" s="218"/>
      <c r="O3" s="218"/>
      <c r="P3" s="218"/>
      <c r="Q3" s="218"/>
      <c r="R3" s="218"/>
      <c r="S3" s="218"/>
      <c r="T3" s="218"/>
      <c r="U3" s="218"/>
      <c r="V3" s="218"/>
      <c r="W3" s="272"/>
      <c r="X3" s="272"/>
      <c r="Y3" s="218"/>
      <c r="Z3" s="218"/>
      <c r="AA3" s="218"/>
      <c r="AB3" s="272">
        <f>SUBTOTAL(109,Корзина[Цена корпус + полки])</f>
        <v>0</v>
      </c>
      <c r="AC3" s="218"/>
      <c r="AD3" s="218"/>
      <c r="AE3" s="218"/>
      <c r="AF3" s="218"/>
      <c r="AG3" s="218"/>
      <c r="AH3" s="218"/>
      <c r="AI3" s="218"/>
      <c r="AJ3" s="218"/>
      <c r="AK3" s="218"/>
      <c r="AL3" s="218"/>
      <c r="AM3" s="218"/>
      <c r="AN3" s="218"/>
      <c r="BC3" s="138" t="s">
        <v>817</v>
      </c>
      <c r="BD3" s="138"/>
      <c r="BE3" s="248"/>
      <c r="BF3" s="138"/>
      <c r="BG3" s="183"/>
      <c r="BH3" s="183"/>
      <c r="BI3" s="183"/>
      <c r="BJ3" s="138"/>
      <c r="BK3" s="138"/>
      <c r="BL3" s="138"/>
      <c r="BM3" s="138">
        <f>SUBTOTAL(109,Заказ_Отдельные_фасады[Стоимость])</f>
        <v>0</v>
      </c>
      <c r="BN3" s="138"/>
      <c r="CB3" s="134" t="s">
        <v>830</v>
      </c>
      <c r="CC3" s="134">
        <v>0</v>
      </c>
    </row>
    <row r="4" spans="1:81" s="134" customFormat="1" x14ac:dyDescent="0.25">
      <c r="A4" s="1"/>
      <c r="B4" s="1"/>
      <c r="C4" s="1"/>
      <c r="D4" s="1"/>
      <c r="E4" s="1"/>
      <c r="F4" s="271"/>
      <c r="G4" s="99"/>
      <c r="H4" s="137"/>
      <c r="I4" s="1"/>
      <c r="J4" s="102"/>
      <c r="K4" s="254"/>
      <c r="L4" s="102"/>
      <c r="M4" s="273"/>
      <c r="N4"/>
      <c r="O4"/>
      <c r="P4"/>
      <c r="Q4"/>
      <c r="R4"/>
      <c r="S4"/>
      <c r="T4"/>
      <c r="U4"/>
      <c r="V4"/>
      <c r="W4" s="254"/>
      <c r="X4" s="254"/>
      <c r="Y4"/>
      <c r="Z4"/>
      <c r="AA4"/>
      <c r="AB4" s="254"/>
      <c r="AC4"/>
      <c r="AD4"/>
      <c r="AE4"/>
      <c r="AF4"/>
      <c r="AG4"/>
      <c r="AH4"/>
      <c r="AI4"/>
      <c r="AJ4"/>
      <c r="AK4"/>
      <c r="AL4"/>
      <c r="AM4"/>
      <c r="CB4" s="134" t="s">
        <v>831</v>
      </c>
      <c r="CC4" s="134">
        <v>0</v>
      </c>
    </row>
    <row r="5" spans="1:81" s="134" customFormat="1" x14ac:dyDescent="0.25">
      <c r="A5" s="1"/>
      <c r="B5" s="1"/>
      <c r="C5" s="1"/>
      <c r="D5" s="1"/>
      <c r="E5" s="1"/>
      <c r="F5" s="271"/>
      <c r="G5" s="99"/>
      <c r="H5" s="137"/>
      <c r="I5" s="1"/>
      <c r="J5" s="102"/>
      <c r="K5" s="254"/>
      <c r="L5" s="102"/>
      <c r="M5" s="273"/>
      <c r="N5"/>
      <c r="O5"/>
      <c r="P5"/>
      <c r="Q5"/>
      <c r="R5"/>
      <c r="S5"/>
      <c r="T5"/>
      <c r="U5"/>
      <c r="V5"/>
      <c r="W5" s="254"/>
      <c r="X5" s="254"/>
      <c r="Y5"/>
      <c r="Z5"/>
      <c r="AA5"/>
      <c r="AB5" s="254"/>
      <c r="AC5"/>
      <c r="AD5"/>
      <c r="AE5"/>
      <c r="AF5"/>
      <c r="AG5"/>
      <c r="AH5"/>
      <c r="AI5"/>
      <c r="AJ5"/>
      <c r="AK5"/>
      <c r="AL5"/>
      <c r="AM5"/>
      <c r="CB5" s="134" t="s">
        <v>832</v>
      </c>
      <c r="CC5" s="134">
        <v>0</v>
      </c>
    </row>
    <row r="6" spans="1:81" s="134" customFormat="1" x14ac:dyDescent="0.25">
      <c r="A6" s="1"/>
      <c r="B6" s="1"/>
      <c r="C6" s="1"/>
      <c r="D6" s="1"/>
      <c r="E6" s="1"/>
      <c r="F6" s="271"/>
      <c r="G6" s="99"/>
      <c r="H6" s="137"/>
      <c r="I6" s="1"/>
      <c r="J6" s="102"/>
      <c r="K6" s="254"/>
      <c r="L6" s="102"/>
      <c r="M6" s="273"/>
      <c r="N6"/>
      <c r="O6"/>
      <c r="P6"/>
      <c r="Q6"/>
      <c r="R6"/>
      <c r="S6"/>
      <c r="T6"/>
      <c r="U6"/>
      <c r="V6"/>
      <c r="W6" s="254"/>
      <c r="X6" s="254"/>
      <c r="Y6"/>
      <c r="Z6"/>
      <c r="AA6"/>
      <c r="AB6" s="254"/>
      <c r="AC6"/>
      <c r="AD6"/>
      <c r="AE6"/>
      <c r="AF6"/>
      <c r="AG6"/>
      <c r="AH6"/>
      <c r="AI6"/>
      <c r="AJ6"/>
      <c r="AK6"/>
      <c r="AL6"/>
      <c r="AM6"/>
      <c r="CB6" s="134" t="s">
        <v>833</v>
      </c>
      <c r="CC6" s="134">
        <v>0</v>
      </c>
    </row>
    <row r="7" spans="1:81" s="134" customFormat="1" x14ac:dyDescent="0.25">
      <c r="A7" s="1"/>
      <c r="B7" s="1"/>
      <c r="C7" s="1"/>
      <c r="D7" s="1"/>
      <c r="E7" s="1"/>
      <c r="F7" s="271"/>
      <c r="G7" s="99"/>
      <c r="H7" s="137"/>
      <c r="I7" s="1"/>
      <c r="J7" s="102"/>
      <c r="K7" s="254"/>
      <c r="L7" s="102"/>
      <c r="M7" s="273"/>
      <c r="N7"/>
      <c r="O7"/>
      <c r="P7"/>
      <c r="Q7"/>
      <c r="R7"/>
      <c r="S7"/>
      <c r="T7"/>
      <c r="U7"/>
      <c r="V7"/>
      <c r="W7" s="254"/>
      <c r="X7" s="254"/>
      <c r="Y7"/>
      <c r="Z7"/>
      <c r="AA7"/>
      <c r="AB7" s="254"/>
      <c r="AC7"/>
      <c r="AD7"/>
      <c r="AE7"/>
      <c r="AF7"/>
      <c r="AG7"/>
      <c r="AH7"/>
      <c r="AI7"/>
      <c r="AJ7"/>
      <c r="AK7"/>
      <c r="AL7"/>
      <c r="AM7"/>
    </row>
    <row r="8" spans="1:81" s="134" customFormat="1" x14ac:dyDescent="0.25">
      <c r="A8" s="1"/>
      <c r="B8" s="1"/>
      <c r="C8" s="1"/>
      <c r="D8" s="1"/>
      <c r="E8" s="1"/>
      <c r="F8" s="271"/>
      <c r="G8" s="99"/>
      <c r="H8" s="137"/>
      <c r="I8" s="1"/>
      <c r="J8" s="102"/>
      <c r="K8" s="254"/>
      <c r="L8" s="102"/>
      <c r="M8" s="273"/>
      <c r="N8"/>
      <c r="O8"/>
      <c r="P8"/>
      <c r="Q8"/>
      <c r="R8"/>
      <c r="S8"/>
      <c r="T8"/>
      <c r="U8"/>
      <c r="V8"/>
      <c r="W8" s="254"/>
      <c r="X8" s="254"/>
      <c r="Y8"/>
      <c r="Z8"/>
      <c r="AA8"/>
      <c r="AB8" s="254"/>
      <c r="AC8"/>
      <c r="AD8"/>
      <c r="AE8"/>
      <c r="AF8"/>
      <c r="AG8"/>
      <c r="AH8"/>
      <c r="AI8"/>
      <c r="AJ8"/>
      <c r="AK8"/>
      <c r="AL8"/>
      <c r="AM8"/>
    </row>
    <row r="9" spans="1:81" s="134" customFormat="1" x14ac:dyDescent="0.25">
      <c r="A9" s="1"/>
      <c r="B9" s="1"/>
      <c r="C9" s="1"/>
      <c r="D9" s="1"/>
      <c r="E9" s="1"/>
      <c r="F9" s="271"/>
      <c r="G9" s="99"/>
      <c r="H9" s="137"/>
      <c r="I9" s="1"/>
      <c r="J9" s="102"/>
      <c r="K9" s="254"/>
      <c r="L9" s="102"/>
      <c r="M9" s="273"/>
      <c r="N9"/>
      <c r="O9"/>
      <c r="P9"/>
      <c r="Q9"/>
      <c r="R9"/>
      <c r="S9"/>
      <c r="T9"/>
      <c r="U9"/>
      <c r="V9"/>
      <c r="W9" s="254"/>
      <c r="X9" s="254"/>
      <c r="Y9"/>
      <c r="Z9"/>
      <c r="AA9"/>
      <c r="AB9" s="254"/>
      <c r="AC9"/>
      <c r="AD9"/>
      <c r="AE9"/>
      <c r="AF9"/>
      <c r="AG9"/>
      <c r="AH9"/>
      <c r="AI9"/>
      <c r="AJ9"/>
      <c r="AK9"/>
      <c r="AL9"/>
      <c r="AM9"/>
    </row>
    <row r="10" spans="1:81" s="134" customFormat="1" x14ac:dyDescent="0.25">
      <c r="A10" s="1"/>
      <c r="B10" s="1"/>
      <c r="C10" s="1"/>
      <c r="D10" s="1"/>
      <c r="E10" s="1"/>
      <c r="F10" s="271"/>
      <c r="G10" s="99"/>
      <c r="H10" s="137"/>
      <c r="I10" s="1"/>
      <c r="J10" s="102"/>
      <c r="K10" s="254"/>
      <c r="L10" s="102"/>
      <c r="M10" s="273"/>
      <c r="N10"/>
      <c r="O10"/>
      <c r="P10"/>
      <c r="Q10"/>
      <c r="R10"/>
      <c r="S10"/>
      <c r="T10"/>
      <c r="U10"/>
      <c r="V10"/>
      <c r="W10" s="254"/>
      <c r="X10" s="254"/>
      <c r="Y10"/>
      <c r="Z10"/>
      <c r="AA10"/>
      <c r="AB10" s="254"/>
      <c r="AC10"/>
      <c r="AD10"/>
      <c r="AE10"/>
      <c r="AF10"/>
      <c r="AG10"/>
      <c r="AH10"/>
      <c r="AI10"/>
      <c r="AJ10"/>
      <c r="AK10"/>
      <c r="AL10"/>
      <c r="AM10"/>
    </row>
    <row r="11" spans="1:81" s="134" customFormat="1" x14ac:dyDescent="0.25">
      <c r="A11" s="1"/>
      <c r="B11" s="1"/>
      <c r="C11" s="1"/>
      <c r="D11" s="1"/>
      <c r="E11" s="1"/>
      <c r="F11" s="271"/>
      <c r="G11" s="99"/>
      <c r="H11" s="137"/>
      <c r="I11" s="1"/>
      <c r="J11" s="102"/>
      <c r="K11" s="254"/>
      <c r="L11" s="102"/>
      <c r="M11" s="273"/>
      <c r="N11"/>
      <c r="O11"/>
      <c r="P11"/>
      <c r="Q11"/>
      <c r="R11"/>
      <c r="S11"/>
      <c r="T11"/>
      <c r="U11"/>
      <c r="V11"/>
      <c r="W11" s="254"/>
      <c r="X11" s="254"/>
      <c r="Y11"/>
      <c r="Z11"/>
      <c r="AA11"/>
      <c r="AB11" s="254"/>
      <c r="AC11"/>
      <c r="AD11"/>
      <c r="AE11"/>
      <c r="AF11"/>
      <c r="AG11"/>
      <c r="AH11"/>
      <c r="AI11"/>
      <c r="AJ11"/>
      <c r="AK11"/>
      <c r="AL11"/>
      <c r="AM11"/>
    </row>
    <row r="12" spans="1:81" s="134" customFormat="1" x14ac:dyDescent="0.25">
      <c r="A12" s="1"/>
      <c r="B12" s="1"/>
      <c r="C12" s="1"/>
      <c r="D12" s="1"/>
      <c r="E12" s="1"/>
      <c r="F12" s="271"/>
      <c r="G12" s="99"/>
      <c r="H12" s="137"/>
      <c r="I12" s="1"/>
      <c r="J12" s="102"/>
      <c r="K12" s="254"/>
      <c r="L12" s="102"/>
      <c r="M12" s="273"/>
      <c r="N12"/>
      <c r="O12"/>
      <c r="P12"/>
      <c r="Q12"/>
      <c r="R12"/>
      <c r="S12"/>
      <c r="T12"/>
      <c r="U12"/>
      <c r="V12"/>
      <c r="W12" s="254"/>
      <c r="X12" s="254"/>
      <c r="Y12"/>
      <c r="Z12"/>
      <c r="AA12"/>
      <c r="AB12" s="254"/>
      <c r="AC12"/>
      <c r="AD12"/>
      <c r="AE12"/>
      <c r="AF12"/>
      <c r="AG12"/>
      <c r="AH12"/>
      <c r="AI12"/>
      <c r="AJ12"/>
      <c r="AK12"/>
      <c r="AL12"/>
      <c r="AM12"/>
    </row>
    <row r="13" spans="1:81" s="134" customFormat="1" x14ac:dyDescent="0.25">
      <c r="A13" s="1"/>
      <c r="B13" s="1"/>
      <c r="C13" s="1"/>
      <c r="D13" s="1"/>
      <c r="E13" s="1"/>
      <c r="F13" s="271"/>
      <c r="G13" s="99"/>
      <c r="H13" s="137"/>
      <c r="I13" s="1"/>
      <c r="J13" s="102"/>
      <c r="K13" s="254"/>
      <c r="L13" s="102"/>
      <c r="M13" s="273"/>
      <c r="N13"/>
      <c r="O13"/>
      <c r="P13"/>
      <c r="Q13"/>
      <c r="R13"/>
      <c r="S13"/>
      <c r="T13"/>
      <c r="U13"/>
      <c r="V13"/>
      <c r="W13" s="254"/>
      <c r="X13" s="254"/>
      <c r="Y13"/>
      <c r="Z13"/>
      <c r="AA13"/>
      <c r="AB13" s="254"/>
      <c r="AC13"/>
      <c r="AD13"/>
      <c r="AE13"/>
      <c r="AF13"/>
      <c r="AG13"/>
      <c r="AH13"/>
      <c r="AI13"/>
      <c r="AJ13"/>
      <c r="AK13"/>
      <c r="AL13"/>
      <c r="AM13"/>
    </row>
    <row r="14" spans="1:81" s="134" customFormat="1" x14ac:dyDescent="0.25">
      <c r="A14" s="1"/>
      <c r="B14" s="1"/>
      <c r="C14" s="1"/>
      <c r="D14" s="1"/>
      <c r="E14" s="1"/>
      <c r="F14" s="271"/>
      <c r="G14" s="99"/>
      <c r="H14" s="137"/>
      <c r="I14" s="1"/>
      <c r="J14" s="102"/>
      <c r="K14" s="254"/>
      <c r="L14" s="102"/>
      <c r="M14" s="273"/>
      <c r="N14"/>
      <c r="O14"/>
      <c r="P14"/>
      <c r="Q14"/>
      <c r="R14"/>
      <c r="S14"/>
      <c r="T14"/>
      <c r="U14"/>
      <c r="V14"/>
      <c r="W14" s="254"/>
      <c r="X14" s="254"/>
      <c r="Y14"/>
      <c r="Z14"/>
      <c r="AA14"/>
      <c r="AB14" s="254"/>
      <c r="AC14"/>
      <c r="AD14"/>
      <c r="AE14"/>
      <c r="AF14"/>
      <c r="AG14"/>
      <c r="AH14"/>
      <c r="AI14"/>
      <c r="AJ14"/>
      <c r="AK14"/>
      <c r="AL14"/>
      <c r="AM14"/>
    </row>
    <row r="15" spans="1:81" s="134" customFormat="1" x14ac:dyDescent="0.25">
      <c r="A15" s="1"/>
      <c r="B15" s="1"/>
      <c r="C15" s="1"/>
      <c r="D15" s="1"/>
      <c r="E15" s="1"/>
      <c r="F15" s="271"/>
      <c r="G15" s="99"/>
      <c r="H15" s="137"/>
      <c r="I15" s="1"/>
      <c r="J15" s="102"/>
      <c r="K15" s="254"/>
      <c r="L15" s="102"/>
      <c r="M15" s="273"/>
      <c r="N15"/>
      <c r="O15"/>
      <c r="P15"/>
      <c r="Q15"/>
      <c r="R15"/>
      <c r="S15"/>
      <c r="T15"/>
      <c r="U15"/>
      <c r="V15"/>
      <c r="W15" s="254"/>
      <c r="X15" s="254"/>
      <c r="Y15"/>
      <c r="Z15"/>
      <c r="AA15"/>
      <c r="AB15" s="254"/>
      <c r="AC15"/>
      <c r="AD15"/>
      <c r="AE15"/>
      <c r="AF15"/>
      <c r="AG15"/>
      <c r="AH15"/>
      <c r="AI15"/>
      <c r="AJ15"/>
      <c r="AK15"/>
      <c r="AL15"/>
      <c r="AM15"/>
    </row>
    <row r="16" spans="1:81" s="134" customFormat="1" x14ac:dyDescent="0.25">
      <c r="A16" s="1"/>
      <c r="B16" s="1"/>
      <c r="C16" s="1"/>
      <c r="D16" s="1"/>
      <c r="E16" s="1"/>
      <c r="F16" s="271"/>
      <c r="G16" s="99"/>
      <c r="H16" s="137"/>
      <c r="I16" s="1"/>
      <c r="J16" s="102"/>
      <c r="K16" s="254"/>
      <c r="L16" s="102"/>
      <c r="M16" s="273"/>
      <c r="N16"/>
      <c r="O16"/>
      <c r="P16"/>
      <c r="Q16"/>
      <c r="R16"/>
      <c r="S16"/>
      <c r="T16"/>
      <c r="U16"/>
      <c r="V16"/>
      <c r="W16" s="254"/>
      <c r="X16" s="254"/>
      <c r="Y16"/>
      <c r="Z16"/>
      <c r="AA16"/>
      <c r="AB16" s="254"/>
      <c r="AC16"/>
      <c r="AD16"/>
      <c r="AE16"/>
      <c r="AF16"/>
      <c r="AG16"/>
      <c r="AH16"/>
      <c r="AI16"/>
      <c r="AJ16"/>
      <c r="AK16"/>
      <c r="AL16"/>
      <c r="AM16"/>
    </row>
    <row r="17" spans="1:66" s="134" customFormat="1" x14ac:dyDescent="0.25">
      <c r="A17" s="1"/>
      <c r="B17" s="1"/>
      <c r="C17" s="1"/>
      <c r="D17" s="1"/>
      <c r="E17" s="1"/>
      <c r="F17" s="271"/>
      <c r="G17" s="99"/>
      <c r="H17" s="137"/>
      <c r="I17" s="1"/>
      <c r="J17" s="102"/>
      <c r="K17" s="254"/>
      <c r="L17" s="102"/>
      <c r="M17" s="273"/>
      <c r="N17"/>
      <c r="O17"/>
      <c r="P17"/>
      <c r="Q17"/>
      <c r="R17"/>
      <c r="S17"/>
      <c r="T17"/>
      <c r="U17"/>
      <c r="V17"/>
      <c r="W17" s="254"/>
      <c r="X17" s="254"/>
      <c r="Y17"/>
      <c r="Z17"/>
      <c r="AA17"/>
      <c r="AB17" s="254"/>
      <c r="AC17"/>
      <c r="AD17"/>
      <c r="AE17"/>
      <c r="AF17"/>
      <c r="AG17"/>
      <c r="AH17"/>
      <c r="AI17"/>
      <c r="AJ17"/>
      <c r="AK17"/>
      <c r="AL17"/>
      <c r="AM17"/>
    </row>
    <row r="18" spans="1:66" s="134" customFormat="1" x14ac:dyDescent="0.25">
      <c r="A18" s="1"/>
      <c r="B18" s="1"/>
      <c r="C18" s="1"/>
      <c r="D18" s="1"/>
      <c r="E18" s="1"/>
      <c r="F18" s="271"/>
      <c r="G18" s="99"/>
      <c r="H18" s="137"/>
      <c r="I18" s="1"/>
      <c r="J18" s="102"/>
      <c r="K18" s="254"/>
      <c r="L18" s="102"/>
      <c r="M18" s="273"/>
      <c r="N18"/>
      <c r="O18"/>
      <c r="P18"/>
      <c r="Q18"/>
      <c r="R18"/>
      <c r="S18"/>
      <c r="T18"/>
      <c r="U18"/>
      <c r="V18"/>
      <c r="W18" s="254"/>
      <c r="X18" s="254"/>
      <c r="Y18"/>
      <c r="Z18"/>
      <c r="AA18"/>
      <c r="AB18" s="254"/>
      <c r="AC18"/>
      <c r="AD18"/>
      <c r="AE18"/>
      <c r="AF18"/>
      <c r="AG18"/>
      <c r="AH18"/>
      <c r="AI18"/>
      <c r="AJ18"/>
      <c r="AK18"/>
      <c r="AL18"/>
      <c r="AM18"/>
    </row>
    <row r="19" spans="1:66" s="134" customFormat="1" x14ac:dyDescent="0.25">
      <c r="A19" s="1"/>
      <c r="B19" s="1"/>
      <c r="C19" s="1"/>
      <c r="D19" s="1"/>
      <c r="E19" s="1"/>
      <c r="F19" s="271"/>
      <c r="G19" s="99"/>
      <c r="H19" s="137"/>
      <c r="I19" s="1"/>
      <c r="J19" s="102"/>
      <c r="K19" s="254"/>
      <c r="L19" s="102"/>
      <c r="M19" s="273"/>
      <c r="N19"/>
      <c r="O19"/>
      <c r="P19"/>
      <c r="Q19"/>
      <c r="R19"/>
      <c r="S19"/>
      <c r="T19"/>
      <c r="U19"/>
      <c r="V19"/>
      <c r="W19" s="254"/>
      <c r="X19" s="254"/>
      <c r="Y19"/>
      <c r="Z19"/>
      <c r="AA19"/>
      <c r="AB19" s="254"/>
      <c r="AC19"/>
      <c r="AD19"/>
      <c r="AE19"/>
      <c r="AF19"/>
      <c r="AG19"/>
      <c r="AH19"/>
      <c r="AI19"/>
      <c r="AJ19"/>
      <c r="AK19"/>
      <c r="AL19"/>
      <c r="AM19"/>
      <c r="BC19" s="229"/>
      <c r="BD19" s="229"/>
      <c r="BE19" s="229"/>
      <c r="BF19" s="229"/>
      <c r="BG19" s="229"/>
      <c r="BH19" s="229"/>
      <c r="BI19" s="229"/>
      <c r="BJ19" s="229"/>
      <c r="BK19" s="229"/>
      <c r="BL19" s="229"/>
      <c r="BM19" s="229"/>
      <c r="BN19" s="229"/>
    </row>
    <row r="20" spans="1:66" s="134" customFormat="1" x14ac:dyDescent="0.25">
      <c r="A20" s="1"/>
      <c r="B20" s="1"/>
      <c r="C20" s="1"/>
      <c r="D20" s="1"/>
      <c r="E20" s="1"/>
      <c r="F20" s="271"/>
      <c r="G20" s="99"/>
      <c r="H20" s="137"/>
      <c r="I20" s="1"/>
      <c r="J20" s="102"/>
      <c r="K20" s="254"/>
      <c r="L20" s="102"/>
      <c r="M20" s="273"/>
      <c r="N20"/>
      <c r="O20"/>
      <c r="P20"/>
      <c r="Q20"/>
      <c r="R20"/>
      <c r="S20"/>
      <c r="T20"/>
      <c r="U20"/>
      <c r="V20"/>
      <c r="W20" s="254"/>
      <c r="X20" s="254"/>
      <c r="Y20"/>
      <c r="Z20"/>
      <c r="AA20"/>
      <c r="AB20" s="254"/>
      <c r="AC20"/>
      <c r="AD20"/>
      <c r="AE20"/>
      <c r="AF20"/>
      <c r="AG20"/>
      <c r="AH20"/>
      <c r="AI20"/>
      <c r="AJ20"/>
      <c r="AK20"/>
      <c r="AL20"/>
      <c r="AM20"/>
      <c r="BC20" s="228"/>
      <c r="BD20" s="228"/>
      <c r="BE20" s="228"/>
      <c r="BF20" s="228"/>
      <c r="BG20" s="228"/>
      <c r="BH20" s="228"/>
      <c r="BI20" s="228"/>
      <c r="BJ20" s="228"/>
      <c r="BK20" s="228"/>
      <c r="BL20" s="228"/>
      <c r="BM20" s="228"/>
      <c r="BN20" s="228"/>
    </row>
    <row r="21" spans="1:66" s="229" customFormat="1" x14ac:dyDescent="0.25">
      <c r="A21" s="1"/>
      <c r="B21" s="1"/>
      <c r="C21" s="1"/>
      <c r="D21" s="1"/>
      <c r="E21" s="1"/>
      <c r="F21" s="271"/>
      <c r="G21" s="99"/>
      <c r="H21" s="137"/>
      <c r="I21" s="1"/>
      <c r="J21" s="102"/>
      <c r="K21" s="254"/>
      <c r="L21" s="102"/>
      <c r="M21" s="273"/>
      <c r="N21"/>
      <c r="O21"/>
      <c r="P21"/>
      <c r="Q21"/>
      <c r="R21"/>
      <c r="S21"/>
      <c r="T21"/>
      <c r="U21"/>
      <c r="V21"/>
      <c r="W21" s="254"/>
      <c r="X21" s="254"/>
      <c r="Y21"/>
      <c r="Z21"/>
      <c r="AA21"/>
      <c r="AB21" s="254"/>
      <c r="AC21"/>
      <c r="AD21"/>
      <c r="AE21"/>
      <c r="AF21"/>
      <c r="AG21"/>
      <c r="AH21"/>
      <c r="AI21"/>
      <c r="AJ21"/>
      <c r="AK21"/>
      <c r="AL21"/>
      <c r="AM21"/>
      <c r="AY21" s="134"/>
      <c r="AZ21" s="134"/>
      <c r="BA21" s="134"/>
      <c r="BC21" s="134"/>
      <c r="BD21" s="134"/>
      <c r="BE21" s="134"/>
      <c r="BF21" s="134"/>
      <c r="BG21" s="134"/>
      <c r="BH21" s="134"/>
      <c r="BI21" s="134"/>
      <c r="BJ21" s="134"/>
      <c r="BK21" s="134"/>
      <c r="BL21" s="134"/>
      <c r="BM21" s="134"/>
      <c r="BN21" s="134"/>
    </row>
    <row r="22" spans="1:66" s="228" customFormat="1" x14ac:dyDescent="0.25">
      <c r="A22" s="1"/>
      <c r="B22" s="1"/>
      <c r="C22" s="1"/>
      <c r="D22" s="1"/>
      <c r="E22" s="1"/>
      <c r="F22" s="271"/>
      <c r="G22" s="99"/>
      <c r="H22" s="137"/>
      <c r="I22" s="1"/>
      <c r="J22" s="102"/>
      <c r="K22" s="254"/>
      <c r="L22" s="102"/>
      <c r="M22" s="273"/>
      <c r="N22"/>
      <c r="O22"/>
      <c r="P22"/>
      <c r="Q22"/>
      <c r="R22"/>
      <c r="S22"/>
      <c r="T22"/>
      <c r="U22"/>
      <c r="V22"/>
      <c r="W22" s="254"/>
      <c r="X22" s="254"/>
      <c r="Y22"/>
      <c r="Z22"/>
      <c r="AA22"/>
      <c r="AB22" s="254"/>
      <c r="AC22"/>
      <c r="AD22"/>
      <c r="AE22"/>
      <c r="AF22"/>
      <c r="AG22"/>
      <c r="AH22"/>
      <c r="AI22"/>
      <c r="AJ22"/>
      <c r="AK22"/>
      <c r="AL22"/>
      <c r="AM22"/>
      <c r="AY22" s="134"/>
      <c r="AZ22" s="134"/>
      <c r="BA22" s="134"/>
      <c r="BC22" s="134"/>
      <c r="BD22" s="134"/>
      <c r="BE22" s="134"/>
      <c r="BF22" s="134"/>
      <c r="BG22" s="134"/>
      <c r="BH22" s="134"/>
      <c r="BI22" s="134"/>
      <c r="BJ22" s="134"/>
      <c r="BK22" s="134"/>
      <c r="BL22" s="134"/>
      <c r="BM22" s="134"/>
      <c r="BN22" s="134"/>
    </row>
    <row r="23" spans="1:66" s="134" customFormat="1" x14ac:dyDescent="0.25">
      <c r="A23" s="1"/>
      <c r="B23" s="1"/>
      <c r="C23" s="1"/>
      <c r="D23" s="1"/>
      <c r="E23" s="1"/>
      <c r="F23" s="271"/>
      <c r="G23" s="99"/>
      <c r="H23" s="137"/>
      <c r="I23" s="1"/>
      <c r="J23" s="102"/>
      <c r="K23" s="254"/>
      <c r="L23" s="102"/>
      <c r="M23" s="273"/>
      <c r="N23"/>
      <c r="O23"/>
      <c r="P23"/>
      <c r="Q23"/>
      <c r="R23"/>
      <c r="S23"/>
      <c r="T23"/>
      <c r="U23"/>
      <c r="V23"/>
      <c r="W23" s="254"/>
      <c r="X23" s="254"/>
      <c r="Y23"/>
      <c r="Z23"/>
      <c r="AA23"/>
      <c r="AB23" s="254"/>
      <c r="AC23"/>
      <c r="AD23"/>
      <c r="AE23"/>
      <c r="AF23"/>
      <c r="AG23"/>
      <c r="AH23"/>
      <c r="AI23"/>
      <c r="AJ23"/>
      <c r="AK23"/>
      <c r="AL23"/>
      <c r="AM23"/>
    </row>
    <row r="24" spans="1:66" s="134" customFormat="1" x14ac:dyDescent="0.25">
      <c r="A24" s="1"/>
      <c r="B24" s="1"/>
      <c r="C24" s="1"/>
      <c r="D24" s="1"/>
      <c r="E24" s="1"/>
      <c r="F24" s="271"/>
      <c r="G24" s="99"/>
      <c r="H24" s="137"/>
      <c r="I24" s="1"/>
      <c r="J24" s="102"/>
      <c r="K24" s="254"/>
      <c r="L24" s="102"/>
      <c r="M24" s="273"/>
      <c r="N24"/>
      <c r="O24"/>
      <c r="P24"/>
      <c r="Q24"/>
      <c r="R24"/>
      <c r="S24"/>
      <c r="T24"/>
      <c r="U24"/>
      <c r="V24"/>
      <c r="W24" s="254"/>
      <c r="X24" s="254"/>
      <c r="Y24"/>
      <c r="Z24"/>
      <c r="AA24"/>
      <c r="AB24" s="254"/>
      <c r="AC24"/>
      <c r="AD24"/>
      <c r="AE24"/>
      <c r="AF24"/>
      <c r="AG24"/>
      <c r="AH24"/>
      <c r="AI24"/>
      <c r="AJ24"/>
      <c r="AK24"/>
      <c r="AL24"/>
      <c r="AM24"/>
    </row>
    <row r="25" spans="1:66" s="134" customFormat="1" x14ac:dyDescent="0.25">
      <c r="A25" s="1"/>
      <c r="B25" s="1"/>
      <c r="C25" s="1"/>
      <c r="D25" s="1"/>
      <c r="E25" s="1"/>
      <c r="F25" s="271"/>
      <c r="G25" s="99"/>
      <c r="H25" s="137"/>
      <c r="I25" s="1"/>
      <c r="J25" s="102"/>
      <c r="K25" s="254"/>
      <c r="L25" s="102"/>
      <c r="M25" s="273"/>
      <c r="N25"/>
      <c r="O25"/>
      <c r="P25"/>
      <c r="Q25"/>
      <c r="R25"/>
      <c r="S25"/>
      <c r="T25"/>
      <c r="U25"/>
      <c r="V25"/>
      <c r="W25" s="254"/>
      <c r="X25" s="254"/>
      <c r="Y25"/>
      <c r="Z25"/>
      <c r="AA25"/>
      <c r="AB25" s="254"/>
      <c r="AC25"/>
      <c r="AD25"/>
      <c r="AE25"/>
      <c r="AF25"/>
      <c r="AG25"/>
      <c r="AH25"/>
      <c r="AI25"/>
      <c r="AJ25"/>
      <c r="AK25"/>
      <c r="AL25"/>
      <c r="AM25"/>
    </row>
    <row r="26" spans="1:66" s="134" customFormat="1" x14ac:dyDescent="0.25">
      <c r="A26" s="1"/>
      <c r="B26" s="1"/>
      <c r="C26" s="1"/>
      <c r="D26" s="1"/>
      <c r="E26" s="1"/>
      <c r="F26" s="271"/>
      <c r="G26" s="99"/>
      <c r="H26" s="137"/>
      <c r="I26" s="1"/>
      <c r="J26" s="102"/>
      <c r="K26" s="254"/>
      <c r="L26" s="102"/>
      <c r="M26" s="273"/>
      <c r="N26"/>
      <c r="O26"/>
      <c r="P26"/>
      <c r="Q26"/>
      <c r="R26"/>
      <c r="S26"/>
      <c r="T26"/>
      <c r="U26"/>
      <c r="V26"/>
      <c r="W26" s="254"/>
      <c r="X26" s="254"/>
      <c r="Y26"/>
      <c r="Z26"/>
      <c r="AA26"/>
      <c r="AB26" s="254"/>
      <c r="AC26"/>
      <c r="AD26"/>
      <c r="AE26"/>
      <c r="AF26"/>
      <c r="AG26"/>
      <c r="AH26"/>
      <c r="AI26"/>
      <c r="AJ26"/>
      <c r="AK26"/>
      <c r="AL26"/>
      <c r="AM26"/>
    </row>
    <row r="27" spans="1:66" s="134" customFormat="1" x14ac:dyDescent="0.25">
      <c r="A27" s="1"/>
      <c r="B27" s="1"/>
      <c r="C27" s="1"/>
      <c r="D27" s="1"/>
      <c r="E27" s="1"/>
      <c r="F27" s="271"/>
      <c r="G27" s="99"/>
      <c r="H27" s="137"/>
      <c r="I27" s="1"/>
      <c r="J27" s="102"/>
      <c r="K27" s="254"/>
      <c r="L27" s="102"/>
      <c r="M27" s="273"/>
      <c r="N27"/>
      <c r="O27"/>
      <c r="P27"/>
      <c r="Q27"/>
      <c r="R27"/>
      <c r="S27"/>
      <c r="T27"/>
      <c r="U27"/>
      <c r="V27"/>
      <c r="W27" s="254"/>
      <c r="X27" s="254"/>
      <c r="Y27"/>
      <c r="Z27"/>
      <c r="AA27"/>
      <c r="AB27" s="254"/>
      <c r="AC27"/>
      <c r="AD27"/>
      <c r="AE27"/>
      <c r="AF27"/>
      <c r="AG27"/>
      <c r="AH27"/>
      <c r="AI27"/>
      <c r="AJ27"/>
      <c r="AK27"/>
      <c r="AL27"/>
      <c r="AM27"/>
    </row>
    <row r="28" spans="1:66" s="134" customFormat="1" x14ac:dyDescent="0.25">
      <c r="A28" s="1"/>
      <c r="B28" s="1"/>
      <c r="C28" s="1"/>
      <c r="D28" s="1"/>
      <c r="E28" s="1"/>
      <c r="F28" s="271"/>
      <c r="G28" s="99"/>
      <c r="H28" s="137"/>
      <c r="I28" s="1"/>
      <c r="J28" s="102"/>
      <c r="K28" s="254"/>
      <c r="L28" s="102"/>
      <c r="M28" s="273"/>
      <c r="N28"/>
      <c r="O28"/>
      <c r="P28"/>
      <c r="Q28"/>
      <c r="R28"/>
      <c r="S28"/>
      <c r="T28"/>
      <c r="U28"/>
      <c r="V28"/>
      <c r="W28" s="254"/>
      <c r="X28" s="254"/>
      <c r="Y28"/>
      <c r="Z28"/>
      <c r="AA28"/>
      <c r="AB28" s="254"/>
      <c r="AC28"/>
      <c r="AD28"/>
      <c r="AE28"/>
      <c r="AF28"/>
      <c r="AG28"/>
      <c r="AH28"/>
      <c r="AI28"/>
      <c r="AJ28"/>
      <c r="AK28"/>
      <c r="AL28"/>
      <c r="AM28"/>
    </row>
    <row r="29" spans="1:66" s="134" customFormat="1" x14ac:dyDescent="0.25">
      <c r="A29" s="1"/>
      <c r="B29" s="1"/>
      <c r="C29" s="1"/>
      <c r="D29" s="1"/>
      <c r="E29" s="1"/>
      <c r="F29" s="271"/>
      <c r="G29" s="99"/>
      <c r="H29" s="137"/>
      <c r="I29" s="1"/>
      <c r="J29" s="102"/>
      <c r="K29" s="254"/>
      <c r="L29" s="102"/>
      <c r="M29" s="273"/>
      <c r="N29"/>
      <c r="O29"/>
      <c r="P29"/>
      <c r="Q29"/>
      <c r="R29"/>
      <c r="S29"/>
      <c r="T29"/>
      <c r="U29"/>
      <c r="V29"/>
      <c r="W29" s="254"/>
      <c r="X29" s="254"/>
      <c r="Y29"/>
      <c r="Z29"/>
      <c r="AA29"/>
      <c r="AB29" s="254"/>
      <c r="AC29"/>
      <c r="AD29"/>
      <c r="AE29"/>
      <c r="AF29"/>
      <c r="AG29"/>
      <c r="AH29"/>
      <c r="AI29"/>
      <c r="AJ29"/>
      <c r="AK29"/>
      <c r="AL29"/>
      <c r="AM29"/>
    </row>
    <row r="30" spans="1:66" s="134" customFormat="1" x14ac:dyDescent="0.25">
      <c r="A30" s="1"/>
      <c r="B30" s="1"/>
      <c r="C30" s="1"/>
      <c r="D30" s="1"/>
      <c r="E30" s="1"/>
      <c r="F30" s="271"/>
      <c r="G30" s="99"/>
      <c r="H30" s="137"/>
      <c r="I30" s="1"/>
      <c r="J30" s="102"/>
      <c r="K30" s="254"/>
      <c r="L30" s="102"/>
      <c r="M30" s="273"/>
      <c r="N30"/>
      <c r="O30"/>
      <c r="P30"/>
      <c r="Q30"/>
      <c r="R30"/>
      <c r="S30"/>
      <c r="T30"/>
      <c r="U30"/>
      <c r="V30"/>
      <c r="W30" s="254"/>
      <c r="X30" s="254"/>
      <c r="Y30"/>
      <c r="Z30"/>
      <c r="AA30"/>
      <c r="AB30" s="254"/>
      <c r="AC30"/>
      <c r="AD30"/>
      <c r="AE30"/>
      <c r="AF30"/>
      <c r="AG30"/>
      <c r="AH30"/>
      <c r="AI30"/>
      <c r="AJ30"/>
      <c r="AK30"/>
      <c r="AL30"/>
      <c r="AM30"/>
    </row>
    <row r="31" spans="1:66" s="134" customFormat="1" x14ac:dyDescent="0.25">
      <c r="A31" s="1"/>
      <c r="B31" s="1"/>
      <c r="C31" s="1"/>
      <c r="D31" s="1"/>
      <c r="E31" s="1"/>
      <c r="F31" s="271"/>
      <c r="G31" s="99"/>
      <c r="H31" s="137"/>
      <c r="I31" s="1"/>
      <c r="J31" s="102"/>
      <c r="K31" s="254"/>
      <c r="L31" s="102"/>
      <c r="M31" s="273"/>
      <c r="N31"/>
      <c r="O31"/>
      <c r="P31"/>
      <c r="Q31"/>
      <c r="R31"/>
      <c r="S31"/>
      <c r="T31"/>
      <c r="U31"/>
      <c r="V31"/>
      <c r="W31" s="254"/>
      <c r="X31" s="254"/>
      <c r="Y31"/>
      <c r="Z31"/>
      <c r="AA31"/>
      <c r="AB31" s="254"/>
      <c r="AC31"/>
      <c r="AD31"/>
      <c r="AE31"/>
      <c r="AF31"/>
      <c r="AG31"/>
      <c r="AH31"/>
      <c r="AI31"/>
      <c r="AJ31"/>
      <c r="AK31"/>
      <c r="AL31"/>
      <c r="AM31"/>
    </row>
    <row r="32" spans="1:66" s="134" customFormat="1" x14ac:dyDescent="0.25">
      <c r="A32" s="1"/>
      <c r="B32" s="1"/>
      <c r="C32" s="1"/>
      <c r="D32" s="1"/>
      <c r="E32" s="1"/>
      <c r="F32" s="271"/>
      <c r="G32" s="99"/>
      <c r="H32" s="137"/>
      <c r="I32" s="1"/>
      <c r="J32" s="102"/>
      <c r="K32" s="254"/>
      <c r="L32" s="102"/>
      <c r="M32" s="273"/>
      <c r="N32"/>
      <c r="O32"/>
      <c r="P32"/>
      <c r="Q32"/>
      <c r="R32"/>
      <c r="S32"/>
      <c r="T32"/>
      <c r="U32"/>
      <c r="V32"/>
      <c r="W32" s="254"/>
      <c r="X32" s="254"/>
      <c r="Y32"/>
      <c r="Z32"/>
      <c r="AA32"/>
      <c r="AB32" s="254"/>
      <c r="AC32"/>
      <c r="AD32"/>
      <c r="AE32"/>
      <c r="AF32"/>
      <c r="AG32"/>
      <c r="AH32"/>
      <c r="AI32"/>
      <c r="AJ32"/>
      <c r="AK32"/>
      <c r="AL32"/>
      <c r="AM32"/>
    </row>
    <row r="33" spans="1:39" s="134" customFormat="1" x14ac:dyDescent="0.25">
      <c r="A33" s="1"/>
      <c r="B33" s="1"/>
      <c r="C33" s="1"/>
      <c r="D33" s="1"/>
      <c r="E33" s="1"/>
      <c r="F33" s="271"/>
      <c r="G33" s="99"/>
      <c r="H33" s="137"/>
      <c r="I33" s="1"/>
      <c r="J33" s="102"/>
      <c r="K33" s="254"/>
      <c r="L33" s="102"/>
      <c r="M33" s="273"/>
      <c r="N33"/>
      <c r="O33"/>
      <c r="P33"/>
      <c r="Q33"/>
      <c r="R33"/>
      <c r="S33"/>
      <c r="T33"/>
      <c r="U33"/>
      <c r="V33"/>
      <c r="W33" s="254"/>
      <c r="X33" s="254"/>
      <c r="Y33"/>
      <c r="Z33"/>
      <c r="AA33"/>
      <c r="AB33" s="254"/>
      <c r="AC33"/>
      <c r="AD33"/>
      <c r="AE33"/>
      <c r="AF33"/>
      <c r="AG33"/>
      <c r="AH33"/>
      <c r="AI33"/>
      <c r="AJ33"/>
      <c r="AK33"/>
      <c r="AL33"/>
      <c r="AM33"/>
    </row>
    <row r="34" spans="1:39" s="134" customFormat="1" x14ac:dyDescent="0.25">
      <c r="A34" s="1"/>
      <c r="B34" s="1"/>
      <c r="C34" s="1"/>
      <c r="D34" s="1"/>
      <c r="E34" s="1"/>
      <c r="F34" s="271"/>
      <c r="G34" s="99"/>
      <c r="H34" s="137"/>
      <c r="I34" s="1"/>
      <c r="J34" s="102"/>
      <c r="K34" s="254"/>
      <c r="L34" s="102"/>
      <c r="M34" s="273"/>
      <c r="N34"/>
      <c r="O34"/>
      <c r="P34"/>
      <c r="Q34"/>
      <c r="R34"/>
      <c r="S34"/>
      <c r="T34"/>
      <c r="U34"/>
      <c r="V34"/>
      <c r="W34" s="254"/>
      <c r="X34" s="254"/>
      <c r="Y34"/>
      <c r="Z34"/>
      <c r="AA34"/>
      <c r="AB34" s="254"/>
      <c r="AC34"/>
      <c r="AD34"/>
      <c r="AE34"/>
      <c r="AF34"/>
      <c r="AG34"/>
      <c r="AH34"/>
      <c r="AI34"/>
      <c r="AJ34"/>
      <c r="AK34"/>
      <c r="AL34"/>
      <c r="AM34"/>
    </row>
    <row r="35" spans="1:39" s="134" customFormat="1" x14ac:dyDescent="0.25">
      <c r="A35" s="1"/>
      <c r="B35" s="1"/>
      <c r="C35" s="1"/>
      <c r="D35" s="1"/>
      <c r="E35" s="1"/>
      <c r="F35" s="271"/>
      <c r="G35" s="99"/>
      <c r="H35" s="137"/>
      <c r="I35" s="1"/>
      <c r="J35" s="102"/>
      <c r="K35" s="254"/>
      <c r="L35" s="102"/>
      <c r="M35" s="273"/>
      <c r="N35"/>
      <c r="O35"/>
      <c r="P35"/>
      <c r="Q35"/>
      <c r="R35"/>
      <c r="S35"/>
      <c r="T35"/>
      <c r="U35"/>
      <c r="V35"/>
      <c r="W35" s="254"/>
      <c r="X35" s="254"/>
      <c r="Y35"/>
      <c r="Z35"/>
      <c r="AA35"/>
      <c r="AB35" s="254"/>
      <c r="AC35"/>
      <c r="AD35"/>
      <c r="AE35"/>
      <c r="AF35"/>
      <c r="AG35"/>
      <c r="AH35"/>
      <c r="AI35"/>
      <c r="AJ35"/>
      <c r="AK35"/>
      <c r="AL35"/>
      <c r="AM35"/>
    </row>
    <row r="36" spans="1:39" s="134" customFormat="1" x14ac:dyDescent="0.25">
      <c r="A36" s="1"/>
      <c r="B36" s="1"/>
      <c r="C36" s="1"/>
      <c r="D36" s="1"/>
      <c r="E36" s="1"/>
      <c r="F36" s="271"/>
      <c r="G36" s="99"/>
      <c r="H36" s="137"/>
      <c r="I36" s="1"/>
      <c r="J36" s="102"/>
      <c r="K36" s="254"/>
      <c r="L36" s="102"/>
      <c r="M36" s="273"/>
      <c r="N36"/>
      <c r="O36"/>
      <c r="P36"/>
      <c r="Q36"/>
      <c r="R36"/>
      <c r="S36"/>
      <c r="T36"/>
      <c r="U36"/>
      <c r="V36"/>
      <c r="W36" s="254"/>
      <c r="X36" s="254"/>
      <c r="Y36"/>
      <c r="Z36"/>
      <c r="AA36"/>
      <c r="AB36" s="254"/>
      <c r="AC36"/>
      <c r="AD36"/>
      <c r="AE36"/>
      <c r="AF36"/>
      <c r="AG36"/>
      <c r="AH36"/>
      <c r="AI36"/>
      <c r="AJ36"/>
      <c r="AK36"/>
      <c r="AL36"/>
      <c r="AM36"/>
    </row>
    <row r="37" spans="1:39" s="134" customFormat="1" x14ac:dyDescent="0.25">
      <c r="A37" s="1"/>
      <c r="B37" s="1"/>
      <c r="C37" s="1"/>
      <c r="D37" s="1"/>
      <c r="E37" s="1"/>
      <c r="F37" s="271"/>
      <c r="G37" s="99"/>
      <c r="H37" s="137"/>
      <c r="I37" s="1"/>
      <c r="J37" s="102"/>
      <c r="K37" s="254"/>
      <c r="L37" s="102"/>
      <c r="M37" s="273"/>
      <c r="N37"/>
      <c r="O37"/>
      <c r="P37"/>
      <c r="Q37"/>
      <c r="R37"/>
      <c r="S37"/>
      <c r="T37"/>
      <c r="U37"/>
      <c r="V37"/>
      <c r="W37" s="254"/>
      <c r="X37" s="254"/>
      <c r="Y37"/>
      <c r="Z37"/>
      <c r="AA37"/>
      <c r="AB37" s="254"/>
      <c r="AC37"/>
      <c r="AD37"/>
      <c r="AE37"/>
      <c r="AF37"/>
      <c r="AG37"/>
      <c r="AH37"/>
      <c r="AI37"/>
      <c r="AJ37"/>
      <c r="AK37"/>
      <c r="AL37"/>
      <c r="AM37"/>
    </row>
    <row r="38" spans="1:39" s="134" customFormat="1" x14ac:dyDescent="0.25">
      <c r="A38" s="1"/>
      <c r="B38" s="1"/>
      <c r="C38" s="1"/>
      <c r="D38" s="1"/>
      <c r="E38" s="1"/>
      <c r="F38" s="271"/>
      <c r="G38" s="99"/>
      <c r="H38" s="137"/>
      <c r="I38" s="1"/>
      <c r="J38" s="102"/>
      <c r="K38" s="254"/>
      <c r="L38" s="102"/>
      <c r="M38" s="273"/>
      <c r="N38"/>
      <c r="O38"/>
      <c r="P38"/>
      <c r="Q38"/>
      <c r="R38"/>
      <c r="S38"/>
      <c r="T38"/>
      <c r="U38"/>
      <c r="V38"/>
      <c r="W38" s="254"/>
      <c r="X38" s="254"/>
      <c r="Y38"/>
      <c r="Z38"/>
      <c r="AA38"/>
      <c r="AB38" s="254"/>
      <c r="AC38"/>
      <c r="AD38"/>
      <c r="AE38"/>
      <c r="AF38"/>
      <c r="AG38"/>
      <c r="AH38"/>
      <c r="AI38"/>
      <c r="AJ38"/>
      <c r="AK38"/>
      <c r="AL38"/>
      <c r="AM38"/>
    </row>
    <row r="39" spans="1:39" s="134" customFormat="1" x14ac:dyDescent="0.25">
      <c r="A39" s="1"/>
      <c r="B39" s="1"/>
      <c r="C39" s="1"/>
      <c r="D39" s="1"/>
      <c r="E39" s="1"/>
      <c r="F39" s="271"/>
      <c r="G39" s="99"/>
      <c r="H39" s="137"/>
      <c r="I39" s="1"/>
      <c r="J39" s="102"/>
      <c r="K39" s="254"/>
      <c r="L39" s="102"/>
      <c r="M39" s="273"/>
      <c r="N39"/>
      <c r="O39"/>
      <c r="P39"/>
      <c r="Q39"/>
      <c r="R39"/>
      <c r="S39"/>
      <c r="T39"/>
      <c r="U39"/>
      <c r="V39"/>
      <c r="W39" s="254"/>
      <c r="X39" s="254"/>
      <c r="Y39"/>
      <c r="Z39"/>
      <c r="AA39"/>
      <c r="AB39" s="254"/>
      <c r="AC39"/>
      <c r="AD39"/>
      <c r="AE39"/>
      <c r="AF39"/>
      <c r="AG39"/>
      <c r="AH39"/>
      <c r="AI39"/>
      <c r="AJ39"/>
      <c r="AK39"/>
      <c r="AL39"/>
      <c r="AM39"/>
    </row>
    <row r="40" spans="1:39" s="134" customFormat="1" x14ac:dyDescent="0.25">
      <c r="A40" s="1"/>
      <c r="B40" s="1"/>
      <c r="C40" s="1"/>
      <c r="D40" s="1"/>
      <c r="E40" s="1"/>
      <c r="F40" s="271"/>
      <c r="G40" s="99"/>
      <c r="H40" s="137"/>
      <c r="I40" s="1"/>
      <c r="J40" s="102"/>
      <c r="K40" s="254"/>
      <c r="L40" s="102"/>
      <c r="M40" s="273"/>
      <c r="N40"/>
      <c r="O40"/>
      <c r="P40"/>
      <c r="Q40"/>
      <c r="R40"/>
      <c r="S40"/>
      <c r="T40"/>
      <c r="U40"/>
      <c r="V40"/>
      <c r="W40" s="254"/>
      <c r="X40" s="254"/>
      <c r="Y40"/>
      <c r="Z40"/>
      <c r="AA40"/>
      <c r="AB40" s="254"/>
      <c r="AC40"/>
      <c r="AD40"/>
      <c r="AE40"/>
      <c r="AF40"/>
      <c r="AG40"/>
      <c r="AH40"/>
      <c r="AI40"/>
      <c r="AJ40"/>
      <c r="AK40"/>
      <c r="AL40"/>
      <c r="AM40"/>
    </row>
    <row r="41" spans="1:39" s="134" customFormat="1" x14ac:dyDescent="0.25">
      <c r="A41" s="1"/>
      <c r="B41" s="1"/>
      <c r="C41" s="1"/>
      <c r="D41" s="1"/>
      <c r="E41" s="1"/>
      <c r="F41" s="271"/>
      <c r="G41" s="99"/>
      <c r="H41" s="137"/>
      <c r="I41" s="1"/>
      <c r="J41" s="102"/>
      <c r="K41" s="254"/>
      <c r="L41" s="102"/>
      <c r="M41" s="273"/>
      <c r="N41"/>
      <c r="O41"/>
      <c r="P41"/>
      <c r="Q41"/>
      <c r="R41"/>
      <c r="S41"/>
      <c r="T41"/>
      <c r="U41"/>
      <c r="V41"/>
      <c r="W41" s="254"/>
      <c r="X41" s="254"/>
      <c r="Y41"/>
      <c r="Z41"/>
      <c r="AA41"/>
      <c r="AB41" s="254"/>
      <c r="AC41"/>
      <c r="AD41"/>
      <c r="AE41"/>
      <c r="AF41"/>
      <c r="AG41"/>
      <c r="AH41"/>
      <c r="AI41"/>
      <c r="AJ41"/>
      <c r="AK41"/>
      <c r="AL41"/>
      <c r="AM41"/>
    </row>
    <row r="42" spans="1:39" s="134" customFormat="1" x14ac:dyDescent="0.25">
      <c r="A42" s="1"/>
      <c r="B42" s="1"/>
      <c r="C42" s="1"/>
      <c r="D42" s="1"/>
      <c r="E42" s="1"/>
      <c r="F42" s="271"/>
      <c r="G42" s="99"/>
      <c r="H42" s="137"/>
      <c r="I42" s="1"/>
      <c r="J42" s="102"/>
      <c r="K42" s="254"/>
      <c r="L42" s="102"/>
      <c r="M42" s="273"/>
      <c r="N42"/>
      <c r="O42"/>
      <c r="P42"/>
      <c r="Q42"/>
      <c r="R42"/>
      <c r="S42"/>
      <c r="T42"/>
      <c r="U42"/>
      <c r="V42"/>
      <c r="W42" s="254"/>
      <c r="X42" s="254"/>
      <c r="Y42"/>
      <c r="Z42"/>
      <c r="AA42"/>
      <c r="AB42" s="254"/>
      <c r="AC42"/>
      <c r="AD42"/>
      <c r="AE42"/>
      <c r="AF42"/>
      <c r="AG42"/>
      <c r="AH42"/>
      <c r="AI42"/>
      <c r="AJ42"/>
      <c r="AK42"/>
      <c r="AL42"/>
      <c r="AM42"/>
    </row>
    <row r="43" spans="1:39" s="134" customFormat="1" x14ac:dyDescent="0.25">
      <c r="A43" s="1"/>
      <c r="B43" s="1"/>
      <c r="C43" s="1"/>
      <c r="D43" s="1"/>
      <c r="E43" s="1"/>
      <c r="F43" s="271"/>
      <c r="G43" s="99"/>
      <c r="H43" s="137"/>
      <c r="I43" s="1"/>
      <c r="J43" s="102"/>
      <c r="K43" s="254"/>
      <c r="L43" s="102"/>
      <c r="M43" s="273"/>
      <c r="N43"/>
      <c r="O43"/>
      <c r="P43"/>
      <c r="Q43"/>
      <c r="R43"/>
      <c r="S43"/>
      <c r="T43"/>
      <c r="U43"/>
      <c r="V43"/>
      <c r="W43" s="254"/>
      <c r="X43" s="254"/>
      <c r="Y43"/>
      <c r="Z43"/>
      <c r="AA43"/>
      <c r="AB43" s="254"/>
      <c r="AC43"/>
      <c r="AD43"/>
      <c r="AE43"/>
      <c r="AF43"/>
      <c r="AG43"/>
      <c r="AH43"/>
      <c r="AI43"/>
      <c r="AJ43"/>
      <c r="AK43"/>
      <c r="AL43"/>
      <c r="AM43"/>
    </row>
    <row r="44" spans="1:39" s="134" customFormat="1" x14ac:dyDescent="0.25">
      <c r="A44" s="1"/>
      <c r="B44" s="1"/>
      <c r="C44" s="1"/>
      <c r="D44" s="1"/>
      <c r="E44" s="1"/>
      <c r="F44" s="271"/>
      <c r="G44" s="99"/>
      <c r="H44" s="137"/>
      <c r="I44" s="1"/>
      <c r="J44" s="102"/>
      <c r="K44" s="254"/>
      <c r="L44" s="102"/>
      <c r="M44" s="273"/>
      <c r="N44"/>
      <c r="O44"/>
      <c r="P44"/>
      <c r="Q44"/>
      <c r="R44"/>
      <c r="S44"/>
      <c r="T44"/>
      <c r="U44"/>
      <c r="V44"/>
      <c r="W44" s="254"/>
      <c r="X44" s="254"/>
      <c r="Y44"/>
      <c r="Z44"/>
      <c r="AA44"/>
      <c r="AB44" s="254"/>
      <c r="AC44"/>
      <c r="AD44"/>
      <c r="AE44"/>
      <c r="AF44"/>
      <c r="AG44"/>
      <c r="AH44"/>
      <c r="AI44"/>
      <c r="AJ44"/>
      <c r="AK44"/>
      <c r="AL44"/>
      <c r="AM44"/>
    </row>
    <row r="45" spans="1:39" s="134" customFormat="1" x14ac:dyDescent="0.25">
      <c r="A45" s="1"/>
      <c r="B45" s="1"/>
      <c r="C45" s="1"/>
      <c r="D45" s="1"/>
      <c r="E45" s="1"/>
      <c r="F45" s="271"/>
      <c r="G45" s="99"/>
      <c r="H45" s="137"/>
      <c r="I45" s="1"/>
      <c r="J45" s="102"/>
      <c r="K45" s="254"/>
      <c r="L45" s="102"/>
      <c r="M45" s="273"/>
      <c r="N45"/>
      <c r="O45"/>
      <c r="P45"/>
      <c r="Q45"/>
      <c r="R45"/>
      <c r="S45"/>
      <c r="T45"/>
      <c r="U45"/>
      <c r="V45"/>
      <c r="W45" s="254"/>
      <c r="X45" s="254"/>
      <c r="Y45"/>
      <c r="Z45"/>
      <c r="AA45"/>
      <c r="AB45" s="254"/>
      <c r="AC45"/>
      <c r="AD45"/>
      <c r="AE45"/>
      <c r="AF45"/>
      <c r="AG45"/>
      <c r="AH45"/>
      <c r="AI45"/>
      <c r="AJ45"/>
      <c r="AK45"/>
      <c r="AL45"/>
      <c r="AM45"/>
    </row>
    <row r="46" spans="1:39" s="134" customFormat="1" x14ac:dyDescent="0.25">
      <c r="A46" s="1"/>
      <c r="B46" s="1"/>
      <c r="C46" s="1"/>
      <c r="D46" s="1"/>
      <c r="E46" s="1"/>
      <c r="F46" s="271"/>
      <c r="G46" s="99"/>
      <c r="H46" s="137"/>
      <c r="I46" s="1"/>
      <c r="J46" s="102"/>
      <c r="K46" s="254"/>
      <c r="L46" s="102"/>
      <c r="M46" s="273"/>
      <c r="N46"/>
      <c r="O46"/>
      <c r="P46"/>
      <c r="Q46"/>
      <c r="R46"/>
      <c r="S46"/>
      <c r="T46"/>
      <c r="U46"/>
      <c r="V46"/>
      <c r="W46" s="254"/>
      <c r="X46" s="254"/>
      <c r="Y46"/>
      <c r="Z46"/>
      <c r="AA46"/>
      <c r="AB46" s="254"/>
      <c r="AC46"/>
      <c r="AD46"/>
      <c r="AE46"/>
      <c r="AF46"/>
      <c r="AG46"/>
      <c r="AH46"/>
      <c r="AI46"/>
      <c r="AJ46"/>
      <c r="AK46"/>
      <c r="AL46"/>
      <c r="AM46"/>
    </row>
    <row r="47" spans="1:39" s="134" customFormat="1" x14ac:dyDescent="0.25">
      <c r="A47" s="1"/>
      <c r="B47" s="1"/>
      <c r="C47" s="1"/>
      <c r="D47" s="1"/>
      <c r="E47" s="1"/>
      <c r="F47" s="271"/>
      <c r="G47" s="99"/>
      <c r="H47" s="137"/>
      <c r="I47" s="1"/>
      <c r="J47" s="102"/>
      <c r="K47" s="254"/>
      <c r="L47" s="102"/>
      <c r="M47" s="273"/>
      <c r="N47"/>
      <c r="O47"/>
      <c r="P47"/>
      <c r="Q47"/>
      <c r="R47"/>
      <c r="S47"/>
      <c r="T47"/>
      <c r="U47"/>
      <c r="V47"/>
      <c r="W47" s="254"/>
      <c r="X47" s="254"/>
      <c r="Y47"/>
      <c r="Z47"/>
      <c r="AA47"/>
      <c r="AB47" s="254"/>
      <c r="AC47"/>
      <c r="AD47"/>
      <c r="AE47"/>
      <c r="AF47"/>
      <c r="AG47"/>
      <c r="AH47"/>
      <c r="AI47"/>
      <c r="AJ47"/>
      <c r="AK47"/>
      <c r="AL47"/>
      <c r="AM47"/>
    </row>
    <row r="48" spans="1:39" s="134" customFormat="1" x14ac:dyDescent="0.25">
      <c r="A48" s="1"/>
      <c r="B48" s="1"/>
      <c r="C48" s="1"/>
      <c r="D48" s="1"/>
      <c r="E48" s="1"/>
      <c r="F48" s="271"/>
      <c r="G48" s="99"/>
      <c r="H48" s="137"/>
      <c r="I48" s="1"/>
      <c r="J48" s="102"/>
      <c r="K48" s="254"/>
      <c r="L48" s="102"/>
      <c r="M48" s="273"/>
      <c r="N48"/>
      <c r="O48"/>
      <c r="P48"/>
      <c r="Q48"/>
      <c r="R48"/>
      <c r="S48"/>
      <c r="T48"/>
      <c r="U48"/>
      <c r="V48"/>
      <c r="W48" s="254"/>
      <c r="X48" s="254"/>
      <c r="Y48"/>
      <c r="Z48"/>
      <c r="AA48"/>
      <c r="AB48" s="254"/>
      <c r="AC48"/>
      <c r="AD48"/>
      <c r="AE48"/>
      <c r="AF48"/>
      <c r="AG48"/>
      <c r="AH48"/>
      <c r="AI48"/>
      <c r="AJ48"/>
      <c r="AK48"/>
      <c r="AL48"/>
      <c r="AM48"/>
    </row>
    <row r="49" spans="1:66" s="134" customFormat="1" x14ac:dyDescent="0.25">
      <c r="A49" s="1"/>
      <c r="B49" s="1"/>
      <c r="C49" s="1"/>
      <c r="D49" s="1"/>
      <c r="E49" s="1"/>
      <c r="F49" s="271"/>
      <c r="G49" s="99"/>
      <c r="H49" s="137"/>
      <c r="I49" s="1"/>
      <c r="J49" s="102"/>
      <c r="K49" s="254"/>
      <c r="L49" s="102"/>
      <c r="M49" s="273"/>
      <c r="N49"/>
      <c r="O49"/>
      <c r="P49"/>
      <c r="Q49"/>
      <c r="R49"/>
      <c r="S49"/>
      <c r="T49"/>
      <c r="U49"/>
      <c r="V49"/>
      <c r="W49" s="254"/>
      <c r="X49" s="254"/>
      <c r="Y49"/>
      <c r="Z49"/>
      <c r="AA49"/>
      <c r="AB49" s="254"/>
      <c r="AC49"/>
      <c r="AD49"/>
      <c r="AE49"/>
      <c r="AF49"/>
      <c r="AG49"/>
      <c r="AH49"/>
      <c r="AI49"/>
      <c r="AJ49"/>
      <c r="AK49"/>
      <c r="AL49"/>
      <c r="AM49"/>
    </row>
    <row r="50" spans="1:66" s="134" customFormat="1" x14ac:dyDescent="0.25">
      <c r="A50" s="1"/>
      <c r="B50" s="1"/>
      <c r="C50" s="1"/>
      <c r="D50" s="1"/>
      <c r="E50" s="1"/>
      <c r="F50" s="271"/>
      <c r="G50" s="99"/>
      <c r="H50" s="137"/>
      <c r="I50" s="1"/>
      <c r="J50" s="102"/>
      <c r="K50" s="254"/>
      <c r="L50" s="102"/>
      <c r="M50" s="273"/>
      <c r="N50"/>
      <c r="O50"/>
      <c r="P50"/>
      <c r="Q50"/>
      <c r="R50"/>
      <c r="S50"/>
      <c r="T50"/>
      <c r="U50"/>
      <c r="V50"/>
      <c r="W50" s="254"/>
      <c r="X50" s="254"/>
      <c r="Y50"/>
      <c r="Z50"/>
      <c r="AA50"/>
      <c r="AB50" s="254"/>
      <c r="AC50"/>
      <c r="AD50"/>
      <c r="AE50"/>
      <c r="AF50"/>
      <c r="AG50"/>
      <c r="AH50"/>
      <c r="AI50"/>
      <c r="AJ50"/>
      <c r="AK50"/>
      <c r="AL50"/>
      <c r="AM50"/>
    </row>
    <row r="51" spans="1:66" s="134" customFormat="1" x14ac:dyDescent="0.25">
      <c r="A51" s="1"/>
      <c r="B51" s="1"/>
      <c r="C51" s="1"/>
      <c r="D51" s="1"/>
      <c r="E51" s="1"/>
      <c r="F51" s="271"/>
      <c r="G51" s="99"/>
      <c r="H51" s="137"/>
      <c r="I51" s="1"/>
      <c r="J51" s="102"/>
      <c r="K51" s="254"/>
      <c r="L51" s="102"/>
      <c r="M51" s="273"/>
      <c r="N51"/>
      <c r="O51"/>
      <c r="P51"/>
      <c r="Q51"/>
      <c r="R51"/>
      <c r="S51"/>
      <c r="T51"/>
      <c r="U51"/>
      <c r="V51"/>
      <c r="W51" s="254"/>
      <c r="X51" s="254"/>
      <c r="Y51"/>
      <c r="Z51"/>
      <c r="AA51"/>
      <c r="AB51" s="254"/>
      <c r="AC51"/>
      <c r="AD51"/>
      <c r="AE51"/>
      <c r="AF51"/>
      <c r="AG51"/>
      <c r="AH51"/>
      <c r="AI51"/>
      <c r="AJ51"/>
      <c r="AK51"/>
      <c r="AL51"/>
      <c r="AM51"/>
    </row>
    <row r="52" spans="1:66" s="134" customFormat="1" x14ac:dyDescent="0.25">
      <c r="A52" s="1"/>
      <c r="B52" s="1"/>
      <c r="C52" s="1"/>
      <c r="D52" s="1"/>
      <c r="E52" s="1"/>
      <c r="F52" s="271"/>
      <c r="G52" s="99"/>
      <c r="H52" s="137"/>
      <c r="I52" s="1"/>
      <c r="J52" s="102"/>
      <c r="K52" s="254"/>
      <c r="L52" s="102"/>
      <c r="M52" s="273"/>
      <c r="N52"/>
      <c r="O52"/>
      <c r="P52"/>
      <c r="Q52"/>
      <c r="R52"/>
      <c r="S52"/>
      <c r="T52"/>
      <c r="U52"/>
      <c r="V52"/>
      <c r="W52" s="254"/>
      <c r="X52" s="254"/>
      <c r="Y52"/>
      <c r="Z52"/>
      <c r="AA52"/>
      <c r="AB52" s="254"/>
      <c r="AC52"/>
      <c r="AD52"/>
      <c r="AE52"/>
      <c r="AF52"/>
      <c r="AG52"/>
      <c r="AH52"/>
      <c r="AI52"/>
      <c r="AJ52"/>
      <c r="AK52"/>
      <c r="AL52"/>
      <c r="AM52"/>
    </row>
    <row r="53" spans="1:66" s="134" customFormat="1" x14ac:dyDescent="0.25">
      <c r="A53" s="1"/>
      <c r="B53" s="1"/>
      <c r="C53" s="1"/>
      <c r="D53" s="1"/>
      <c r="E53" s="1"/>
      <c r="F53" s="271"/>
      <c r="G53" s="99"/>
      <c r="H53" s="137"/>
      <c r="I53" s="1"/>
      <c r="J53" s="102"/>
      <c r="K53" s="254"/>
      <c r="L53" s="102"/>
      <c r="M53" s="273"/>
      <c r="N53"/>
      <c r="O53"/>
      <c r="P53"/>
      <c r="Q53"/>
      <c r="R53"/>
      <c r="S53"/>
      <c r="T53"/>
      <c r="U53"/>
      <c r="V53"/>
      <c r="W53" s="254"/>
      <c r="X53" s="254"/>
      <c r="Y53"/>
      <c r="Z53"/>
      <c r="AA53"/>
      <c r="AB53" s="254"/>
      <c r="AC53"/>
      <c r="AD53"/>
      <c r="AE53"/>
      <c r="AF53"/>
      <c r="AG53"/>
      <c r="AH53"/>
      <c r="AI53"/>
      <c r="AJ53"/>
      <c r="AK53"/>
      <c r="AL53"/>
      <c r="AM53"/>
    </row>
    <row r="54" spans="1:66" s="134" customFormat="1" x14ac:dyDescent="0.25">
      <c r="A54" s="1"/>
      <c r="B54" s="1"/>
      <c r="C54" s="1"/>
      <c r="D54" s="1"/>
      <c r="E54" s="1"/>
      <c r="F54" s="271"/>
      <c r="G54" s="99"/>
      <c r="H54" s="137"/>
      <c r="I54" s="1"/>
      <c r="J54" s="102"/>
      <c r="K54" s="254"/>
      <c r="L54" s="102"/>
      <c r="M54" s="273"/>
      <c r="N54"/>
      <c r="O54"/>
      <c r="P54"/>
      <c r="Q54"/>
      <c r="R54"/>
      <c r="S54"/>
      <c r="T54"/>
      <c r="U54"/>
      <c r="V54"/>
      <c r="W54" s="254"/>
      <c r="X54" s="254"/>
      <c r="Y54"/>
      <c r="Z54"/>
      <c r="AA54"/>
      <c r="AB54" s="254"/>
      <c r="AC54"/>
      <c r="AD54"/>
      <c r="AE54"/>
      <c r="AF54"/>
      <c r="AG54"/>
      <c r="AH54"/>
      <c r="AI54"/>
      <c r="AJ54"/>
      <c r="AK54"/>
      <c r="AL54"/>
      <c r="AM54"/>
    </row>
    <row r="55" spans="1:66" s="134" customFormat="1" x14ac:dyDescent="0.25">
      <c r="A55" s="1"/>
      <c r="B55" s="1"/>
      <c r="C55" s="1"/>
      <c r="D55" s="1"/>
      <c r="E55" s="1"/>
      <c r="F55" s="271"/>
      <c r="G55" s="99"/>
      <c r="H55" s="137"/>
      <c r="I55" s="1"/>
      <c r="J55" s="102"/>
      <c r="K55" s="254"/>
      <c r="L55" s="102"/>
      <c r="M55" s="273"/>
      <c r="N55"/>
      <c r="O55"/>
      <c r="P55"/>
      <c r="Q55"/>
      <c r="R55"/>
      <c r="S55"/>
      <c r="T55"/>
      <c r="U55"/>
      <c r="V55"/>
      <c r="W55" s="254"/>
      <c r="X55" s="254"/>
      <c r="Y55"/>
      <c r="Z55"/>
      <c r="AA55"/>
      <c r="AB55" s="254"/>
      <c r="AC55"/>
      <c r="AD55"/>
      <c r="AE55"/>
      <c r="AF55"/>
      <c r="AG55"/>
      <c r="AH55"/>
      <c r="AI55"/>
      <c r="AJ55"/>
      <c r="AK55"/>
      <c r="AL55"/>
      <c r="AM55"/>
    </row>
    <row r="56" spans="1:66" s="134" customFormat="1" x14ac:dyDescent="0.25">
      <c r="A56" s="1"/>
      <c r="B56" s="1"/>
      <c r="C56" s="1"/>
      <c r="D56" s="1"/>
      <c r="E56" s="1"/>
      <c r="F56" s="271"/>
      <c r="G56" s="99"/>
      <c r="H56" s="137"/>
      <c r="I56" s="1"/>
      <c r="J56" s="102"/>
      <c r="K56" s="254"/>
      <c r="L56" s="102"/>
      <c r="M56" s="273"/>
      <c r="N56"/>
      <c r="O56"/>
      <c r="P56"/>
      <c r="Q56"/>
      <c r="R56"/>
      <c r="S56"/>
      <c r="T56"/>
      <c r="U56"/>
      <c r="V56"/>
      <c r="W56" s="254"/>
      <c r="X56" s="254"/>
      <c r="Y56"/>
      <c r="Z56"/>
      <c r="AA56"/>
      <c r="AB56" s="254"/>
      <c r="AC56"/>
      <c r="AD56"/>
      <c r="AE56"/>
      <c r="AF56"/>
      <c r="AG56"/>
      <c r="AH56"/>
      <c r="AI56"/>
      <c r="AJ56"/>
      <c r="AK56"/>
      <c r="AL56"/>
      <c r="AM56"/>
      <c r="BN56" s="228"/>
    </row>
    <row r="57" spans="1:66" s="134" customFormat="1" x14ac:dyDescent="0.25">
      <c r="A57" s="1"/>
      <c r="B57" s="1"/>
      <c r="C57" s="1"/>
      <c r="D57" s="1"/>
      <c r="E57" s="1"/>
      <c r="F57" s="271"/>
      <c r="G57" s="99"/>
      <c r="H57" s="137"/>
      <c r="I57" s="1"/>
      <c r="J57" s="102"/>
      <c r="K57" s="254"/>
      <c r="L57" s="102"/>
      <c r="M57" s="273"/>
      <c r="N57"/>
      <c r="O57"/>
      <c r="P57"/>
      <c r="Q57"/>
      <c r="R57"/>
      <c r="S57"/>
      <c r="T57"/>
      <c r="U57"/>
      <c r="V57"/>
      <c r="W57" s="254"/>
      <c r="X57" s="254"/>
      <c r="Y57"/>
      <c r="Z57"/>
      <c r="AA57"/>
      <c r="AB57" s="254"/>
      <c r="AC57"/>
      <c r="AD57"/>
      <c r="AE57"/>
      <c r="AF57"/>
      <c r="AG57"/>
      <c r="AH57"/>
      <c r="AI57"/>
      <c r="AJ57"/>
      <c r="AK57"/>
      <c r="AL57"/>
      <c r="AM57"/>
      <c r="BN57" s="228"/>
    </row>
    <row r="58" spans="1:66" s="228" customFormat="1" x14ac:dyDescent="0.25">
      <c r="A58" s="1"/>
      <c r="B58" s="1"/>
      <c r="C58" s="1"/>
      <c r="D58" s="1"/>
      <c r="E58" s="1"/>
      <c r="F58" s="271"/>
      <c r="G58" s="99"/>
      <c r="H58" s="137"/>
      <c r="I58" s="1"/>
      <c r="J58" s="102"/>
      <c r="K58" s="254"/>
      <c r="L58" s="102"/>
      <c r="M58" s="273"/>
      <c r="N58"/>
      <c r="O58"/>
      <c r="P58"/>
      <c r="Q58"/>
      <c r="R58"/>
      <c r="S58"/>
      <c r="T58"/>
      <c r="U58"/>
      <c r="V58"/>
      <c r="W58" s="254"/>
      <c r="X58" s="254"/>
      <c r="Y58"/>
      <c r="Z58"/>
      <c r="AA58"/>
      <c r="AB58" s="254"/>
      <c r="AC58"/>
      <c r="AD58"/>
      <c r="AE58"/>
      <c r="AF58"/>
      <c r="AG58"/>
      <c r="AH58"/>
      <c r="AI58"/>
      <c r="AJ58"/>
      <c r="AK58"/>
      <c r="AL58"/>
      <c r="AM58"/>
      <c r="AY58" s="134"/>
      <c r="AZ58" s="134"/>
      <c r="BA58" s="134"/>
    </row>
    <row r="59" spans="1:66" s="228" customFormat="1" x14ac:dyDescent="0.25">
      <c r="A59" s="1"/>
      <c r="B59" s="1"/>
      <c r="C59" s="1"/>
      <c r="D59" s="1"/>
      <c r="E59" s="1"/>
      <c r="F59" s="271"/>
      <c r="G59" s="99"/>
      <c r="H59" s="137"/>
      <c r="I59" s="1"/>
      <c r="J59" s="102"/>
      <c r="K59" s="254"/>
      <c r="L59" s="102"/>
      <c r="M59" s="273"/>
      <c r="N59"/>
      <c r="O59"/>
      <c r="P59"/>
      <c r="Q59"/>
      <c r="R59"/>
      <c r="S59"/>
      <c r="T59"/>
      <c r="U59"/>
      <c r="V59"/>
      <c r="W59" s="254"/>
      <c r="X59" s="254"/>
      <c r="Y59"/>
      <c r="Z59"/>
      <c r="AA59"/>
      <c r="AB59" s="254"/>
      <c r="AC59"/>
      <c r="AD59"/>
      <c r="AE59"/>
      <c r="AF59"/>
      <c r="AG59"/>
      <c r="AH59"/>
      <c r="AI59"/>
      <c r="AJ59"/>
      <c r="AK59"/>
      <c r="AL59"/>
      <c r="AM59"/>
      <c r="AY59" s="134"/>
      <c r="AZ59" s="134"/>
      <c r="BA59" s="134"/>
    </row>
    <row r="60" spans="1:66" s="228" customFormat="1" x14ac:dyDescent="0.25">
      <c r="A60" s="1"/>
      <c r="B60" s="1"/>
      <c r="C60" s="1"/>
      <c r="D60" s="1"/>
      <c r="E60" s="1"/>
      <c r="F60" s="271"/>
      <c r="G60" s="99"/>
      <c r="H60" s="137"/>
      <c r="I60" s="1"/>
      <c r="J60" s="102"/>
      <c r="K60" s="254"/>
      <c r="L60" s="102"/>
      <c r="M60" s="273"/>
      <c r="N60"/>
      <c r="O60"/>
      <c r="P60"/>
      <c r="Q60"/>
      <c r="R60"/>
      <c r="S60"/>
      <c r="T60"/>
      <c r="U60"/>
      <c r="V60"/>
      <c r="W60" s="254"/>
      <c r="X60" s="254"/>
      <c r="Y60"/>
      <c r="Z60"/>
      <c r="AA60"/>
      <c r="AB60" s="254"/>
      <c r="AC60"/>
      <c r="AD60"/>
      <c r="AE60"/>
      <c r="AF60"/>
      <c r="AG60"/>
      <c r="AH60"/>
      <c r="AI60"/>
      <c r="AJ60"/>
      <c r="AK60"/>
      <c r="AL60"/>
      <c r="AM60"/>
      <c r="AY60" s="134"/>
      <c r="AZ60" s="134"/>
      <c r="BA60" s="134"/>
      <c r="BN60" s="134"/>
    </row>
    <row r="61" spans="1:66" s="228" customFormat="1" x14ac:dyDescent="0.25">
      <c r="A61" s="1"/>
      <c r="B61" s="1"/>
      <c r="C61" s="1"/>
      <c r="D61" s="1"/>
      <c r="E61" s="1"/>
      <c r="F61" s="271"/>
      <c r="G61" s="99"/>
      <c r="H61" s="137"/>
      <c r="I61" s="1"/>
      <c r="J61" s="102"/>
      <c r="K61" s="254"/>
      <c r="L61" s="102"/>
      <c r="M61" s="273"/>
      <c r="N61"/>
      <c r="O61"/>
      <c r="P61"/>
      <c r="Q61"/>
      <c r="R61"/>
      <c r="S61"/>
      <c r="T61"/>
      <c r="U61"/>
      <c r="V61"/>
      <c r="W61" s="254"/>
      <c r="X61" s="254"/>
      <c r="Y61"/>
      <c r="Z61"/>
      <c r="AA61"/>
      <c r="AB61" s="254"/>
      <c r="AC61"/>
      <c r="AD61"/>
      <c r="AE61"/>
      <c r="AF61"/>
      <c r="AG61"/>
      <c r="AH61"/>
      <c r="AI61"/>
      <c r="AJ61"/>
      <c r="AK61"/>
      <c r="AL61"/>
      <c r="AM61"/>
      <c r="AY61" s="134"/>
      <c r="AZ61" s="134"/>
      <c r="BA61" s="134"/>
      <c r="BN61" s="134"/>
    </row>
    <row r="62" spans="1:66" s="134" customFormat="1" x14ac:dyDescent="0.25">
      <c r="A62" s="1"/>
      <c r="B62" s="1"/>
      <c r="C62" s="1"/>
      <c r="D62" s="1"/>
      <c r="E62" s="1"/>
      <c r="F62" s="271"/>
      <c r="G62" s="99"/>
      <c r="H62" s="137"/>
      <c r="I62" s="1"/>
      <c r="J62" s="102"/>
      <c r="K62" s="254"/>
      <c r="L62" s="102"/>
      <c r="M62" s="273"/>
      <c r="N62"/>
      <c r="O62"/>
      <c r="P62"/>
      <c r="Q62"/>
      <c r="R62"/>
      <c r="S62"/>
      <c r="T62"/>
      <c r="U62"/>
      <c r="V62"/>
      <c r="W62" s="254"/>
      <c r="X62" s="254"/>
      <c r="Y62"/>
      <c r="Z62"/>
      <c r="AA62"/>
      <c r="AB62" s="254"/>
      <c r="AC62"/>
      <c r="AD62"/>
      <c r="AE62"/>
      <c r="AF62"/>
      <c r="AG62"/>
      <c r="AH62"/>
      <c r="AI62"/>
      <c r="AJ62"/>
      <c r="AK62"/>
      <c r="AL62"/>
      <c r="AM62"/>
    </row>
    <row r="63" spans="1:66" s="134" customFormat="1" x14ac:dyDescent="0.25">
      <c r="A63" s="1"/>
      <c r="B63" s="1"/>
      <c r="C63" s="1"/>
      <c r="D63" s="1"/>
      <c r="E63" s="1"/>
      <c r="F63" s="271"/>
      <c r="G63" s="99"/>
      <c r="H63" s="137"/>
      <c r="I63" s="1"/>
      <c r="J63" s="102"/>
      <c r="K63" s="254"/>
      <c r="L63" s="102"/>
      <c r="M63" s="273"/>
      <c r="N63"/>
      <c r="O63"/>
      <c r="P63"/>
      <c r="Q63"/>
      <c r="R63"/>
      <c r="S63"/>
      <c r="T63"/>
      <c r="U63"/>
      <c r="V63"/>
      <c r="W63" s="254"/>
      <c r="X63" s="254"/>
      <c r="Y63"/>
      <c r="Z63"/>
      <c r="AA63"/>
      <c r="AB63" s="254"/>
      <c r="AC63"/>
      <c r="AD63"/>
      <c r="AE63"/>
      <c r="AF63"/>
      <c r="AG63"/>
      <c r="AH63"/>
      <c r="AI63"/>
      <c r="AJ63"/>
      <c r="AK63"/>
      <c r="AL63"/>
      <c r="AM63"/>
    </row>
    <row r="64" spans="1:66" s="134" customFormat="1" x14ac:dyDescent="0.25">
      <c r="A64" s="1"/>
      <c r="B64" s="1"/>
      <c r="C64" s="1"/>
      <c r="D64" s="1"/>
      <c r="E64" s="1"/>
      <c r="F64" s="271"/>
      <c r="G64" s="99"/>
      <c r="H64" s="137"/>
      <c r="I64" s="1"/>
      <c r="J64" s="102"/>
      <c r="K64" s="254"/>
      <c r="L64" s="102"/>
      <c r="M64" s="273"/>
      <c r="N64"/>
      <c r="O64"/>
      <c r="P64"/>
      <c r="Q64"/>
      <c r="R64"/>
      <c r="S64"/>
      <c r="T64"/>
      <c r="U64"/>
      <c r="V64"/>
      <c r="W64" s="254"/>
      <c r="X64" s="254"/>
      <c r="Y64"/>
      <c r="Z64"/>
      <c r="AA64"/>
      <c r="AB64" s="254"/>
      <c r="AC64"/>
      <c r="AD64"/>
      <c r="AE64"/>
      <c r="AF64"/>
      <c r="AG64"/>
      <c r="AH64"/>
      <c r="AI64"/>
      <c r="AJ64"/>
      <c r="AK64"/>
      <c r="AL64"/>
      <c r="AM64"/>
    </row>
    <row r="65" spans="1:39" s="134" customFormat="1" x14ac:dyDescent="0.25">
      <c r="A65" s="1"/>
      <c r="B65" s="1"/>
      <c r="C65" s="1"/>
      <c r="D65" s="1"/>
      <c r="E65" s="1"/>
      <c r="F65" s="271"/>
      <c r="G65" s="99"/>
      <c r="H65" s="137"/>
      <c r="I65" s="1"/>
      <c r="J65" s="102"/>
      <c r="K65" s="254"/>
      <c r="L65" s="102"/>
      <c r="M65" s="273"/>
      <c r="N65"/>
      <c r="O65"/>
      <c r="P65"/>
      <c r="Q65"/>
      <c r="R65"/>
      <c r="S65"/>
      <c r="T65"/>
      <c r="U65"/>
      <c r="V65"/>
      <c r="W65" s="254"/>
      <c r="X65" s="254"/>
      <c r="Y65"/>
      <c r="Z65"/>
      <c r="AA65"/>
      <c r="AB65" s="254"/>
      <c r="AC65"/>
      <c r="AD65"/>
      <c r="AE65"/>
      <c r="AF65"/>
      <c r="AG65"/>
      <c r="AH65"/>
      <c r="AI65"/>
      <c r="AJ65"/>
      <c r="AK65"/>
      <c r="AL65"/>
      <c r="AM65"/>
    </row>
    <row r="66" spans="1:39" s="134" customFormat="1" x14ac:dyDescent="0.25">
      <c r="A66" s="1"/>
      <c r="B66" s="1"/>
      <c r="C66" s="1"/>
      <c r="D66" s="1"/>
      <c r="E66" s="1"/>
      <c r="F66" s="271"/>
      <c r="G66" s="99"/>
      <c r="H66" s="137"/>
      <c r="I66" s="1"/>
      <c r="J66" s="102"/>
      <c r="K66" s="254"/>
      <c r="L66" s="102"/>
      <c r="M66" s="273"/>
      <c r="N66"/>
      <c r="O66"/>
      <c r="P66"/>
      <c r="Q66"/>
      <c r="R66"/>
      <c r="S66"/>
      <c r="T66"/>
      <c r="U66"/>
      <c r="V66"/>
      <c r="W66" s="254"/>
      <c r="X66" s="254"/>
      <c r="Y66"/>
      <c r="Z66"/>
      <c r="AA66"/>
      <c r="AB66" s="254"/>
      <c r="AC66"/>
      <c r="AD66"/>
      <c r="AE66"/>
      <c r="AF66"/>
      <c r="AG66"/>
      <c r="AH66"/>
      <c r="AI66"/>
      <c r="AJ66"/>
      <c r="AK66"/>
      <c r="AL66"/>
      <c r="AM66"/>
    </row>
    <row r="67" spans="1:39" s="134" customFormat="1" x14ac:dyDescent="0.25">
      <c r="A67" s="1"/>
      <c r="B67" s="1"/>
      <c r="C67" s="1"/>
      <c r="D67" s="1"/>
      <c r="E67" s="1"/>
      <c r="F67" s="271"/>
      <c r="G67" s="99"/>
      <c r="H67" s="137"/>
      <c r="I67" s="1"/>
      <c r="J67" s="102"/>
      <c r="K67" s="254"/>
      <c r="L67" s="102"/>
      <c r="M67" s="273"/>
      <c r="N67"/>
      <c r="O67"/>
      <c r="P67"/>
      <c r="Q67"/>
      <c r="R67"/>
      <c r="S67"/>
      <c r="T67"/>
      <c r="U67"/>
      <c r="V67"/>
      <c r="W67" s="254"/>
      <c r="X67" s="254"/>
      <c r="Y67"/>
      <c r="Z67"/>
      <c r="AA67"/>
      <c r="AB67" s="254"/>
      <c r="AC67"/>
      <c r="AD67"/>
      <c r="AE67"/>
      <c r="AF67"/>
      <c r="AG67"/>
      <c r="AH67"/>
      <c r="AI67"/>
      <c r="AJ67"/>
      <c r="AK67"/>
      <c r="AL67"/>
      <c r="AM67"/>
    </row>
    <row r="68" spans="1:39" s="134" customFormat="1" x14ac:dyDescent="0.25">
      <c r="A68" s="1"/>
      <c r="B68" s="1"/>
      <c r="C68" s="1"/>
      <c r="D68" s="1"/>
      <c r="E68" s="1"/>
      <c r="F68" s="271"/>
      <c r="G68" s="99"/>
      <c r="H68" s="137"/>
      <c r="I68" s="1"/>
      <c r="J68" s="102"/>
      <c r="K68" s="254"/>
      <c r="L68" s="102"/>
      <c r="M68" s="273"/>
      <c r="N68"/>
      <c r="O68"/>
      <c r="P68"/>
      <c r="Q68"/>
      <c r="R68"/>
      <c r="S68"/>
      <c r="T68"/>
      <c r="U68"/>
      <c r="V68"/>
      <c r="W68" s="254"/>
      <c r="X68" s="254"/>
      <c r="Y68"/>
      <c r="Z68"/>
      <c r="AA68"/>
      <c r="AB68" s="254"/>
      <c r="AC68"/>
      <c r="AD68"/>
      <c r="AE68"/>
      <c r="AF68"/>
      <c r="AG68"/>
      <c r="AH68"/>
      <c r="AI68"/>
      <c r="AJ68"/>
      <c r="AK68"/>
      <c r="AL68"/>
      <c r="AM68"/>
    </row>
    <row r="69" spans="1:39" s="134" customFormat="1" ht="15.75" customHeight="1" x14ac:dyDescent="0.25">
      <c r="A69" s="1"/>
      <c r="B69" s="1"/>
      <c r="C69" s="1"/>
      <c r="D69" s="1"/>
      <c r="E69" s="1"/>
      <c r="F69" s="271"/>
      <c r="G69" s="99"/>
      <c r="H69" s="137"/>
      <c r="I69" s="1"/>
      <c r="J69" s="102"/>
      <c r="K69" s="254"/>
      <c r="L69" s="102"/>
      <c r="M69" s="273"/>
      <c r="N69"/>
      <c r="O69"/>
      <c r="P69"/>
      <c r="Q69"/>
      <c r="R69"/>
      <c r="S69"/>
      <c r="T69"/>
      <c r="U69"/>
      <c r="V69"/>
      <c r="W69" s="254"/>
      <c r="X69" s="254"/>
      <c r="Y69"/>
      <c r="Z69"/>
      <c r="AA69"/>
      <c r="AB69" s="254"/>
      <c r="AC69"/>
      <c r="AD69"/>
      <c r="AE69"/>
      <c r="AF69"/>
      <c r="AG69"/>
      <c r="AH69"/>
      <c r="AI69"/>
      <c r="AJ69"/>
      <c r="AK69"/>
      <c r="AL69"/>
      <c r="AM69"/>
    </row>
    <row r="70" spans="1:39" s="134" customFormat="1" ht="15.75" customHeight="1" x14ac:dyDescent="0.25">
      <c r="A70" s="1"/>
      <c r="B70" s="1"/>
      <c r="C70" s="1"/>
      <c r="D70" s="1"/>
      <c r="E70" s="1"/>
      <c r="F70" s="271"/>
      <c r="G70" s="99"/>
      <c r="H70" s="137"/>
      <c r="I70" s="1"/>
      <c r="J70" s="102"/>
      <c r="K70" s="254"/>
      <c r="L70" s="102"/>
      <c r="M70" s="273"/>
      <c r="N70"/>
      <c r="O70"/>
      <c r="P70"/>
      <c r="Q70"/>
      <c r="R70"/>
      <c r="S70"/>
      <c r="T70"/>
      <c r="U70"/>
      <c r="V70"/>
      <c r="W70" s="254"/>
      <c r="X70" s="254"/>
      <c r="Y70"/>
      <c r="Z70"/>
      <c r="AA70"/>
      <c r="AB70" s="254"/>
      <c r="AC70"/>
      <c r="AD70"/>
      <c r="AE70"/>
      <c r="AF70"/>
      <c r="AG70"/>
      <c r="AH70"/>
      <c r="AI70"/>
      <c r="AJ70"/>
      <c r="AK70"/>
      <c r="AL70"/>
      <c r="AM70"/>
    </row>
    <row r="71" spans="1:39" s="134" customFormat="1" ht="15.75" customHeight="1" x14ac:dyDescent="0.25">
      <c r="A71" s="1"/>
      <c r="B71" s="1"/>
      <c r="C71" s="1"/>
      <c r="D71" s="1"/>
      <c r="E71" s="1"/>
      <c r="F71" s="271"/>
      <c r="G71" s="99"/>
      <c r="H71" s="137"/>
      <c r="I71" s="1"/>
      <c r="J71" s="102"/>
      <c r="K71" s="254"/>
      <c r="L71" s="102"/>
      <c r="M71" s="273"/>
      <c r="N71"/>
      <c r="O71"/>
      <c r="P71"/>
      <c r="Q71"/>
      <c r="R71"/>
      <c r="S71"/>
      <c r="T71"/>
      <c r="U71"/>
      <c r="V71"/>
      <c r="W71" s="254"/>
      <c r="X71" s="254"/>
      <c r="Y71"/>
      <c r="Z71"/>
      <c r="AA71"/>
      <c r="AB71" s="254"/>
      <c r="AC71"/>
      <c r="AD71"/>
      <c r="AE71"/>
      <c r="AF71"/>
      <c r="AG71"/>
      <c r="AH71"/>
      <c r="AI71"/>
      <c r="AJ71"/>
      <c r="AK71"/>
      <c r="AL71"/>
      <c r="AM71"/>
    </row>
    <row r="72" spans="1:39" s="134" customFormat="1" x14ac:dyDescent="0.25">
      <c r="A72" s="1"/>
      <c r="B72" s="1"/>
      <c r="C72" s="1"/>
      <c r="D72" s="1"/>
      <c r="E72" s="1"/>
      <c r="F72" s="271"/>
      <c r="G72" s="99"/>
      <c r="H72" s="137"/>
      <c r="I72" s="1"/>
      <c r="J72" s="102"/>
      <c r="K72" s="254"/>
      <c r="L72" s="102"/>
      <c r="M72" s="273"/>
      <c r="N72"/>
      <c r="O72"/>
      <c r="P72"/>
      <c r="Q72"/>
      <c r="R72"/>
      <c r="S72"/>
      <c r="T72"/>
      <c r="U72"/>
      <c r="V72"/>
      <c r="W72" s="254"/>
      <c r="X72" s="254"/>
      <c r="Y72"/>
      <c r="Z72"/>
      <c r="AA72"/>
      <c r="AB72" s="254"/>
      <c r="AC72"/>
      <c r="AD72"/>
      <c r="AE72"/>
      <c r="AF72"/>
      <c r="AG72"/>
      <c r="AH72"/>
      <c r="AI72"/>
      <c r="AJ72"/>
      <c r="AK72"/>
      <c r="AL72"/>
      <c r="AM72"/>
    </row>
    <row r="73" spans="1:39" s="134" customFormat="1" x14ac:dyDescent="0.25">
      <c r="A73" s="1"/>
      <c r="B73" s="1"/>
      <c r="C73" s="1"/>
      <c r="D73" s="1"/>
      <c r="E73" s="1"/>
      <c r="F73" s="271"/>
      <c r="G73" s="99"/>
      <c r="H73" s="137"/>
      <c r="I73" s="1"/>
      <c r="J73" s="102"/>
      <c r="K73" s="254"/>
      <c r="L73" s="102"/>
      <c r="M73" s="273"/>
      <c r="N73"/>
      <c r="O73"/>
      <c r="P73"/>
      <c r="Q73"/>
      <c r="R73"/>
      <c r="S73"/>
      <c r="T73"/>
      <c r="U73"/>
      <c r="V73"/>
      <c r="W73" s="254"/>
      <c r="X73" s="254"/>
      <c r="Y73"/>
      <c r="Z73"/>
      <c r="AA73"/>
      <c r="AB73" s="254"/>
      <c r="AC73"/>
      <c r="AD73"/>
      <c r="AE73"/>
      <c r="AF73"/>
      <c r="AG73"/>
      <c r="AH73"/>
      <c r="AI73"/>
      <c r="AJ73"/>
      <c r="AK73"/>
      <c r="AL73"/>
      <c r="AM73"/>
    </row>
    <row r="74" spans="1:39" s="134" customFormat="1" x14ac:dyDescent="0.25">
      <c r="A74" s="1"/>
      <c r="B74" s="1"/>
      <c r="C74" s="1"/>
      <c r="D74" s="1"/>
      <c r="E74" s="1"/>
      <c r="F74" s="271"/>
      <c r="G74" s="99"/>
      <c r="H74" s="137"/>
      <c r="I74" s="1"/>
      <c r="J74" s="102"/>
      <c r="K74" s="254"/>
      <c r="L74" s="102"/>
      <c r="M74" s="273"/>
      <c r="N74"/>
      <c r="O74"/>
      <c r="P74"/>
      <c r="Q74"/>
      <c r="R74"/>
      <c r="S74"/>
      <c r="T74"/>
      <c r="U74"/>
      <c r="V74"/>
      <c r="W74" s="254"/>
      <c r="X74" s="254"/>
      <c r="Y74"/>
      <c r="Z74"/>
      <c r="AA74"/>
      <c r="AB74" s="254"/>
      <c r="AC74"/>
      <c r="AD74"/>
      <c r="AE74"/>
      <c r="AF74"/>
      <c r="AG74"/>
      <c r="AH74"/>
      <c r="AI74"/>
      <c r="AJ74"/>
      <c r="AK74"/>
      <c r="AL74"/>
      <c r="AM74"/>
    </row>
    <row r="75" spans="1:39" s="134" customFormat="1" x14ac:dyDescent="0.25">
      <c r="A75" s="1"/>
      <c r="B75" s="1"/>
      <c r="C75" s="1"/>
      <c r="D75" s="1"/>
      <c r="E75" s="1"/>
      <c r="F75" s="271"/>
      <c r="G75" s="99"/>
      <c r="H75" s="137"/>
      <c r="I75" s="1"/>
      <c r="J75" s="102"/>
      <c r="K75" s="254"/>
      <c r="L75" s="102"/>
      <c r="M75" s="273"/>
      <c r="N75"/>
      <c r="O75"/>
      <c r="P75"/>
      <c r="Q75"/>
      <c r="R75"/>
      <c r="S75"/>
      <c r="T75"/>
      <c r="U75"/>
      <c r="V75"/>
      <c r="W75" s="254"/>
      <c r="X75" s="254"/>
      <c r="Y75"/>
      <c r="Z75"/>
      <c r="AA75"/>
      <c r="AB75" s="254"/>
      <c r="AC75"/>
      <c r="AD75"/>
      <c r="AE75"/>
      <c r="AF75"/>
      <c r="AG75"/>
      <c r="AH75"/>
      <c r="AI75"/>
      <c r="AJ75"/>
      <c r="AK75"/>
      <c r="AL75"/>
      <c r="AM75"/>
    </row>
    <row r="76" spans="1:39" s="134" customFormat="1" x14ac:dyDescent="0.25">
      <c r="A76" s="1"/>
      <c r="B76" s="1"/>
      <c r="C76" s="1"/>
      <c r="D76" s="1"/>
      <c r="E76" s="1"/>
      <c r="F76" s="271"/>
      <c r="G76" s="99"/>
      <c r="H76" s="137"/>
      <c r="I76" s="1"/>
      <c r="J76" s="102"/>
      <c r="K76" s="254"/>
      <c r="L76" s="102"/>
      <c r="M76" s="273"/>
      <c r="N76"/>
      <c r="O76"/>
      <c r="P76"/>
      <c r="Q76"/>
      <c r="R76"/>
      <c r="S76"/>
      <c r="T76"/>
      <c r="U76"/>
      <c r="V76"/>
      <c r="W76" s="254"/>
      <c r="X76" s="254"/>
      <c r="Y76"/>
      <c r="Z76"/>
      <c r="AA76"/>
      <c r="AB76" s="254"/>
      <c r="AC76"/>
      <c r="AD76"/>
      <c r="AE76"/>
      <c r="AF76"/>
      <c r="AG76"/>
      <c r="AH76"/>
      <c r="AI76"/>
      <c r="AJ76"/>
      <c r="AK76"/>
      <c r="AL76"/>
      <c r="AM76"/>
    </row>
    <row r="77" spans="1:39" s="134" customFormat="1" x14ac:dyDescent="0.25">
      <c r="A77" s="1"/>
      <c r="B77" s="1"/>
      <c r="C77" s="1"/>
      <c r="D77" s="1"/>
      <c r="E77" s="1"/>
      <c r="F77" s="271"/>
      <c r="G77" s="99"/>
      <c r="H77" s="137"/>
      <c r="I77" s="1"/>
      <c r="J77" s="102"/>
      <c r="K77" s="254"/>
      <c r="L77" s="102"/>
      <c r="M77" s="273"/>
      <c r="N77"/>
      <c r="O77"/>
      <c r="P77"/>
      <c r="Q77"/>
      <c r="R77"/>
      <c r="S77"/>
      <c r="T77"/>
      <c r="U77"/>
      <c r="V77"/>
      <c r="W77" s="254"/>
      <c r="X77" s="254"/>
      <c r="Y77"/>
      <c r="Z77"/>
      <c r="AA77"/>
      <c r="AB77" s="254"/>
      <c r="AC77"/>
      <c r="AD77"/>
      <c r="AE77"/>
      <c r="AF77"/>
      <c r="AG77"/>
      <c r="AH77"/>
      <c r="AI77"/>
      <c r="AJ77"/>
      <c r="AK77"/>
      <c r="AL77"/>
      <c r="AM77"/>
    </row>
    <row r="78" spans="1:39" s="134" customFormat="1" x14ac:dyDescent="0.25">
      <c r="A78" s="1"/>
      <c r="B78" s="1"/>
      <c r="C78" s="1"/>
      <c r="D78" s="1"/>
      <c r="E78" s="1"/>
      <c r="F78" s="271"/>
      <c r="G78" s="99"/>
      <c r="H78" s="137"/>
      <c r="I78" s="1"/>
      <c r="J78" s="102"/>
      <c r="K78" s="254"/>
      <c r="L78" s="102"/>
      <c r="M78" s="273"/>
      <c r="N78"/>
      <c r="O78"/>
      <c r="P78"/>
      <c r="Q78"/>
      <c r="R78"/>
      <c r="S78"/>
      <c r="T78"/>
      <c r="U78"/>
      <c r="V78"/>
      <c r="W78" s="254"/>
      <c r="X78" s="254"/>
      <c r="Y78"/>
      <c r="Z78"/>
      <c r="AA78"/>
      <c r="AB78" s="254"/>
      <c r="AC78"/>
      <c r="AD78"/>
      <c r="AE78"/>
      <c r="AF78"/>
      <c r="AG78"/>
      <c r="AH78"/>
      <c r="AI78"/>
      <c r="AJ78"/>
      <c r="AK78"/>
      <c r="AL78"/>
      <c r="AM78"/>
    </row>
    <row r="79" spans="1:39" s="134" customFormat="1" x14ac:dyDescent="0.25">
      <c r="A79" s="1"/>
      <c r="B79" s="1"/>
      <c r="C79" s="1"/>
      <c r="D79" s="1"/>
      <c r="E79" s="1"/>
      <c r="F79" s="271"/>
      <c r="G79" s="99"/>
      <c r="H79" s="137"/>
      <c r="I79" s="1"/>
      <c r="J79" s="102"/>
      <c r="K79" s="254"/>
      <c r="L79" s="102"/>
      <c r="M79" s="273"/>
      <c r="N79"/>
      <c r="O79"/>
      <c r="P79"/>
      <c r="Q79"/>
      <c r="R79"/>
      <c r="S79"/>
      <c r="T79"/>
      <c r="U79"/>
      <c r="V79"/>
      <c r="W79" s="254"/>
      <c r="X79" s="254"/>
      <c r="Y79"/>
      <c r="Z79"/>
      <c r="AA79"/>
      <c r="AB79" s="254"/>
      <c r="AC79"/>
      <c r="AD79"/>
      <c r="AE79"/>
      <c r="AF79"/>
      <c r="AG79"/>
      <c r="AH79"/>
      <c r="AI79"/>
      <c r="AJ79"/>
      <c r="AK79"/>
      <c r="AL79"/>
      <c r="AM79"/>
    </row>
    <row r="80" spans="1:39" s="134" customFormat="1" x14ac:dyDescent="0.25">
      <c r="A80" s="1"/>
      <c r="B80" s="1"/>
      <c r="C80" s="1"/>
      <c r="D80" s="1"/>
      <c r="E80" s="1"/>
      <c r="F80" s="271"/>
      <c r="G80" s="99"/>
      <c r="H80" s="137"/>
      <c r="I80" s="1"/>
      <c r="J80" s="102"/>
      <c r="K80" s="254"/>
      <c r="L80" s="102"/>
      <c r="M80" s="273"/>
      <c r="N80"/>
      <c r="O80"/>
      <c r="P80"/>
      <c r="Q80"/>
      <c r="R80"/>
      <c r="S80"/>
      <c r="T80"/>
      <c r="U80"/>
      <c r="V80"/>
      <c r="W80" s="254"/>
      <c r="X80" s="254"/>
      <c r="Y80"/>
      <c r="Z80"/>
      <c r="AA80"/>
      <c r="AB80" s="254"/>
      <c r="AC80"/>
      <c r="AD80"/>
      <c r="AE80"/>
      <c r="AF80"/>
      <c r="AG80"/>
      <c r="AH80"/>
      <c r="AI80"/>
      <c r="AJ80"/>
      <c r="AK80"/>
      <c r="AL80"/>
      <c r="AM80"/>
    </row>
    <row r="81" spans="1:39" s="134" customFormat="1" x14ac:dyDescent="0.25">
      <c r="A81" s="1"/>
      <c r="B81" s="1"/>
      <c r="C81" s="1"/>
      <c r="D81" s="1"/>
      <c r="E81" s="1"/>
      <c r="F81" s="271"/>
      <c r="G81" s="99"/>
      <c r="H81" s="137"/>
      <c r="I81" s="1"/>
      <c r="J81" s="102"/>
      <c r="K81" s="254"/>
      <c r="L81" s="102"/>
      <c r="M81" s="273"/>
      <c r="N81"/>
      <c r="O81"/>
      <c r="P81"/>
      <c r="Q81"/>
      <c r="R81"/>
      <c r="S81"/>
      <c r="T81"/>
      <c r="U81"/>
      <c r="V81"/>
      <c r="W81" s="254"/>
      <c r="X81" s="254"/>
      <c r="Y81"/>
      <c r="Z81"/>
      <c r="AA81"/>
      <c r="AB81" s="254"/>
      <c r="AC81"/>
      <c r="AD81"/>
      <c r="AE81"/>
      <c r="AF81"/>
      <c r="AG81"/>
      <c r="AH81"/>
      <c r="AI81"/>
      <c r="AJ81"/>
      <c r="AK81"/>
      <c r="AL81"/>
      <c r="AM81"/>
    </row>
    <row r="82" spans="1:39" s="134" customFormat="1" x14ac:dyDescent="0.25">
      <c r="A82" s="1"/>
      <c r="B82" s="1"/>
      <c r="C82" s="1"/>
      <c r="D82" s="1"/>
      <c r="E82" s="1"/>
      <c r="F82" s="271"/>
      <c r="G82" s="99"/>
      <c r="H82" s="137"/>
      <c r="I82" s="1"/>
      <c r="J82" s="102"/>
      <c r="K82" s="254"/>
      <c r="L82" s="102"/>
      <c r="M82" s="273"/>
      <c r="N82"/>
      <c r="O82"/>
      <c r="P82"/>
      <c r="Q82"/>
      <c r="R82"/>
      <c r="S82"/>
      <c r="T82"/>
      <c r="U82"/>
      <c r="V82"/>
      <c r="W82" s="254"/>
      <c r="X82" s="254"/>
      <c r="Y82"/>
      <c r="Z82"/>
      <c r="AA82"/>
      <c r="AB82" s="254"/>
      <c r="AC82"/>
      <c r="AD82"/>
      <c r="AE82"/>
      <c r="AF82"/>
      <c r="AG82"/>
      <c r="AH82"/>
      <c r="AI82"/>
      <c r="AJ82"/>
      <c r="AK82"/>
      <c r="AL82"/>
      <c r="AM82"/>
    </row>
    <row r="83" spans="1:39" s="134" customFormat="1" x14ac:dyDescent="0.25">
      <c r="A83" s="1"/>
      <c r="B83" s="1"/>
      <c r="C83" s="1"/>
      <c r="D83" s="1"/>
      <c r="E83" s="1"/>
      <c r="F83" s="271"/>
      <c r="G83" s="99"/>
      <c r="H83" s="137"/>
      <c r="I83" s="1"/>
      <c r="J83" s="102"/>
      <c r="K83" s="254"/>
      <c r="L83" s="102"/>
      <c r="M83" s="273"/>
      <c r="N83"/>
      <c r="O83"/>
      <c r="P83"/>
      <c r="Q83"/>
      <c r="R83"/>
      <c r="S83"/>
      <c r="T83"/>
      <c r="U83"/>
      <c r="V83"/>
      <c r="W83" s="254"/>
      <c r="X83" s="254"/>
      <c r="Y83"/>
      <c r="Z83"/>
      <c r="AA83"/>
      <c r="AB83" s="254"/>
      <c r="AC83"/>
      <c r="AD83"/>
      <c r="AE83"/>
      <c r="AF83"/>
      <c r="AG83"/>
      <c r="AH83"/>
      <c r="AI83"/>
      <c r="AJ83"/>
      <c r="AK83"/>
      <c r="AL83"/>
      <c r="AM83"/>
    </row>
    <row r="84" spans="1:39" s="134" customFormat="1" x14ac:dyDescent="0.25">
      <c r="A84" s="1"/>
      <c r="B84" s="1"/>
      <c r="C84" s="1"/>
      <c r="D84" s="1"/>
      <c r="E84" s="1"/>
      <c r="F84" s="271"/>
      <c r="G84" s="99"/>
      <c r="H84" s="137"/>
      <c r="I84" s="1"/>
      <c r="J84" s="102"/>
      <c r="K84" s="254"/>
      <c r="L84" s="102"/>
      <c r="M84" s="273"/>
      <c r="N84"/>
      <c r="O84"/>
      <c r="P84"/>
      <c r="Q84"/>
      <c r="R84"/>
      <c r="S84"/>
      <c r="T84"/>
      <c r="U84"/>
      <c r="V84"/>
      <c r="W84" s="254"/>
      <c r="X84" s="254"/>
      <c r="Y84"/>
      <c r="Z84"/>
      <c r="AA84"/>
      <c r="AB84" s="254"/>
      <c r="AC84"/>
      <c r="AD84"/>
      <c r="AE84"/>
      <c r="AF84"/>
      <c r="AG84"/>
      <c r="AH84"/>
      <c r="AI84"/>
      <c r="AJ84"/>
      <c r="AK84"/>
      <c r="AL84"/>
      <c r="AM84"/>
    </row>
    <row r="85" spans="1:39" s="134" customFormat="1" x14ac:dyDescent="0.25">
      <c r="A85" s="1"/>
      <c r="B85" s="1"/>
      <c r="C85" s="1"/>
      <c r="D85" s="1"/>
      <c r="E85" s="1"/>
      <c r="F85" s="271"/>
      <c r="G85" s="99"/>
      <c r="H85" s="137"/>
      <c r="I85" s="1"/>
      <c r="J85" s="102"/>
      <c r="K85" s="254"/>
      <c r="L85" s="102"/>
      <c r="M85" s="273"/>
      <c r="N85"/>
      <c r="O85"/>
      <c r="P85"/>
      <c r="Q85"/>
      <c r="R85"/>
      <c r="S85"/>
      <c r="T85"/>
      <c r="U85"/>
      <c r="V85"/>
      <c r="W85" s="254"/>
      <c r="X85" s="254"/>
      <c r="Y85"/>
      <c r="Z85"/>
      <c r="AA85"/>
      <c r="AB85" s="254"/>
      <c r="AC85"/>
      <c r="AD85"/>
      <c r="AE85"/>
      <c r="AF85"/>
      <c r="AG85"/>
      <c r="AH85"/>
      <c r="AI85"/>
      <c r="AJ85"/>
      <c r="AK85"/>
      <c r="AL85"/>
      <c r="AM85"/>
    </row>
    <row r="86" spans="1:39" s="134" customFormat="1" x14ac:dyDescent="0.25">
      <c r="A86" s="1"/>
      <c r="B86" s="1"/>
      <c r="C86" s="1"/>
      <c r="D86" s="1"/>
      <c r="E86" s="1"/>
      <c r="F86" s="271"/>
      <c r="G86" s="99"/>
      <c r="H86" s="137"/>
      <c r="I86" s="1"/>
      <c r="J86" s="102"/>
      <c r="K86" s="254"/>
      <c r="L86" s="102"/>
      <c r="M86" s="273"/>
      <c r="N86"/>
      <c r="O86"/>
      <c r="P86"/>
      <c r="Q86"/>
      <c r="R86"/>
      <c r="S86"/>
      <c r="T86"/>
      <c r="U86"/>
      <c r="V86"/>
      <c r="W86" s="254"/>
      <c r="X86" s="254"/>
      <c r="Y86"/>
      <c r="Z86"/>
      <c r="AA86"/>
      <c r="AB86" s="254"/>
      <c r="AC86"/>
      <c r="AD86"/>
      <c r="AE86"/>
      <c r="AF86"/>
      <c r="AG86"/>
      <c r="AH86"/>
      <c r="AI86"/>
      <c r="AJ86"/>
      <c r="AK86"/>
      <c r="AL86"/>
      <c r="AM86"/>
    </row>
    <row r="87" spans="1:39" s="134" customFormat="1" x14ac:dyDescent="0.25">
      <c r="A87" s="1"/>
      <c r="B87" s="1"/>
      <c r="C87" s="1"/>
      <c r="D87" s="1"/>
      <c r="E87" s="1"/>
      <c r="F87" s="271"/>
      <c r="G87" s="99"/>
      <c r="H87" s="137"/>
      <c r="I87" s="1"/>
      <c r="J87" s="102"/>
      <c r="K87" s="254"/>
      <c r="L87" s="102"/>
      <c r="M87" s="273"/>
      <c r="N87"/>
      <c r="O87"/>
      <c r="P87"/>
      <c r="Q87"/>
      <c r="R87"/>
      <c r="S87"/>
      <c r="T87"/>
      <c r="U87"/>
      <c r="V87"/>
      <c r="W87" s="254"/>
      <c r="X87" s="254"/>
      <c r="Y87"/>
      <c r="Z87"/>
      <c r="AA87"/>
      <c r="AB87" s="254"/>
      <c r="AC87"/>
      <c r="AD87"/>
      <c r="AE87"/>
      <c r="AF87"/>
      <c r="AG87"/>
      <c r="AH87"/>
      <c r="AI87"/>
      <c r="AJ87"/>
      <c r="AK87"/>
      <c r="AL87"/>
      <c r="AM87"/>
    </row>
    <row r="88" spans="1:39" s="134" customFormat="1" x14ac:dyDescent="0.25">
      <c r="A88" s="1"/>
      <c r="B88" s="1"/>
      <c r="C88" s="1"/>
      <c r="D88" s="1"/>
      <c r="E88" s="1"/>
      <c r="F88" s="271"/>
      <c r="G88" s="99"/>
      <c r="H88" s="137"/>
      <c r="I88" s="1"/>
      <c r="J88" s="102"/>
      <c r="K88" s="254"/>
      <c r="L88" s="102"/>
      <c r="M88" s="273"/>
      <c r="N88"/>
      <c r="O88"/>
      <c r="P88"/>
      <c r="Q88"/>
      <c r="R88"/>
      <c r="S88"/>
      <c r="T88"/>
      <c r="U88"/>
      <c r="V88"/>
      <c r="W88" s="254"/>
      <c r="X88" s="254"/>
      <c r="Y88"/>
      <c r="Z88"/>
      <c r="AA88"/>
      <c r="AB88" s="254"/>
      <c r="AC88"/>
      <c r="AD88"/>
      <c r="AE88"/>
      <c r="AF88"/>
      <c r="AG88"/>
      <c r="AH88"/>
      <c r="AI88"/>
      <c r="AJ88"/>
      <c r="AK88"/>
      <c r="AL88"/>
      <c r="AM88"/>
    </row>
    <row r="89" spans="1:39" s="134" customFormat="1" x14ac:dyDescent="0.25">
      <c r="A89" s="1"/>
      <c r="B89" s="1"/>
      <c r="C89" s="1"/>
      <c r="D89" s="1"/>
      <c r="E89" s="1"/>
      <c r="F89" s="271"/>
      <c r="G89" s="99"/>
      <c r="H89" s="137"/>
      <c r="I89" s="1"/>
      <c r="J89" s="102"/>
      <c r="K89" s="254"/>
      <c r="L89" s="102"/>
      <c r="M89" s="273"/>
      <c r="N89"/>
      <c r="O89"/>
      <c r="P89"/>
      <c r="Q89"/>
      <c r="R89"/>
      <c r="S89"/>
      <c r="T89"/>
      <c r="U89"/>
      <c r="V89"/>
      <c r="W89" s="254"/>
      <c r="X89" s="254"/>
      <c r="Y89"/>
      <c r="Z89"/>
      <c r="AA89"/>
      <c r="AB89" s="254"/>
      <c r="AC89"/>
      <c r="AD89"/>
      <c r="AE89"/>
      <c r="AF89"/>
      <c r="AG89"/>
      <c r="AH89"/>
      <c r="AI89"/>
      <c r="AJ89"/>
      <c r="AK89"/>
      <c r="AL89"/>
      <c r="AM89"/>
    </row>
    <row r="90" spans="1:39" s="134" customFormat="1" x14ac:dyDescent="0.25">
      <c r="A90" s="1"/>
      <c r="B90" s="1"/>
      <c r="C90" s="1"/>
      <c r="D90" s="1"/>
      <c r="E90" s="1"/>
      <c r="F90" s="271"/>
      <c r="G90" s="99"/>
      <c r="H90" s="137"/>
      <c r="I90" s="1"/>
      <c r="J90" s="102"/>
      <c r="K90" s="254"/>
      <c r="L90" s="102"/>
      <c r="M90" s="273"/>
      <c r="N90"/>
      <c r="O90"/>
      <c r="P90"/>
      <c r="Q90"/>
      <c r="R90"/>
      <c r="S90"/>
      <c r="T90"/>
      <c r="U90"/>
      <c r="V90"/>
      <c r="W90" s="254"/>
      <c r="X90" s="254"/>
      <c r="Y90"/>
      <c r="Z90"/>
      <c r="AA90"/>
      <c r="AB90" s="254"/>
      <c r="AC90"/>
      <c r="AD90"/>
      <c r="AE90"/>
      <c r="AF90"/>
      <c r="AG90"/>
      <c r="AH90"/>
      <c r="AI90"/>
      <c r="AJ90"/>
      <c r="AK90"/>
      <c r="AL90"/>
      <c r="AM90"/>
    </row>
    <row r="91" spans="1:39" s="134" customFormat="1" x14ac:dyDescent="0.25">
      <c r="A91" s="1"/>
      <c r="B91" s="1"/>
      <c r="C91" s="1"/>
      <c r="D91" s="1"/>
      <c r="E91" s="1"/>
      <c r="F91" s="271"/>
      <c r="G91" s="99"/>
      <c r="H91" s="137"/>
      <c r="I91" s="1"/>
      <c r="J91" s="102"/>
      <c r="K91" s="254"/>
      <c r="L91" s="102"/>
      <c r="M91" s="273"/>
      <c r="N91"/>
      <c r="O91"/>
      <c r="P91"/>
      <c r="Q91"/>
      <c r="R91"/>
      <c r="S91"/>
      <c r="T91"/>
      <c r="U91"/>
      <c r="V91"/>
      <c r="W91" s="254"/>
      <c r="X91" s="254"/>
      <c r="Y91"/>
      <c r="Z91"/>
      <c r="AA91"/>
      <c r="AB91" s="254"/>
      <c r="AC91"/>
      <c r="AD91"/>
      <c r="AE91"/>
      <c r="AF91"/>
      <c r="AG91"/>
      <c r="AH91"/>
      <c r="AI91"/>
      <c r="AJ91"/>
      <c r="AK91"/>
      <c r="AL91"/>
      <c r="AM91"/>
    </row>
    <row r="92" spans="1:39" s="134" customFormat="1" x14ac:dyDescent="0.25">
      <c r="A92" s="1"/>
      <c r="B92" s="1"/>
      <c r="C92" s="1"/>
      <c r="D92" s="1"/>
      <c r="E92" s="1"/>
      <c r="F92" s="271"/>
      <c r="G92" s="99"/>
      <c r="H92" s="137"/>
      <c r="I92" s="1"/>
      <c r="J92" s="102"/>
      <c r="K92" s="254"/>
      <c r="L92" s="102"/>
      <c r="M92" s="273"/>
      <c r="N92"/>
      <c r="O92"/>
      <c r="P92"/>
      <c r="Q92"/>
      <c r="R92"/>
      <c r="S92"/>
      <c r="T92"/>
      <c r="U92"/>
      <c r="V92"/>
      <c r="W92" s="254"/>
      <c r="X92" s="254"/>
      <c r="Y92"/>
      <c r="Z92"/>
      <c r="AA92"/>
      <c r="AB92" s="254"/>
      <c r="AC92"/>
      <c r="AD92"/>
      <c r="AE92"/>
      <c r="AF92"/>
      <c r="AG92"/>
      <c r="AH92"/>
      <c r="AI92"/>
      <c r="AJ92"/>
      <c r="AK92"/>
      <c r="AL92"/>
      <c r="AM92"/>
    </row>
    <row r="93" spans="1:39" s="134" customFormat="1" x14ac:dyDescent="0.25">
      <c r="A93" s="1"/>
      <c r="B93" s="1"/>
      <c r="C93" s="1"/>
      <c r="D93" s="1"/>
      <c r="E93" s="1"/>
      <c r="F93" s="271"/>
      <c r="G93" s="99"/>
      <c r="H93" s="137"/>
      <c r="I93" s="1"/>
      <c r="J93" s="102"/>
      <c r="K93" s="254"/>
      <c r="L93" s="102"/>
      <c r="M93" s="273"/>
      <c r="N93"/>
      <c r="O93"/>
      <c r="P93"/>
      <c r="Q93"/>
      <c r="R93"/>
      <c r="S93"/>
      <c r="T93"/>
      <c r="U93"/>
      <c r="V93"/>
      <c r="W93" s="254"/>
      <c r="X93" s="254"/>
      <c r="Y93"/>
      <c r="Z93"/>
      <c r="AA93"/>
      <c r="AB93" s="254"/>
      <c r="AC93"/>
      <c r="AD93"/>
      <c r="AE93"/>
      <c r="AF93"/>
      <c r="AG93"/>
      <c r="AH93"/>
      <c r="AI93"/>
      <c r="AJ93"/>
      <c r="AK93"/>
      <c r="AL93"/>
      <c r="AM93"/>
    </row>
    <row r="94" spans="1:39" s="134" customFormat="1" x14ac:dyDescent="0.25">
      <c r="A94" s="1"/>
      <c r="B94" s="1"/>
      <c r="C94" s="1"/>
      <c r="D94" s="1"/>
      <c r="E94" s="1"/>
      <c r="F94" s="271"/>
      <c r="G94" s="99"/>
      <c r="H94" s="137"/>
      <c r="I94" s="1"/>
      <c r="J94" s="102"/>
      <c r="K94" s="254"/>
      <c r="L94" s="102"/>
      <c r="M94" s="273"/>
      <c r="N94"/>
      <c r="O94"/>
      <c r="P94"/>
      <c r="Q94"/>
      <c r="R94"/>
      <c r="S94"/>
      <c r="T94"/>
      <c r="U94"/>
      <c r="V94"/>
      <c r="W94" s="254"/>
      <c r="X94" s="254"/>
      <c r="Y94"/>
      <c r="Z94"/>
      <c r="AA94"/>
      <c r="AB94" s="254"/>
      <c r="AC94"/>
      <c r="AD94"/>
      <c r="AE94"/>
      <c r="AF94"/>
      <c r="AG94"/>
      <c r="AH94"/>
      <c r="AI94"/>
      <c r="AJ94"/>
      <c r="AK94"/>
      <c r="AL94"/>
      <c r="AM94"/>
    </row>
    <row r="95" spans="1:39" s="134" customFormat="1" x14ac:dyDescent="0.25">
      <c r="A95" s="1"/>
      <c r="B95" s="1"/>
      <c r="C95" s="1"/>
      <c r="D95" s="1"/>
      <c r="E95" s="1"/>
      <c r="F95" s="271"/>
      <c r="G95" s="99"/>
      <c r="H95" s="137"/>
      <c r="I95" s="1"/>
      <c r="J95" s="102"/>
      <c r="K95" s="254"/>
      <c r="L95" s="102"/>
      <c r="M95" s="273"/>
      <c r="N95"/>
      <c r="O95"/>
      <c r="P95"/>
      <c r="Q95"/>
      <c r="R95"/>
      <c r="S95"/>
      <c r="T95"/>
      <c r="U95"/>
      <c r="V95"/>
      <c r="W95" s="254"/>
      <c r="X95" s="254"/>
      <c r="Y95"/>
      <c r="Z95"/>
      <c r="AA95"/>
      <c r="AB95" s="254"/>
      <c r="AC95"/>
      <c r="AD95"/>
      <c r="AE95"/>
      <c r="AF95"/>
      <c r="AG95"/>
      <c r="AH95"/>
      <c r="AI95"/>
      <c r="AJ95"/>
      <c r="AK95"/>
      <c r="AL95"/>
      <c r="AM95"/>
    </row>
    <row r="96" spans="1:39" s="134" customFormat="1" x14ac:dyDescent="0.25">
      <c r="A96" s="1"/>
      <c r="B96" s="1"/>
      <c r="C96" s="1"/>
      <c r="D96" s="1"/>
      <c r="E96" s="1"/>
      <c r="F96" s="271"/>
      <c r="G96" s="99"/>
      <c r="H96" s="137"/>
      <c r="I96" s="1"/>
      <c r="J96" s="102"/>
      <c r="K96" s="254"/>
      <c r="L96" s="102"/>
      <c r="M96" s="273"/>
      <c r="N96"/>
      <c r="O96"/>
      <c r="P96"/>
      <c r="Q96"/>
      <c r="R96"/>
      <c r="S96"/>
      <c r="T96"/>
      <c r="U96"/>
      <c r="V96"/>
      <c r="W96" s="254"/>
      <c r="X96" s="254"/>
      <c r="Y96"/>
      <c r="Z96"/>
      <c r="AA96"/>
      <c r="AB96" s="254"/>
      <c r="AC96"/>
      <c r="AD96"/>
      <c r="AE96"/>
      <c r="AF96"/>
      <c r="AG96"/>
      <c r="AH96"/>
      <c r="AI96"/>
      <c r="AJ96"/>
      <c r="AK96"/>
      <c r="AL96"/>
      <c r="AM96"/>
    </row>
    <row r="97" spans="1:39" s="134" customFormat="1" x14ac:dyDescent="0.25">
      <c r="A97" s="1"/>
      <c r="B97" s="1"/>
      <c r="C97" s="1"/>
      <c r="D97" s="1"/>
      <c r="E97" s="1"/>
      <c r="F97" s="271"/>
      <c r="G97" s="99"/>
      <c r="H97" s="137"/>
      <c r="I97" s="1"/>
      <c r="J97" s="102"/>
      <c r="K97" s="254"/>
      <c r="L97" s="102"/>
      <c r="M97" s="273"/>
      <c r="N97"/>
      <c r="O97"/>
      <c r="P97"/>
      <c r="Q97"/>
      <c r="R97"/>
      <c r="S97"/>
      <c r="T97"/>
      <c r="U97"/>
      <c r="V97"/>
      <c r="W97" s="254"/>
      <c r="X97" s="254"/>
      <c r="Y97"/>
      <c r="Z97"/>
      <c r="AA97"/>
      <c r="AB97" s="254"/>
      <c r="AC97"/>
      <c r="AD97"/>
      <c r="AE97"/>
      <c r="AF97"/>
      <c r="AG97"/>
      <c r="AH97"/>
      <c r="AI97"/>
      <c r="AJ97"/>
      <c r="AK97"/>
      <c r="AL97"/>
      <c r="AM97"/>
    </row>
    <row r="98" spans="1:39" s="134" customFormat="1" x14ac:dyDescent="0.25">
      <c r="A98" s="1"/>
      <c r="B98" s="1"/>
      <c r="C98" s="1"/>
      <c r="D98" s="1"/>
      <c r="E98" s="1"/>
      <c r="F98" s="271"/>
      <c r="G98" s="99"/>
      <c r="H98" s="137"/>
      <c r="I98" s="1"/>
      <c r="J98" s="102"/>
      <c r="K98" s="254"/>
      <c r="L98" s="102"/>
      <c r="M98" s="273"/>
      <c r="N98"/>
      <c r="O98"/>
      <c r="P98"/>
      <c r="Q98"/>
      <c r="R98"/>
      <c r="S98"/>
      <c r="T98"/>
      <c r="U98"/>
      <c r="V98"/>
      <c r="W98" s="254"/>
      <c r="X98" s="254"/>
      <c r="Y98"/>
      <c r="Z98"/>
      <c r="AA98"/>
      <c r="AB98" s="254"/>
      <c r="AC98"/>
      <c r="AD98"/>
      <c r="AE98"/>
      <c r="AF98"/>
      <c r="AG98"/>
      <c r="AH98"/>
      <c r="AI98"/>
      <c r="AJ98"/>
      <c r="AK98"/>
      <c r="AL98"/>
      <c r="AM98"/>
    </row>
    <row r="99" spans="1:39" s="134" customFormat="1" x14ac:dyDescent="0.25">
      <c r="A99" s="1"/>
      <c r="B99" s="1"/>
      <c r="C99" s="1"/>
      <c r="D99" s="1"/>
      <c r="E99" s="1"/>
      <c r="F99" s="271"/>
      <c r="G99" s="99"/>
      <c r="H99" s="137"/>
      <c r="I99" s="1"/>
      <c r="J99" s="102"/>
      <c r="K99" s="254"/>
      <c r="L99" s="102"/>
      <c r="M99" s="273"/>
      <c r="N99"/>
      <c r="O99"/>
      <c r="P99"/>
      <c r="Q99"/>
      <c r="R99"/>
      <c r="S99"/>
      <c r="T99"/>
      <c r="U99"/>
      <c r="V99"/>
      <c r="W99" s="254"/>
      <c r="X99" s="254"/>
      <c r="Y99"/>
      <c r="Z99"/>
      <c r="AA99"/>
      <c r="AB99" s="254"/>
      <c r="AC99"/>
      <c r="AD99"/>
      <c r="AE99"/>
      <c r="AF99"/>
      <c r="AG99"/>
      <c r="AH99"/>
      <c r="AI99"/>
      <c r="AJ99"/>
      <c r="AK99"/>
      <c r="AL99"/>
      <c r="AM99"/>
    </row>
    <row r="100" spans="1:39" s="134" customFormat="1" x14ac:dyDescent="0.25">
      <c r="A100" s="1"/>
      <c r="B100" s="1"/>
      <c r="C100" s="1"/>
      <c r="D100" s="1"/>
      <c r="E100" s="1"/>
      <c r="F100" s="271"/>
      <c r="G100" s="99"/>
      <c r="H100" s="137"/>
      <c r="I100" s="1"/>
      <c r="J100" s="102"/>
      <c r="K100" s="254"/>
      <c r="L100" s="102"/>
      <c r="M100" s="273"/>
      <c r="N100"/>
      <c r="O100"/>
      <c r="P100"/>
      <c r="Q100"/>
      <c r="R100"/>
      <c r="S100"/>
      <c r="T100"/>
      <c r="U100"/>
      <c r="V100"/>
      <c r="W100" s="254"/>
      <c r="X100" s="254"/>
      <c r="Y100"/>
      <c r="Z100"/>
      <c r="AA100"/>
      <c r="AB100" s="254"/>
      <c r="AC100"/>
      <c r="AD100"/>
      <c r="AE100"/>
      <c r="AF100"/>
      <c r="AG100"/>
      <c r="AH100"/>
      <c r="AI100"/>
      <c r="AJ100"/>
      <c r="AK100"/>
      <c r="AL100"/>
      <c r="AM100"/>
    </row>
    <row r="101" spans="1:39" s="134" customFormat="1" x14ac:dyDescent="0.25">
      <c r="A101" s="1"/>
      <c r="B101" s="1"/>
      <c r="C101" s="1"/>
      <c r="D101" s="1"/>
      <c r="E101" s="1"/>
      <c r="F101" s="271"/>
      <c r="G101" s="99"/>
      <c r="H101" s="137"/>
      <c r="I101" s="1"/>
      <c r="J101" s="102"/>
      <c r="K101" s="254"/>
      <c r="L101" s="102"/>
      <c r="M101" s="273"/>
      <c r="N101"/>
      <c r="O101"/>
      <c r="P101"/>
      <c r="Q101"/>
      <c r="R101"/>
      <c r="S101"/>
      <c r="T101"/>
      <c r="U101"/>
      <c r="V101"/>
      <c r="W101" s="254"/>
      <c r="X101" s="254"/>
      <c r="Y101"/>
      <c r="Z101"/>
      <c r="AA101"/>
      <c r="AB101" s="254"/>
      <c r="AC101"/>
      <c r="AD101"/>
      <c r="AE101"/>
      <c r="AF101"/>
      <c r="AG101"/>
      <c r="AH101"/>
      <c r="AI101"/>
      <c r="AJ101"/>
      <c r="AK101"/>
      <c r="AL101"/>
      <c r="AM101"/>
    </row>
    <row r="102" spans="1:39" s="134" customFormat="1" x14ac:dyDescent="0.25">
      <c r="A102" s="1"/>
      <c r="B102" s="1"/>
      <c r="C102" s="1"/>
      <c r="D102" s="1"/>
      <c r="E102" s="1"/>
      <c r="F102" s="271"/>
      <c r="G102" s="99"/>
      <c r="H102" s="137"/>
      <c r="I102" s="1"/>
      <c r="J102" s="102"/>
      <c r="K102" s="254"/>
      <c r="L102" s="102"/>
      <c r="M102" s="273"/>
      <c r="N102"/>
      <c r="O102"/>
      <c r="P102"/>
      <c r="Q102"/>
      <c r="R102"/>
      <c r="S102"/>
      <c r="T102"/>
      <c r="U102"/>
      <c r="V102"/>
      <c r="W102" s="254"/>
      <c r="X102" s="254"/>
      <c r="Y102"/>
      <c r="Z102"/>
      <c r="AA102"/>
      <c r="AB102" s="254"/>
      <c r="AC102"/>
      <c r="AD102"/>
      <c r="AE102"/>
      <c r="AF102"/>
      <c r="AG102"/>
      <c r="AH102"/>
      <c r="AI102"/>
      <c r="AJ102"/>
      <c r="AK102"/>
      <c r="AL102"/>
      <c r="AM102"/>
    </row>
    <row r="103" spans="1:39" s="134" customFormat="1" x14ac:dyDescent="0.25">
      <c r="A103" s="1"/>
      <c r="B103" s="1"/>
      <c r="C103" s="1"/>
      <c r="D103" s="1"/>
      <c r="E103" s="1"/>
      <c r="F103" s="271"/>
      <c r="G103" s="99"/>
      <c r="H103" s="137"/>
      <c r="I103" s="1"/>
      <c r="J103" s="102"/>
      <c r="K103" s="254"/>
      <c r="L103" s="102"/>
      <c r="M103" s="273"/>
      <c r="N103"/>
      <c r="O103"/>
      <c r="P103"/>
      <c r="Q103"/>
      <c r="R103"/>
      <c r="S103"/>
      <c r="T103"/>
      <c r="U103"/>
      <c r="V103"/>
      <c r="W103" s="254"/>
      <c r="X103" s="254"/>
      <c r="Y103"/>
      <c r="Z103"/>
      <c r="AA103"/>
      <c r="AB103" s="254"/>
      <c r="AC103"/>
      <c r="AD103"/>
      <c r="AE103"/>
      <c r="AF103"/>
      <c r="AG103"/>
      <c r="AH103"/>
      <c r="AI103"/>
      <c r="AJ103"/>
      <c r="AK103"/>
      <c r="AL103"/>
      <c r="AM103"/>
    </row>
    <row r="104" spans="1:39" s="134" customFormat="1" x14ac:dyDescent="0.25">
      <c r="A104" s="1"/>
      <c r="B104" s="1"/>
      <c r="C104" s="1"/>
      <c r="D104" s="1"/>
      <c r="E104" s="1"/>
      <c r="F104" s="271"/>
      <c r="G104" s="99"/>
      <c r="H104" s="137"/>
      <c r="I104" s="1"/>
      <c r="J104" s="102"/>
      <c r="K104" s="254"/>
      <c r="L104" s="102"/>
      <c r="M104" s="273"/>
      <c r="N104"/>
      <c r="O104"/>
      <c r="P104"/>
      <c r="Q104"/>
      <c r="R104"/>
      <c r="S104"/>
      <c r="T104"/>
      <c r="U104"/>
      <c r="V104"/>
      <c r="W104" s="254"/>
      <c r="X104" s="254"/>
      <c r="Y104"/>
      <c r="Z104"/>
      <c r="AA104"/>
      <c r="AB104" s="254"/>
      <c r="AC104"/>
      <c r="AD104"/>
      <c r="AE104"/>
      <c r="AF104"/>
      <c r="AG104"/>
      <c r="AH104"/>
      <c r="AI104"/>
      <c r="AJ104"/>
      <c r="AK104"/>
      <c r="AL104"/>
      <c r="AM104"/>
    </row>
    <row r="105" spans="1:39" s="134" customFormat="1" x14ac:dyDescent="0.25">
      <c r="A105" s="1"/>
      <c r="B105" s="1"/>
      <c r="C105" s="1"/>
      <c r="D105" s="1"/>
      <c r="E105" s="1"/>
      <c r="F105" s="271"/>
      <c r="G105" s="99"/>
      <c r="H105" s="137"/>
      <c r="I105" s="1"/>
      <c r="J105" s="102"/>
      <c r="K105" s="254"/>
      <c r="L105" s="102"/>
      <c r="M105" s="273"/>
      <c r="N105"/>
      <c r="O105"/>
      <c r="P105"/>
      <c r="Q105"/>
      <c r="R105"/>
      <c r="S105"/>
      <c r="T105"/>
      <c r="U105"/>
      <c r="V105"/>
      <c r="W105" s="254"/>
      <c r="X105" s="254"/>
      <c r="Y105"/>
      <c r="Z105"/>
      <c r="AA105"/>
      <c r="AB105" s="254"/>
      <c r="AC105"/>
      <c r="AD105"/>
      <c r="AE105"/>
      <c r="AF105"/>
      <c r="AG105"/>
      <c r="AH105"/>
      <c r="AI105"/>
      <c r="AJ105"/>
      <c r="AK105"/>
      <c r="AL105"/>
      <c r="AM105"/>
    </row>
    <row r="106" spans="1:39" s="134" customFormat="1" x14ac:dyDescent="0.25">
      <c r="A106" s="1"/>
      <c r="B106" s="1"/>
      <c r="C106" s="1"/>
      <c r="D106" s="1"/>
      <c r="E106" s="1"/>
      <c r="F106" s="271"/>
      <c r="G106" s="99"/>
      <c r="H106" s="137"/>
      <c r="I106" s="1"/>
      <c r="J106" s="102"/>
      <c r="K106" s="254"/>
      <c r="L106" s="102"/>
      <c r="M106" s="273"/>
      <c r="N106"/>
      <c r="O106"/>
      <c r="P106"/>
      <c r="Q106"/>
      <c r="R106"/>
      <c r="S106"/>
      <c r="T106"/>
      <c r="U106"/>
      <c r="V106"/>
      <c r="W106" s="254"/>
      <c r="X106" s="254"/>
      <c r="Y106"/>
      <c r="Z106"/>
      <c r="AA106"/>
      <c r="AB106" s="254"/>
      <c r="AC106"/>
      <c r="AD106"/>
      <c r="AE106"/>
      <c r="AF106"/>
      <c r="AG106"/>
      <c r="AH106"/>
      <c r="AI106"/>
      <c r="AJ106"/>
      <c r="AK106"/>
      <c r="AL106"/>
      <c r="AM106"/>
    </row>
    <row r="107" spans="1:39" s="134" customFormat="1" x14ac:dyDescent="0.25">
      <c r="A107" s="1"/>
      <c r="B107" s="1"/>
      <c r="C107" s="1"/>
      <c r="D107" s="1"/>
      <c r="E107" s="1"/>
      <c r="F107" s="271"/>
      <c r="G107" s="99"/>
      <c r="H107" s="137"/>
      <c r="I107" s="1"/>
      <c r="J107" s="102"/>
      <c r="K107" s="254"/>
      <c r="L107" s="102"/>
      <c r="M107" s="273"/>
      <c r="N107"/>
      <c r="O107"/>
      <c r="P107"/>
      <c r="Q107"/>
      <c r="R107"/>
      <c r="S107"/>
      <c r="T107"/>
      <c r="U107"/>
      <c r="V107"/>
      <c r="W107" s="254"/>
      <c r="X107" s="254"/>
      <c r="Y107"/>
      <c r="Z107"/>
      <c r="AA107"/>
      <c r="AB107" s="254"/>
      <c r="AC107"/>
      <c r="AD107"/>
      <c r="AE107"/>
      <c r="AF107"/>
      <c r="AG107"/>
      <c r="AH107"/>
      <c r="AI107"/>
      <c r="AJ107"/>
      <c r="AK107"/>
      <c r="AL107"/>
      <c r="AM107"/>
    </row>
    <row r="108" spans="1:39" s="134" customFormat="1" x14ac:dyDescent="0.25">
      <c r="A108" s="1"/>
      <c r="B108" s="1"/>
      <c r="C108" s="1"/>
      <c r="D108" s="1"/>
      <c r="E108" s="1"/>
      <c r="F108" s="271"/>
      <c r="G108" s="99"/>
      <c r="H108" s="137"/>
      <c r="I108" s="1"/>
      <c r="J108" s="102"/>
      <c r="K108" s="254"/>
      <c r="L108" s="102"/>
      <c r="M108" s="273"/>
      <c r="N108"/>
      <c r="O108"/>
      <c r="P108"/>
      <c r="Q108"/>
      <c r="R108"/>
      <c r="S108"/>
      <c r="T108"/>
      <c r="U108"/>
      <c r="V108"/>
      <c r="W108" s="254"/>
      <c r="X108" s="254"/>
      <c r="Y108"/>
      <c r="Z108"/>
      <c r="AA108"/>
      <c r="AB108" s="254"/>
      <c r="AC108"/>
      <c r="AD108"/>
      <c r="AE108"/>
      <c r="AF108"/>
      <c r="AG108"/>
      <c r="AH108"/>
      <c r="AI108"/>
      <c r="AJ108"/>
      <c r="AK108"/>
      <c r="AL108"/>
      <c r="AM108"/>
    </row>
    <row r="109" spans="1:39" s="134" customFormat="1" x14ac:dyDescent="0.25">
      <c r="A109" s="1"/>
      <c r="B109" s="1"/>
      <c r="C109" s="1"/>
      <c r="D109" s="1"/>
      <c r="E109" s="1"/>
      <c r="F109" s="271"/>
      <c r="G109" s="99"/>
      <c r="H109" s="137"/>
      <c r="I109" s="1"/>
      <c r="J109" s="102"/>
      <c r="K109" s="254"/>
      <c r="L109" s="102"/>
      <c r="M109" s="273"/>
      <c r="N109"/>
      <c r="O109"/>
      <c r="P109"/>
      <c r="Q109"/>
      <c r="R109"/>
      <c r="S109"/>
      <c r="T109"/>
      <c r="U109"/>
      <c r="V109"/>
      <c r="W109" s="254"/>
      <c r="X109" s="254"/>
      <c r="Y109"/>
      <c r="Z109"/>
      <c r="AA109"/>
      <c r="AB109" s="254"/>
      <c r="AC109"/>
      <c r="AD109"/>
      <c r="AE109"/>
      <c r="AF109"/>
      <c r="AG109"/>
      <c r="AH109"/>
      <c r="AI109"/>
      <c r="AJ109"/>
      <c r="AK109"/>
      <c r="AL109"/>
      <c r="AM109"/>
    </row>
    <row r="110" spans="1:39" s="134" customFormat="1" x14ac:dyDescent="0.25">
      <c r="A110" s="1"/>
      <c r="B110" s="1"/>
      <c r="C110" s="1"/>
      <c r="D110" s="1"/>
      <c r="E110" s="1"/>
      <c r="F110" s="271"/>
      <c r="G110" s="99"/>
      <c r="H110" s="137"/>
      <c r="I110" s="1"/>
      <c r="J110" s="102"/>
      <c r="K110" s="254"/>
      <c r="L110" s="102"/>
      <c r="M110" s="273"/>
      <c r="N110"/>
      <c r="O110"/>
      <c r="P110"/>
      <c r="Q110"/>
      <c r="R110"/>
      <c r="S110"/>
      <c r="T110"/>
      <c r="U110"/>
      <c r="V110"/>
      <c r="W110" s="254"/>
      <c r="X110" s="254"/>
      <c r="Y110"/>
      <c r="Z110"/>
      <c r="AA110"/>
      <c r="AB110" s="254"/>
      <c r="AC110"/>
      <c r="AD110"/>
      <c r="AE110"/>
      <c r="AF110"/>
      <c r="AG110"/>
      <c r="AH110"/>
      <c r="AI110"/>
      <c r="AJ110"/>
      <c r="AK110"/>
      <c r="AL110"/>
      <c r="AM110"/>
    </row>
    <row r="111" spans="1:39" s="134" customFormat="1" x14ac:dyDescent="0.25">
      <c r="A111" s="1"/>
      <c r="B111" s="1"/>
      <c r="C111" s="1"/>
      <c r="D111" s="1"/>
      <c r="E111" s="1"/>
      <c r="F111" s="271"/>
      <c r="G111" s="99"/>
      <c r="H111" s="137"/>
      <c r="I111" s="1"/>
      <c r="J111" s="102"/>
      <c r="K111" s="254"/>
      <c r="L111" s="102"/>
      <c r="M111" s="273"/>
      <c r="N111"/>
      <c r="O111"/>
      <c r="P111"/>
      <c r="Q111"/>
      <c r="R111"/>
      <c r="S111"/>
      <c r="T111"/>
      <c r="U111"/>
      <c r="V111"/>
      <c r="W111" s="254"/>
      <c r="X111" s="254"/>
      <c r="Y111"/>
      <c r="Z111"/>
      <c r="AA111"/>
      <c r="AB111" s="254"/>
      <c r="AC111"/>
      <c r="AD111"/>
      <c r="AE111"/>
      <c r="AF111"/>
      <c r="AG111"/>
      <c r="AH111"/>
      <c r="AI111"/>
      <c r="AJ111"/>
      <c r="AK111"/>
      <c r="AL111"/>
      <c r="AM111"/>
    </row>
    <row r="112" spans="1:39" s="134" customFormat="1" x14ac:dyDescent="0.25">
      <c r="A112" s="1"/>
      <c r="B112" s="1"/>
      <c r="C112" s="1"/>
      <c r="D112" s="1"/>
      <c r="E112" s="1"/>
      <c r="F112" s="271"/>
      <c r="G112" s="99"/>
      <c r="H112" s="137"/>
      <c r="I112" s="1"/>
      <c r="J112" s="102"/>
      <c r="K112" s="254"/>
      <c r="L112" s="102"/>
      <c r="M112" s="273"/>
      <c r="N112"/>
      <c r="O112"/>
      <c r="P112"/>
      <c r="Q112"/>
      <c r="R112"/>
      <c r="S112"/>
      <c r="T112"/>
      <c r="U112"/>
      <c r="V112"/>
      <c r="W112" s="254"/>
      <c r="X112" s="254"/>
      <c r="Y112"/>
      <c r="Z112"/>
      <c r="AA112"/>
      <c r="AB112" s="254"/>
      <c r="AC112"/>
      <c r="AD112"/>
      <c r="AE112"/>
      <c r="AF112"/>
      <c r="AG112"/>
      <c r="AH112"/>
      <c r="AI112"/>
      <c r="AJ112"/>
      <c r="AK112"/>
      <c r="AL112"/>
      <c r="AM112"/>
    </row>
    <row r="113" spans="1:66" s="134" customFormat="1" x14ac:dyDescent="0.25">
      <c r="A113" s="1"/>
      <c r="B113" s="1"/>
      <c r="C113" s="1"/>
      <c r="D113" s="1"/>
      <c r="E113" s="1"/>
      <c r="F113" s="271"/>
      <c r="G113" s="99"/>
      <c r="H113" s="137"/>
      <c r="I113" s="1"/>
      <c r="J113" s="102"/>
      <c r="K113" s="254"/>
      <c r="L113" s="102"/>
      <c r="M113" s="273"/>
      <c r="N113"/>
      <c r="O113"/>
      <c r="P113"/>
      <c r="Q113"/>
      <c r="R113"/>
      <c r="S113"/>
      <c r="T113"/>
      <c r="U113"/>
      <c r="V113"/>
      <c r="W113" s="254"/>
      <c r="X113" s="254"/>
      <c r="Y113"/>
      <c r="Z113"/>
      <c r="AA113"/>
      <c r="AB113" s="254"/>
      <c r="AC113"/>
      <c r="AD113"/>
      <c r="AE113"/>
      <c r="AF113"/>
      <c r="AG113"/>
      <c r="AH113"/>
      <c r="AI113"/>
      <c r="AJ113"/>
      <c r="AK113"/>
      <c r="AL113"/>
      <c r="AM113"/>
    </row>
    <row r="114" spans="1:66" s="134" customFormat="1" x14ac:dyDescent="0.25">
      <c r="A114" s="1"/>
      <c r="B114" s="1"/>
      <c r="C114" s="1"/>
      <c r="D114" s="1"/>
      <c r="E114" s="1"/>
      <c r="F114" s="271"/>
      <c r="G114" s="99"/>
      <c r="H114" s="137"/>
      <c r="I114" s="1"/>
      <c r="J114" s="102"/>
      <c r="K114" s="254"/>
      <c r="L114" s="102"/>
      <c r="M114" s="273"/>
      <c r="N114"/>
      <c r="O114"/>
      <c r="P114"/>
      <c r="Q114"/>
      <c r="R114"/>
      <c r="S114"/>
      <c r="T114"/>
      <c r="U114"/>
      <c r="V114"/>
      <c r="W114" s="254"/>
      <c r="X114" s="254"/>
      <c r="Y114"/>
      <c r="Z114"/>
      <c r="AA114"/>
      <c r="AB114" s="254"/>
      <c r="AC114"/>
      <c r="AD114"/>
      <c r="AE114"/>
      <c r="AF114"/>
      <c r="AG114"/>
      <c r="AH114"/>
      <c r="AI114"/>
      <c r="AJ114"/>
      <c r="AK114"/>
      <c r="AL114"/>
      <c r="AM114"/>
    </row>
    <row r="115" spans="1:66" s="134" customFormat="1" x14ac:dyDescent="0.25">
      <c r="A115" s="1"/>
      <c r="B115" s="1"/>
      <c r="C115" s="1"/>
      <c r="D115" s="1"/>
      <c r="E115" s="1"/>
      <c r="F115" s="271"/>
      <c r="G115" s="99"/>
      <c r="H115" s="137"/>
      <c r="I115" s="1"/>
      <c r="J115" s="102"/>
      <c r="K115" s="254"/>
      <c r="L115" s="102"/>
      <c r="M115" s="273"/>
      <c r="N115"/>
      <c r="O115"/>
      <c r="P115"/>
      <c r="Q115"/>
      <c r="R115"/>
      <c r="S115"/>
      <c r="T115"/>
      <c r="U115"/>
      <c r="V115"/>
      <c r="W115" s="254"/>
      <c r="X115" s="254"/>
      <c r="Y115"/>
      <c r="Z115"/>
      <c r="AA115"/>
      <c r="AB115" s="254"/>
      <c r="AC115"/>
      <c r="AD115"/>
      <c r="AE115"/>
      <c r="AF115"/>
      <c r="AG115"/>
      <c r="AH115"/>
      <c r="AI115"/>
      <c r="AJ115"/>
      <c r="AK115"/>
      <c r="AL115"/>
      <c r="AM115"/>
      <c r="BC115" s="228"/>
      <c r="BD115" s="228"/>
      <c r="BE115" s="228"/>
      <c r="BF115" s="228"/>
      <c r="BG115" s="228"/>
      <c r="BH115" s="228"/>
      <c r="BI115" s="228"/>
      <c r="BJ115" s="228"/>
      <c r="BK115" s="228"/>
      <c r="BL115" s="228"/>
      <c r="BM115" s="228"/>
      <c r="BN115" s="228"/>
    </row>
    <row r="116" spans="1:66" s="134" customFormat="1" x14ac:dyDescent="0.25">
      <c r="A116" s="1"/>
      <c r="B116" s="1"/>
      <c r="C116" s="1"/>
      <c r="D116" s="1"/>
      <c r="E116" s="1"/>
      <c r="F116" s="271"/>
      <c r="G116" s="99"/>
      <c r="H116" s="137"/>
      <c r="I116" s="1"/>
      <c r="J116" s="102"/>
      <c r="K116" s="254"/>
      <c r="L116" s="102"/>
      <c r="M116" s="273"/>
      <c r="N116"/>
      <c r="O116"/>
      <c r="P116"/>
      <c r="Q116"/>
      <c r="R116"/>
      <c r="S116"/>
      <c r="T116"/>
      <c r="U116"/>
      <c r="V116"/>
      <c r="W116" s="254"/>
      <c r="X116" s="254"/>
      <c r="Y116"/>
      <c r="Z116"/>
      <c r="AA116"/>
      <c r="AB116" s="254"/>
      <c r="AC116"/>
      <c r="AD116"/>
      <c r="AE116"/>
      <c r="AF116"/>
      <c r="AG116"/>
      <c r="AH116"/>
      <c r="AI116"/>
      <c r="AJ116"/>
      <c r="AK116"/>
      <c r="AL116"/>
      <c r="AM116"/>
    </row>
    <row r="117" spans="1:66" s="134" customFormat="1" x14ac:dyDescent="0.25">
      <c r="A117" s="1"/>
      <c r="B117" s="1"/>
      <c r="C117" s="1"/>
      <c r="D117" s="1"/>
      <c r="E117" s="1"/>
      <c r="F117" s="271"/>
      <c r="G117" s="99"/>
      <c r="H117" s="137"/>
      <c r="I117" s="1"/>
      <c r="J117" s="102"/>
      <c r="K117" s="254"/>
      <c r="L117" s="102"/>
      <c r="M117" s="273"/>
      <c r="N117"/>
      <c r="O117"/>
      <c r="P117"/>
      <c r="Q117"/>
      <c r="R117"/>
      <c r="S117"/>
      <c r="T117"/>
      <c r="U117"/>
      <c r="V117"/>
      <c r="W117" s="254"/>
      <c r="X117" s="254"/>
      <c r="Y117"/>
      <c r="Z117"/>
      <c r="AA117"/>
      <c r="AB117" s="254"/>
      <c r="AC117"/>
      <c r="AD117"/>
      <c r="AE117"/>
      <c r="AF117"/>
      <c r="AG117"/>
      <c r="AH117"/>
      <c r="AI117"/>
      <c r="AJ117"/>
      <c r="AK117"/>
      <c r="AL117"/>
      <c r="AM117"/>
    </row>
    <row r="118" spans="1:66" s="134" customFormat="1" x14ac:dyDescent="0.25">
      <c r="A118" s="1"/>
      <c r="B118" s="1"/>
      <c r="C118" s="1"/>
      <c r="D118" s="1"/>
      <c r="E118" s="1"/>
      <c r="F118" s="271"/>
      <c r="G118" s="99"/>
      <c r="H118" s="137"/>
      <c r="I118" s="1"/>
      <c r="J118" s="102"/>
      <c r="K118" s="254"/>
      <c r="L118" s="102"/>
      <c r="M118" s="273"/>
      <c r="N118"/>
      <c r="O118"/>
      <c r="P118"/>
      <c r="Q118"/>
      <c r="R118"/>
      <c r="S118"/>
      <c r="T118"/>
      <c r="U118"/>
      <c r="V118"/>
      <c r="W118" s="254"/>
      <c r="X118" s="254"/>
      <c r="Y118"/>
      <c r="Z118"/>
      <c r="AA118"/>
      <c r="AB118" s="254"/>
      <c r="AC118"/>
      <c r="AD118"/>
      <c r="AE118"/>
      <c r="AF118"/>
      <c r="AG118"/>
      <c r="AH118"/>
      <c r="AI118"/>
      <c r="AJ118"/>
      <c r="AK118"/>
      <c r="AL118"/>
      <c r="AM118"/>
      <c r="BC118"/>
      <c r="BD118"/>
      <c r="BE118"/>
      <c r="BF118"/>
      <c r="BG118"/>
      <c r="BH118"/>
      <c r="BI118"/>
      <c r="BJ118"/>
      <c r="BK118"/>
      <c r="BL118"/>
      <c r="BM118"/>
      <c r="BN118"/>
    </row>
    <row r="119" spans="1:66" s="134" customFormat="1" x14ac:dyDescent="0.25">
      <c r="A119" s="1"/>
      <c r="B119" s="1"/>
      <c r="C119" s="1"/>
      <c r="D119" s="1"/>
      <c r="E119" s="1"/>
      <c r="F119" s="271"/>
      <c r="G119" s="99"/>
      <c r="H119" s="137"/>
      <c r="I119" s="1"/>
      <c r="J119" s="102"/>
      <c r="K119" s="254"/>
      <c r="L119" s="102"/>
      <c r="M119" s="273"/>
      <c r="N119"/>
      <c r="O119"/>
      <c r="P119"/>
      <c r="Q119"/>
      <c r="R119"/>
      <c r="S119"/>
      <c r="T119"/>
      <c r="U119"/>
      <c r="V119"/>
      <c r="W119" s="254"/>
      <c r="X119" s="254"/>
      <c r="Y119"/>
      <c r="Z119"/>
      <c r="AA119"/>
      <c r="AB119" s="254"/>
      <c r="AC119"/>
      <c r="AD119"/>
      <c r="AE119"/>
      <c r="AF119"/>
      <c r="AG119"/>
      <c r="AH119"/>
      <c r="AI119"/>
      <c r="AJ119"/>
      <c r="AK119"/>
      <c r="AL119"/>
      <c r="AM119"/>
      <c r="BC119"/>
      <c r="BD119"/>
      <c r="BE119"/>
      <c r="BF119"/>
      <c r="BG119"/>
      <c r="BH119"/>
      <c r="BI119"/>
      <c r="BJ119"/>
      <c r="BK119"/>
      <c r="BL119"/>
      <c r="BM119"/>
      <c r="BN119"/>
    </row>
    <row r="120" spans="1:66" s="134" customFormat="1" x14ac:dyDescent="0.25">
      <c r="A120" s="1"/>
      <c r="B120" s="1"/>
      <c r="C120" s="1"/>
      <c r="D120" s="1"/>
      <c r="E120" s="1"/>
      <c r="F120" s="271"/>
      <c r="G120" s="99"/>
      <c r="H120" s="137"/>
      <c r="I120" s="1"/>
      <c r="J120" s="102"/>
      <c r="K120" s="254"/>
      <c r="L120" s="102"/>
      <c r="M120" s="273"/>
      <c r="N120"/>
      <c r="O120"/>
      <c r="P120"/>
      <c r="Q120"/>
      <c r="R120"/>
      <c r="S120"/>
      <c r="T120"/>
      <c r="U120"/>
      <c r="V120"/>
      <c r="W120" s="254"/>
      <c r="X120" s="254"/>
      <c r="Y120"/>
      <c r="Z120"/>
      <c r="AA120"/>
      <c r="AB120" s="254"/>
      <c r="AC120"/>
      <c r="AD120"/>
      <c r="AE120"/>
      <c r="AF120"/>
      <c r="AG120"/>
      <c r="AH120"/>
      <c r="AI120"/>
      <c r="AJ120"/>
      <c r="AK120"/>
      <c r="AL120"/>
      <c r="AM120"/>
      <c r="BC120"/>
      <c r="BD120"/>
      <c r="BE120"/>
      <c r="BF120"/>
      <c r="BG120"/>
      <c r="BH120"/>
      <c r="BI120"/>
      <c r="BJ120"/>
      <c r="BK120"/>
      <c r="BL120"/>
      <c r="BM120"/>
      <c r="BN120"/>
    </row>
    <row r="121" spans="1:66" s="134" customFormat="1" x14ac:dyDescent="0.25">
      <c r="A121" s="1"/>
      <c r="B121" s="1"/>
      <c r="C121" s="1"/>
      <c r="D121" s="1"/>
      <c r="E121" s="1"/>
      <c r="F121" s="271"/>
      <c r="G121" s="99"/>
      <c r="H121" s="137"/>
      <c r="I121" s="1"/>
      <c r="J121" s="102"/>
      <c r="K121" s="254"/>
      <c r="L121" s="102"/>
      <c r="M121" s="273"/>
      <c r="N121"/>
      <c r="O121"/>
      <c r="P121"/>
      <c r="Q121"/>
      <c r="R121"/>
      <c r="S121"/>
      <c r="T121"/>
      <c r="U121"/>
      <c r="V121"/>
      <c r="W121" s="254"/>
      <c r="X121" s="254"/>
      <c r="Y121"/>
      <c r="Z121"/>
      <c r="AA121"/>
      <c r="AB121" s="254"/>
      <c r="AC121"/>
      <c r="AD121"/>
      <c r="AE121"/>
      <c r="AF121"/>
      <c r="AG121"/>
      <c r="AH121"/>
      <c r="AI121"/>
      <c r="AJ121"/>
      <c r="AK121"/>
      <c r="AL121"/>
      <c r="AM121"/>
      <c r="BC121"/>
      <c r="BD121"/>
      <c r="BE121"/>
      <c r="BF121"/>
      <c r="BG121"/>
      <c r="BH121"/>
      <c r="BI121"/>
      <c r="BJ121"/>
      <c r="BK121"/>
      <c r="BL121"/>
      <c r="BM121"/>
      <c r="BN121"/>
    </row>
    <row r="122" spans="1:66" s="228" customFormat="1" x14ac:dyDescent="0.25">
      <c r="A122" s="1"/>
      <c r="B122" s="1"/>
      <c r="C122" s="1"/>
      <c r="D122" s="1"/>
      <c r="E122" s="1"/>
      <c r="F122" s="271"/>
      <c r="G122" s="99"/>
      <c r="H122" s="137"/>
      <c r="I122" s="1"/>
      <c r="J122" s="102"/>
      <c r="K122" s="254"/>
      <c r="L122" s="102"/>
      <c r="M122" s="273"/>
      <c r="N122"/>
      <c r="O122"/>
      <c r="P122"/>
      <c r="Q122"/>
      <c r="R122"/>
      <c r="S122"/>
      <c r="T122"/>
      <c r="U122"/>
      <c r="V122"/>
      <c r="W122" s="254"/>
      <c r="X122" s="254"/>
      <c r="Y122"/>
      <c r="Z122"/>
      <c r="AA122"/>
      <c r="AB122" s="254"/>
      <c r="AC122"/>
      <c r="AD122"/>
      <c r="AE122"/>
      <c r="AF122"/>
      <c r="AG122"/>
      <c r="AH122"/>
      <c r="AI122"/>
      <c r="AJ122"/>
      <c r="AK122"/>
      <c r="AL122"/>
      <c r="AM122"/>
      <c r="BC122"/>
      <c r="BD122"/>
      <c r="BE122"/>
      <c r="BF122"/>
      <c r="BG122"/>
      <c r="BH122"/>
      <c r="BI122"/>
      <c r="BJ122"/>
      <c r="BK122"/>
      <c r="BL122"/>
      <c r="BM122"/>
      <c r="BN122"/>
    </row>
    <row r="123" spans="1:66" s="134" customFormat="1" ht="25.5" customHeight="1" x14ac:dyDescent="0.25">
      <c r="A123" s="1"/>
      <c r="B123" s="1"/>
      <c r="C123" s="1"/>
      <c r="D123" s="1"/>
      <c r="E123" s="1"/>
      <c r="F123" s="271"/>
      <c r="G123" s="99"/>
      <c r="H123" s="137"/>
      <c r="I123" s="1"/>
      <c r="J123" s="102"/>
      <c r="K123" s="254"/>
      <c r="L123" s="102"/>
      <c r="M123" s="273"/>
      <c r="N123"/>
      <c r="O123"/>
      <c r="P123"/>
      <c r="Q123"/>
      <c r="R123"/>
      <c r="S123"/>
      <c r="T123"/>
      <c r="U123"/>
      <c r="V123"/>
      <c r="W123" s="254"/>
      <c r="X123" s="254"/>
      <c r="Y123"/>
      <c r="Z123"/>
      <c r="AA123"/>
      <c r="AB123" s="254"/>
      <c r="AC123"/>
      <c r="AD123"/>
      <c r="AE123"/>
      <c r="AF123"/>
      <c r="AG123"/>
      <c r="AH123"/>
      <c r="AI123"/>
      <c r="AJ123"/>
      <c r="AK123"/>
      <c r="AL123"/>
      <c r="AM123"/>
      <c r="BC123"/>
      <c r="BD123"/>
      <c r="BE123"/>
      <c r="BF123"/>
      <c r="BG123"/>
      <c r="BH123"/>
      <c r="BI123"/>
      <c r="BJ123"/>
      <c r="BK123"/>
      <c r="BL123"/>
      <c r="BM123"/>
      <c r="BN123"/>
    </row>
    <row r="124" spans="1:66" s="134" customFormat="1" x14ac:dyDescent="0.25">
      <c r="A124" s="1"/>
      <c r="B124" s="1"/>
      <c r="C124" s="1"/>
      <c r="D124" s="1"/>
      <c r="E124" s="1"/>
      <c r="F124" s="271"/>
      <c r="G124" s="99"/>
      <c r="H124" s="137"/>
      <c r="I124" s="1"/>
      <c r="J124" s="102"/>
      <c r="K124" s="254"/>
      <c r="L124" s="102"/>
      <c r="M124" s="273"/>
      <c r="N124"/>
      <c r="O124"/>
      <c r="P124"/>
      <c r="Q124"/>
      <c r="R124"/>
      <c r="S124"/>
      <c r="T124"/>
      <c r="U124"/>
      <c r="V124"/>
      <c r="W124" s="254"/>
      <c r="X124" s="254"/>
      <c r="Y124"/>
      <c r="Z124"/>
      <c r="AA124"/>
      <c r="AB124" s="254"/>
      <c r="AC124"/>
      <c r="AD124"/>
      <c r="AE124"/>
      <c r="AF124"/>
      <c r="AG124"/>
      <c r="AH124"/>
      <c r="AI124"/>
      <c r="AJ124"/>
      <c r="AK124"/>
      <c r="AL124"/>
      <c r="AM124"/>
      <c r="BC124"/>
      <c r="BD124"/>
      <c r="BE124"/>
      <c r="BF124"/>
      <c r="BG124"/>
      <c r="BH124"/>
      <c r="BI124"/>
      <c r="BJ124"/>
      <c r="BK124"/>
      <c r="BL124"/>
      <c r="BM124"/>
      <c r="BN124"/>
    </row>
    <row r="130" spans="1:66" x14ac:dyDescent="0.25">
      <c r="BC130" s="134"/>
      <c r="BD130" s="134"/>
      <c r="BE130" s="134"/>
      <c r="BF130" s="134"/>
      <c r="BG130" s="134"/>
      <c r="BH130" s="134"/>
      <c r="BI130" s="134"/>
      <c r="BJ130" s="134"/>
      <c r="BK130" s="134"/>
      <c r="BL130" s="134"/>
      <c r="BM130" s="134"/>
      <c r="BN130" s="134"/>
    </row>
    <row r="131" spans="1:66" x14ac:dyDescent="0.25">
      <c r="BC131" s="134"/>
      <c r="BD131" s="134"/>
      <c r="BE131" s="134"/>
      <c r="BF131" s="134"/>
      <c r="BG131" s="134"/>
      <c r="BH131" s="134"/>
      <c r="BI131" s="134"/>
      <c r="BJ131" s="134"/>
      <c r="BK131" s="134"/>
      <c r="BL131" s="134"/>
      <c r="BM131" s="134"/>
      <c r="BN131" s="134"/>
    </row>
    <row r="132" spans="1:66" x14ac:dyDescent="0.25">
      <c r="BC132" s="134"/>
      <c r="BD132" s="134"/>
      <c r="BE132" s="134"/>
      <c r="BF132" s="134"/>
      <c r="BG132" s="134"/>
      <c r="BH132" s="134"/>
      <c r="BI132" s="134"/>
      <c r="BJ132" s="134"/>
      <c r="BK132" s="134"/>
      <c r="BL132" s="134"/>
      <c r="BM132" s="134"/>
      <c r="BN132" s="134"/>
    </row>
    <row r="137" spans="1:66" s="134" customFormat="1" x14ac:dyDescent="0.25">
      <c r="A137" s="1"/>
      <c r="B137" s="1"/>
      <c r="C137" s="1"/>
      <c r="D137" s="1"/>
      <c r="E137" s="1"/>
      <c r="F137" s="271"/>
      <c r="G137" s="99"/>
      <c r="H137" s="137"/>
      <c r="I137" s="1"/>
      <c r="J137" s="102"/>
      <c r="K137" s="254"/>
      <c r="L137" s="102"/>
      <c r="M137" s="273"/>
      <c r="N137"/>
      <c r="O137"/>
      <c r="P137"/>
      <c r="Q137"/>
      <c r="R137"/>
      <c r="S137"/>
      <c r="T137"/>
      <c r="U137"/>
      <c r="V137"/>
      <c r="W137" s="254"/>
      <c r="X137" s="254"/>
      <c r="Y137"/>
      <c r="Z137"/>
      <c r="AA137"/>
      <c r="AB137" s="254"/>
      <c r="AC137"/>
      <c r="AD137"/>
      <c r="AE137"/>
      <c r="AF137"/>
      <c r="AG137"/>
      <c r="AH137"/>
      <c r="AI137"/>
      <c r="AJ137"/>
      <c r="AK137"/>
      <c r="AL137"/>
      <c r="AM137"/>
      <c r="BC137"/>
      <c r="BD137"/>
      <c r="BE137"/>
      <c r="BF137"/>
      <c r="BG137"/>
      <c r="BH137"/>
      <c r="BI137"/>
      <c r="BJ137"/>
      <c r="BK137"/>
      <c r="BL137"/>
      <c r="BM137"/>
      <c r="BN137"/>
    </row>
    <row r="138" spans="1:66" s="134" customFormat="1" x14ac:dyDescent="0.25">
      <c r="A138" s="1"/>
      <c r="B138" s="1"/>
      <c r="C138" s="1"/>
      <c r="D138" s="1"/>
      <c r="E138" s="1"/>
      <c r="F138" s="271"/>
      <c r="G138" s="99"/>
      <c r="H138" s="137"/>
      <c r="I138" s="1"/>
      <c r="J138" s="102"/>
      <c r="K138" s="254"/>
      <c r="L138" s="102"/>
      <c r="M138" s="273"/>
      <c r="N138"/>
      <c r="O138"/>
      <c r="P138"/>
      <c r="Q138"/>
      <c r="R138"/>
      <c r="S138"/>
      <c r="T138"/>
      <c r="U138"/>
      <c r="V138"/>
      <c r="W138" s="254"/>
      <c r="X138" s="254"/>
      <c r="Y138"/>
      <c r="Z138"/>
      <c r="AA138"/>
      <c r="AB138" s="254"/>
      <c r="AC138"/>
      <c r="AD138"/>
      <c r="AE138"/>
      <c r="AF138"/>
      <c r="AG138"/>
      <c r="AH138"/>
      <c r="AI138"/>
      <c r="AJ138"/>
      <c r="AK138"/>
      <c r="AL138"/>
      <c r="AM138"/>
      <c r="BC138"/>
      <c r="BD138"/>
      <c r="BE138"/>
      <c r="BF138"/>
      <c r="BG138"/>
      <c r="BH138"/>
      <c r="BI138"/>
      <c r="BJ138"/>
      <c r="BK138"/>
      <c r="BL138"/>
      <c r="BM138"/>
      <c r="BN138"/>
    </row>
    <row r="139" spans="1:66" s="134" customFormat="1" x14ac:dyDescent="0.25">
      <c r="A139" s="1"/>
      <c r="B139" s="1"/>
      <c r="C139" s="1"/>
      <c r="D139" s="1"/>
      <c r="E139" s="1"/>
      <c r="F139" s="271"/>
      <c r="G139" s="99"/>
      <c r="H139" s="137"/>
      <c r="I139" s="1"/>
      <c r="J139" s="102"/>
      <c r="K139" s="254"/>
      <c r="L139" s="102"/>
      <c r="M139" s="273"/>
      <c r="N139"/>
      <c r="O139"/>
      <c r="P139"/>
      <c r="Q139"/>
      <c r="R139"/>
      <c r="S139"/>
      <c r="T139"/>
      <c r="U139"/>
      <c r="V139"/>
      <c r="W139" s="254"/>
      <c r="X139" s="254"/>
      <c r="Y139"/>
      <c r="Z139"/>
      <c r="AA139"/>
      <c r="AB139" s="254"/>
      <c r="AC139"/>
      <c r="AD139"/>
      <c r="AE139"/>
      <c r="AF139"/>
      <c r="AG139"/>
      <c r="AH139"/>
      <c r="AI139"/>
      <c r="AJ139"/>
      <c r="AK139"/>
      <c r="AL139"/>
      <c r="AM139"/>
      <c r="BC139"/>
      <c r="BD139"/>
      <c r="BE139"/>
      <c r="BF139"/>
      <c r="BG139"/>
      <c r="BH139"/>
      <c r="BI139"/>
      <c r="BJ139"/>
      <c r="BK139"/>
      <c r="BL139"/>
      <c r="BM139"/>
      <c r="BN139"/>
    </row>
    <row r="146" spans="1:66" x14ac:dyDescent="0.25">
      <c r="BC146" s="134"/>
      <c r="BD146" s="134"/>
      <c r="BE146" s="134"/>
      <c r="BF146" s="134"/>
      <c r="BG146" s="134"/>
      <c r="BH146" s="134"/>
      <c r="BI146" s="134"/>
      <c r="BJ146" s="134"/>
      <c r="BK146" s="134"/>
      <c r="BL146" s="134"/>
      <c r="BM146" s="134"/>
      <c r="BN146" s="134"/>
    </row>
    <row r="148" spans="1:66" x14ac:dyDescent="0.25">
      <c r="BC148" s="183"/>
      <c r="BD148" s="183"/>
      <c r="BE148" s="183"/>
      <c r="BF148" s="183"/>
      <c r="BG148" s="183"/>
      <c r="BH148" s="183"/>
      <c r="BI148" s="183"/>
      <c r="BJ148" s="183"/>
      <c r="BK148" s="183"/>
      <c r="BL148" s="183"/>
      <c r="BM148" s="183"/>
      <c r="BN148" s="183"/>
    </row>
    <row r="153" spans="1:66" s="134" customFormat="1" x14ac:dyDescent="0.25">
      <c r="A153" s="1"/>
      <c r="B153" s="1"/>
      <c r="C153" s="1"/>
      <c r="D153" s="1"/>
      <c r="E153" s="1"/>
      <c r="F153" s="271"/>
      <c r="G153" s="99"/>
      <c r="H153" s="137"/>
      <c r="I153" s="1"/>
      <c r="J153" s="102"/>
      <c r="K153" s="254"/>
      <c r="L153" s="102"/>
      <c r="M153" s="273"/>
      <c r="N153"/>
      <c r="O153"/>
      <c r="P153"/>
      <c r="Q153"/>
      <c r="R153"/>
      <c r="S153"/>
      <c r="T153"/>
      <c r="U153"/>
      <c r="V153"/>
      <c r="W153" s="254"/>
      <c r="X153" s="254"/>
      <c r="Y153"/>
      <c r="Z153"/>
      <c r="AA153"/>
      <c r="AB153" s="254"/>
      <c r="AC153"/>
      <c r="AD153"/>
      <c r="AE153"/>
      <c r="AF153"/>
      <c r="AG153"/>
      <c r="AH153"/>
      <c r="AI153"/>
      <c r="AJ153"/>
      <c r="AK153"/>
      <c r="AL153"/>
      <c r="AM153"/>
      <c r="BC153"/>
      <c r="BD153"/>
      <c r="BE153"/>
      <c r="BF153"/>
      <c r="BG153"/>
      <c r="BH153"/>
      <c r="BI153"/>
      <c r="BJ153"/>
      <c r="BK153"/>
      <c r="BL153"/>
      <c r="BM153"/>
      <c r="BN153"/>
    </row>
    <row r="155" spans="1:66" s="183" customFormat="1" x14ac:dyDescent="0.25">
      <c r="A155" s="1"/>
      <c r="B155" s="1"/>
      <c r="C155" s="1"/>
      <c r="D155" s="1"/>
      <c r="E155" s="1"/>
      <c r="F155" s="271"/>
      <c r="G155" s="99"/>
      <c r="H155" s="137"/>
      <c r="I155" s="1"/>
      <c r="J155" s="102"/>
      <c r="K155" s="254"/>
      <c r="L155" s="102"/>
      <c r="M155" s="273"/>
      <c r="N155"/>
      <c r="O155"/>
      <c r="P155"/>
      <c r="Q155"/>
      <c r="R155"/>
      <c r="S155"/>
      <c r="T155"/>
      <c r="U155"/>
      <c r="V155"/>
      <c r="W155" s="254"/>
      <c r="X155" s="254"/>
      <c r="Y155"/>
      <c r="Z155"/>
      <c r="AA155"/>
      <c r="AB155" s="254"/>
      <c r="AC155"/>
      <c r="AD155"/>
      <c r="AE155"/>
      <c r="AF155"/>
      <c r="AG155"/>
      <c r="AH155"/>
      <c r="AI155"/>
      <c r="AJ155"/>
      <c r="AK155"/>
      <c r="AL155"/>
      <c r="AM155"/>
      <c r="BC155"/>
      <c r="BD155"/>
      <c r="BE155"/>
      <c r="BF155"/>
      <c r="BG155"/>
      <c r="BH155"/>
      <c r="BI155"/>
      <c r="BJ155"/>
      <c r="BK155"/>
      <c r="BL155"/>
      <c r="BM155"/>
      <c r="BN155"/>
    </row>
    <row r="184" spans="1:66" x14ac:dyDescent="0.25">
      <c r="BC184" s="134"/>
      <c r="BD184" s="134"/>
      <c r="BE184" s="134"/>
      <c r="BF184" s="134"/>
      <c r="BG184" s="134"/>
      <c r="BH184" s="134"/>
      <c r="BI184" s="134"/>
      <c r="BJ184" s="134"/>
      <c r="BK184" s="134"/>
      <c r="BL184" s="134"/>
      <c r="BM184" s="134"/>
      <c r="BN184" s="134"/>
    </row>
    <row r="185" spans="1:66" x14ac:dyDescent="0.25">
      <c r="BC185" s="134"/>
      <c r="BD185" s="134"/>
      <c r="BE185" s="134"/>
      <c r="BF185" s="134"/>
      <c r="BG185" s="134"/>
      <c r="BH185" s="134"/>
      <c r="BI185" s="134"/>
      <c r="BJ185" s="134"/>
      <c r="BK185" s="134"/>
      <c r="BL185" s="134"/>
      <c r="BM185" s="134"/>
      <c r="BN185" s="134"/>
    </row>
    <row r="186" spans="1:66" x14ac:dyDescent="0.25">
      <c r="BC186" s="134"/>
      <c r="BD186" s="134"/>
      <c r="BE186" s="134"/>
      <c r="BF186" s="134"/>
      <c r="BG186" s="134"/>
      <c r="BH186" s="134"/>
      <c r="BI186" s="134"/>
      <c r="BJ186" s="134"/>
      <c r="BK186" s="134"/>
      <c r="BL186" s="134"/>
      <c r="BM186" s="134"/>
      <c r="BN186" s="134"/>
    </row>
    <row r="187" spans="1:66" x14ac:dyDescent="0.25">
      <c r="BC187" s="134"/>
      <c r="BD187" s="134"/>
      <c r="BE187" s="134"/>
      <c r="BF187" s="134"/>
      <c r="BG187" s="134"/>
      <c r="BH187" s="134"/>
      <c r="BI187" s="134"/>
      <c r="BJ187" s="134"/>
      <c r="BK187" s="134"/>
      <c r="BL187" s="134"/>
      <c r="BM187" s="134"/>
      <c r="BN187" s="134"/>
    </row>
    <row r="188" spans="1:66" x14ac:dyDescent="0.25">
      <c r="BC188" s="134"/>
      <c r="BD188" s="134"/>
      <c r="BE188" s="134"/>
      <c r="BF188" s="134"/>
      <c r="BG188" s="134"/>
      <c r="BH188" s="134"/>
      <c r="BI188" s="134"/>
      <c r="BJ188" s="134"/>
      <c r="BK188" s="134"/>
      <c r="BL188" s="134"/>
      <c r="BM188" s="134"/>
      <c r="BN188" s="134"/>
    </row>
    <row r="189" spans="1:66" x14ac:dyDescent="0.25">
      <c r="BC189" s="134"/>
      <c r="BD189" s="134"/>
      <c r="BE189" s="134"/>
      <c r="BF189" s="134"/>
      <c r="BG189" s="134"/>
      <c r="BH189" s="134"/>
      <c r="BI189" s="134"/>
      <c r="BJ189" s="134"/>
      <c r="BK189" s="134"/>
      <c r="BL189" s="134"/>
      <c r="BM189" s="134"/>
      <c r="BN189" s="134"/>
    </row>
    <row r="191" spans="1:66" s="134" customFormat="1" x14ac:dyDescent="0.25">
      <c r="A191" s="1"/>
      <c r="B191" s="1"/>
      <c r="C191" s="1"/>
      <c r="D191" s="1"/>
      <c r="E191" s="1"/>
      <c r="F191" s="271"/>
      <c r="G191" s="99"/>
      <c r="H191" s="137"/>
      <c r="I191" s="1"/>
      <c r="J191" s="102"/>
      <c r="K191" s="254"/>
      <c r="L191" s="102"/>
      <c r="M191" s="273"/>
      <c r="N191"/>
      <c r="O191"/>
      <c r="P191"/>
      <c r="Q191"/>
      <c r="R191"/>
      <c r="S191"/>
      <c r="T191"/>
      <c r="U191"/>
      <c r="V191"/>
      <c r="W191" s="254"/>
      <c r="X191" s="254"/>
      <c r="Y191"/>
      <c r="Z191"/>
      <c r="AA191"/>
      <c r="AB191" s="254"/>
      <c r="AC191"/>
      <c r="AD191"/>
      <c r="AE191"/>
      <c r="AF191"/>
      <c r="AG191"/>
      <c r="AH191"/>
      <c r="AI191"/>
      <c r="AJ191"/>
      <c r="AK191"/>
      <c r="AL191"/>
      <c r="AM191"/>
      <c r="BC191"/>
      <c r="BD191"/>
      <c r="BE191"/>
      <c r="BF191"/>
      <c r="BG191"/>
      <c r="BH191"/>
      <c r="BI191"/>
      <c r="BJ191"/>
      <c r="BK191"/>
      <c r="BL191"/>
      <c r="BM191"/>
      <c r="BN191"/>
    </row>
    <row r="192" spans="1:66" s="134" customFormat="1" x14ac:dyDescent="0.25">
      <c r="A192" s="1"/>
      <c r="B192" s="1"/>
      <c r="C192" s="1"/>
      <c r="D192" s="1"/>
      <c r="E192" s="1"/>
      <c r="F192" s="271"/>
      <c r="G192" s="99"/>
      <c r="H192" s="137"/>
      <c r="I192" s="1"/>
      <c r="J192" s="102"/>
      <c r="K192" s="254"/>
      <c r="L192" s="102"/>
      <c r="M192" s="273"/>
      <c r="N192"/>
      <c r="O192"/>
      <c r="P192"/>
      <c r="Q192"/>
      <c r="R192"/>
      <c r="S192"/>
      <c r="T192"/>
      <c r="U192"/>
      <c r="V192"/>
      <c r="W192" s="254"/>
      <c r="X192" s="254"/>
      <c r="Y192"/>
      <c r="Z192"/>
      <c r="AA192"/>
      <c r="AB192" s="254"/>
      <c r="AC192"/>
      <c r="AD192"/>
      <c r="AE192"/>
      <c r="AF192"/>
      <c r="AG192"/>
      <c r="AH192"/>
      <c r="AI192"/>
      <c r="AJ192"/>
      <c r="AK192"/>
      <c r="AL192"/>
      <c r="AM192"/>
      <c r="BC192"/>
      <c r="BD192"/>
      <c r="BE192"/>
      <c r="BF192"/>
      <c r="BG192"/>
      <c r="BH192"/>
      <c r="BI192"/>
      <c r="BJ192"/>
      <c r="BK192"/>
      <c r="BL192"/>
      <c r="BM192"/>
      <c r="BN192"/>
    </row>
    <row r="193" spans="1:66" s="134" customFormat="1" x14ac:dyDescent="0.25">
      <c r="A193" s="1"/>
      <c r="B193" s="1"/>
      <c r="C193" s="1"/>
      <c r="D193" s="1"/>
      <c r="E193" s="1"/>
      <c r="F193" s="271"/>
      <c r="G193" s="99"/>
      <c r="H193" s="137"/>
      <c r="I193" s="1"/>
      <c r="J193" s="102"/>
      <c r="K193" s="254"/>
      <c r="L193" s="102"/>
      <c r="M193" s="273"/>
      <c r="N193"/>
      <c r="O193"/>
      <c r="P193"/>
      <c r="Q193"/>
      <c r="R193"/>
      <c r="S193"/>
      <c r="T193"/>
      <c r="U193"/>
      <c r="V193"/>
      <c r="W193" s="254"/>
      <c r="X193" s="254"/>
      <c r="Y193"/>
      <c r="Z193"/>
      <c r="AA193"/>
      <c r="AB193" s="254"/>
      <c r="AC193"/>
      <c r="AD193"/>
      <c r="AE193"/>
      <c r="AF193"/>
      <c r="AG193"/>
      <c r="AH193"/>
      <c r="AI193"/>
      <c r="AJ193"/>
      <c r="AK193"/>
      <c r="AL193"/>
      <c r="AM193"/>
      <c r="BC193"/>
      <c r="BD193"/>
      <c r="BE193"/>
      <c r="BF193"/>
      <c r="BG193"/>
      <c r="BH193"/>
      <c r="BI193"/>
      <c r="BJ193"/>
      <c r="BK193"/>
      <c r="BL193"/>
      <c r="BM193"/>
      <c r="BN193"/>
    </row>
    <row r="194" spans="1:66" s="134" customFormat="1" x14ac:dyDescent="0.25">
      <c r="A194" s="1"/>
      <c r="B194" s="1"/>
      <c r="C194" s="1"/>
      <c r="D194" s="1"/>
      <c r="E194" s="1"/>
      <c r="F194" s="271"/>
      <c r="G194" s="99"/>
      <c r="H194" s="137"/>
      <c r="I194" s="1"/>
      <c r="J194" s="102"/>
      <c r="K194" s="254"/>
      <c r="L194" s="102"/>
      <c r="M194" s="273"/>
      <c r="N194"/>
      <c r="O194"/>
      <c r="P194"/>
      <c r="Q194"/>
      <c r="R194"/>
      <c r="S194"/>
      <c r="T194"/>
      <c r="U194"/>
      <c r="V194"/>
      <c r="W194" s="254"/>
      <c r="X194" s="254"/>
      <c r="Y194"/>
      <c r="Z194"/>
      <c r="AA194"/>
      <c r="AB194" s="254"/>
      <c r="AC194"/>
      <c r="AD194"/>
      <c r="AE194"/>
      <c r="AF194"/>
      <c r="AG194"/>
      <c r="AH194"/>
      <c r="AI194"/>
      <c r="AJ194"/>
      <c r="AK194"/>
      <c r="AL194"/>
      <c r="AM194"/>
      <c r="BC194"/>
      <c r="BD194"/>
      <c r="BE194"/>
      <c r="BF194"/>
      <c r="BG194"/>
      <c r="BH194"/>
      <c r="BI194"/>
      <c r="BJ194"/>
      <c r="BK194"/>
      <c r="BL194"/>
      <c r="BM194"/>
      <c r="BN194"/>
    </row>
    <row r="195" spans="1:66" s="134" customFormat="1" x14ac:dyDescent="0.25">
      <c r="A195" s="1"/>
      <c r="B195" s="1"/>
      <c r="C195" s="1"/>
      <c r="D195" s="1"/>
      <c r="E195" s="1"/>
      <c r="F195" s="271"/>
      <c r="G195" s="99"/>
      <c r="H195" s="137"/>
      <c r="I195" s="1"/>
      <c r="J195" s="102"/>
      <c r="K195" s="254"/>
      <c r="L195" s="102"/>
      <c r="M195" s="273"/>
      <c r="N195"/>
      <c r="O195"/>
      <c r="P195"/>
      <c r="Q195"/>
      <c r="R195"/>
      <c r="S195"/>
      <c r="T195"/>
      <c r="U195"/>
      <c r="V195"/>
      <c r="W195" s="254"/>
      <c r="X195" s="254"/>
      <c r="Y195"/>
      <c r="Z195"/>
      <c r="AA195"/>
      <c r="AB195" s="254"/>
      <c r="AC195"/>
      <c r="AD195"/>
      <c r="AE195"/>
      <c r="AF195"/>
      <c r="AG195"/>
      <c r="AH195"/>
      <c r="AI195"/>
      <c r="AJ195"/>
      <c r="AK195"/>
      <c r="AL195"/>
      <c r="AM195"/>
      <c r="BC195"/>
      <c r="BD195"/>
      <c r="BE195"/>
      <c r="BF195"/>
      <c r="BG195"/>
      <c r="BH195"/>
      <c r="BI195"/>
      <c r="BJ195"/>
      <c r="BK195"/>
      <c r="BL195"/>
      <c r="BM195"/>
      <c r="BN195"/>
    </row>
    <row r="196" spans="1:66" s="134" customFormat="1" x14ac:dyDescent="0.25">
      <c r="A196" s="1"/>
      <c r="B196" s="1"/>
      <c r="C196" s="1"/>
      <c r="D196" s="1"/>
      <c r="E196" s="1"/>
      <c r="F196" s="271"/>
      <c r="G196" s="99"/>
      <c r="H196" s="137"/>
      <c r="I196" s="1"/>
      <c r="J196" s="102"/>
      <c r="K196" s="254"/>
      <c r="L196" s="102"/>
      <c r="M196" s="273"/>
      <c r="N196"/>
      <c r="O196"/>
      <c r="P196"/>
      <c r="Q196"/>
      <c r="R196"/>
      <c r="S196"/>
      <c r="T196"/>
      <c r="U196"/>
      <c r="V196"/>
      <c r="W196" s="254"/>
      <c r="X196" s="254"/>
      <c r="Y196"/>
      <c r="Z196"/>
      <c r="AA196"/>
      <c r="AB196" s="254"/>
      <c r="AC196"/>
      <c r="AD196"/>
      <c r="AE196"/>
      <c r="AF196"/>
      <c r="AG196"/>
      <c r="AH196"/>
      <c r="AI196"/>
      <c r="AJ196"/>
      <c r="AK196"/>
      <c r="AL196"/>
      <c r="AM196"/>
      <c r="BC196"/>
      <c r="BD196"/>
      <c r="BE196"/>
      <c r="BF196"/>
      <c r="BG196"/>
      <c r="BH196"/>
      <c r="BI196"/>
      <c r="BJ196"/>
      <c r="BK196"/>
      <c r="BL196"/>
      <c r="BM196"/>
      <c r="BN196"/>
    </row>
    <row r="201" spans="1:66" x14ac:dyDescent="0.25">
      <c r="BC201" s="134"/>
      <c r="BD201" s="134"/>
      <c r="BE201" s="134"/>
      <c r="BF201" s="134"/>
      <c r="BG201" s="134"/>
      <c r="BH201" s="134"/>
      <c r="BI201" s="134"/>
      <c r="BJ201" s="134"/>
      <c r="BK201" s="134"/>
      <c r="BL201" s="134"/>
      <c r="BM201" s="134"/>
      <c r="BN201" s="134"/>
    </row>
    <row r="202" spans="1:66" x14ac:dyDescent="0.25">
      <c r="BC202" s="134"/>
      <c r="BD202" s="134"/>
      <c r="BE202" s="134"/>
      <c r="BF202" s="134"/>
      <c r="BG202" s="134"/>
      <c r="BH202" s="134"/>
      <c r="BI202" s="134"/>
      <c r="BJ202" s="134"/>
      <c r="BK202" s="134"/>
      <c r="BL202" s="134"/>
      <c r="BM202" s="134"/>
      <c r="BN202" s="134"/>
    </row>
    <row r="203" spans="1:66" x14ac:dyDescent="0.25">
      <c r="BC203" s="134"/>
      <c r="BD203" s="134"/>
      <c r="BE203" s="134"/>
      <c r="BF203" s="134"/>
      <c r="BG203" s="134"/>
      <c r="BH203" s="134"/>
      <c r="BI203" s="134"/>
      <c r="BJ203" s="134"/>
      <c r="BK203" s="134"/>
      <c r="BL203" s="134"/>
      <c r="BM203" s="134"/>
      <c r="BN203" s="134"/>
    </row>
    <row r="208" spans="1:66" s="134" customFormat="1" x14ac:dyDescent="0.25">
      <c r="A208" s="1"/>
      <c r="B208" s="1"/>
      <c r="C208" s="1"/>
      <c r="D208" s="1"/>
      <c r="E208" s="1"/>
      <c r="F208" s="271"/>
      <c r="G208" s="99"/>
      <c r="H208" s="137"/>
      <c r="I208" s="1"/>
      <c r="J208" s="102"/>
      <c r="K208" s="254"/>
      <c r="L208" s="102"/>
      <c r="M208" s="273"/>
      <c r="N208"/>
      <c r="O208"/>
      <c r="P208"/>
      <c r="Q208"/>
      <c r="R208"/>
      <c r="S208"/>
      <c r="T208"/>
      <c r="U208"/>
      <c r="V208"/>
      <c r="W208" s="254"/>
      <c r="X208" s="254"/>
      <c r="Y208"/>
      <c r="Z208"/>
      <c r="AA208"/>
      <c r="AB208" s="254"/>
      <c r="AC208"/>
      <c r="AD208"/>
      <c r="AE208"/>
      <c r="AF208"/>
      <c r="AG208"/>
      <c r="AH208"/>
      <c r="AI208"/>
      <c r="AJ208"/>
      <c r="AK208"/>
      <c r="AL208"/>
      <c r="AM208"/>
      <c r="BC208"/>
      <c r="BD208"/>
      <c r="BE208"/>
      <c r="BF208"/>
      <c r="BG208"/>
      <c r="BH208"/>
      <c r="BI208"/>
      <c r="BJ208"/>
      <c r="BK208"/>
      <c r="BL208"/>
      <c r="BM208"/>
      <c r="BN208"/>
    </row>
    <row r="209" spans="1:66" s="134" customFormat="1" x14ac:dyDescent="0.25">
      <c r="A209" s="1"/>
      <c r="B209" s="1"/>
      <c r="C209" s="1"/>
      <c r="D209" s="1"/>
      <c r="E209" s="1"/>
      <c r="F209" s="271"/>
      <c r="G209" s="99"/>
      <c r="H209" s="137"/>
      <c r="I209" s="1"/>
      <c r="J209" s="102"/>
      <c r="K209" s="254"/>
      <c r="L209" s="102"/>
      <c r="M209" s="273"/>
      <c r="N209"/>
      <c r="O209"/>
      <c r="P209"/>
      <c r="Q209"/>
      <c r="R209"/>
      <c r="S209"/>
      <c r="T209"/>
      <c r="U209"/>
      <c r="V209"/>
      <c r="W209" s="254"/>
      <c r="X209" s="254"/>
      <c r="Y209"/>
      <c r="Z209"/>
      <c r="AA209"/>
      <c r="AB209" s="254"/>
      <c r="AC209"/>
      <c r="AD209"/>
      <c r="AE209"/>
      <c r="AF209"/>
      <c r="AG209"/>
      <c r="AH209"/>
      <c r="AI209"/>
      <c r="AJ209"/>
      <c r="AK209"/>
      <c r="AL209"/>
      <c r="AM209"/>
      <c r="BC209"/>
      <c r="BD209"/>
      <c r="BE209"/>
      <c r="BF209"/>
      <c r="BG209"/>
      <c r="BH209"/>
      <c r="BI209"/>
      <c r="BJ209"/>
      <c r="BK209"/>
      <c r="BL209"/>
      <c r="BM209"/>
      <c r="BN209"/>
    </row>
    <row r="210" spans="1:66" s="134" customFormat="1" x14ac:dyDescent="0.25">
      <c r="A210" s="1"/>
      <c r="B210" s="1"/>
      <c r="C210" s="1"/>
      <c r="D210" s="1"/>
      <c r="E210" s="1"/>
      <c r="F210" s="271"/>
      <c r="G210" s="99"/>
      <c r="H210" s="137"/>
      <c r="I210" s="1"/>
      <c r="J210" s="102"/>
      <c r="K210" s="254"/>
      <c r="L210" s="102"/>
      <c r="M210" s="273"/>
      <c r="N210"/>
      <c r="O210"/>
      <c r="P210"/>
      <c r="Q210"/>
      <c r="R210"/>
      <c r="S210"/>
      <c r="T210"/>
      <c r="U210"/>
      <c r="V210"/>
      <c r="W210" s="254"/>
      <c r="X210" s="254"/>
      <c r="Y210"/>
      <c r="Z210"/>
      <c r="AA210"/>
      <c r="AB210" s="254"/>
      <c r="AC210"/>
      <c r="AD210"/>
      <c r="AE210"/>
      <c r="AF210"/>
      <c r="AG210"/>
      <c r="AH210"/>
      <c r="AI210"/>
      <c r="AJ210"/>
      <c r="AK210"/>
      <c r="AL210"/>
      <c r="AM210"/>
      <c r="BC210"/>
      <c r="BD210"/>
      <c r="BE210"/>
      <c r="BF210"/>
      <c r="BG210"/>
      <c r="BH210"/>
      <c r="BI210"/>
      <c r="BJ210"/>
      <c r="BK210"/>
      <c r="BL210"/>
      <c r="BM210"/>
      <c r="BN210"/>
    </row>
  </sheetData>
  <conditionalFormatting sqref="A1:AM1">
    <cfRule type="expression" dxfId="423" priority="1">
      <formula>#REF!&lt;#REF!</formula>
    </cfRule>
  </conditionalFormatting>
  <conditionalFormatting sqref="A2:AM2">
    <cfRule type="expression" dxfId="422" priority="258">
      <formula>$AP1048328&lt;#REF!</formula>
    </cfRule>
  </conditionalFormatting>
  <conditionalFormatting sqref="AK2:AM2">
    <cfRule type="iconSet" priority="277">
      <iconSet iconSet="3Arrows">
        <cfvo type="percent" val="0"/>
        <cfvo type="percent" val="33"/>
        <cfvo type="percent" val="67"/>
      </iconSet>
    </cfRule>
    <cfRule type="cellIs" dxfId="421" priority="278" operator="lessThan">
      <formula>-40</formula>
    </cfRule>
    <cfRule type="cellIs" dxfId="420" priority="279" operator="greaterThan">
      <formula>40</formula>
    </cfRule>
  </conditionalFormatting>
  <pageMargins left="0.7" right="0.7" top="0.75" bottom="0.75" header="0.3" footer="0.3"/>
  <pageSetup paperSize="9"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1"/>
  <dimension ref="A1:CU161"/>
  <sheetViews>
    <sheetView topLeftCell="A28" zoomScaleNormal="100" workbookViewId="0">
      <pane xSplit="1" topLeftCell="BW1" activePane="topRight" state="frozen"/>
      <selection pane="topRight" activeCell="CD42" sqref="CD42"/>
    </sheetView>
  </sheetViews>
  <sheetFormatPr defaultRowHeight="15" x14ac:dyDescent="0.25"/>
  <cols>
    <col min="1" max="1" width="20.7109375" style="1" customWidth="1"/>
    <col min="2" max="2" width="15.7109375" style="1" customWidth="1"/>
    <col min="3" max="3" width="63.28515625" style="1" customWidth="1"/>
    <col min="4" max="6" width="15.7109375" style="1" customWidth="1"/>
    <col min="7" max="12" width="15.7109375" style="183" customWidth="1"/>
    <col min="13" max="13" width="15.7109375" style="145" customWidth="1"/>
    <col min="14" max="14" width="27" style="146" customWidth="1"/>
    <col min="15" max="15" width="15.7109375" style="1" customWidth="1"/>
    <col min="16" max="17" width="15.7109375" customWidth="1"/>
    <col min="18" max="18" width="24.5703125" customWidth="1"/>
    <col min="19" max="19" width="25.5703125" customWidth="1"/>
    <col min="20" max="20" width="29.28515625" customWidth="1"/>
    <col min="21" max="21" width="27.28515625" customWidth="1"/>
    <col min="22" max="22" width="26" customWidth="1"/>
    <col min="23" max="23" width="35" customWidth="1"/>
    <col min="24" max="24" width="28.85546875" customWidth="1"/>
    <col min="25" max="25" width="34.42578125" customWidth="1"/>
    <col min="26" max="26" width="30.5703125" customWidth="1"/>
    <col min="27" max="27" width="26.28515625" customWidth="1"/>
    <col min="28" max="28" width="15.7109375" customWidth="1"/>
    <col min="29" max="29" width="30" customWidth="1"/>
    <col min="30" max="30" width="33" customWidth="1"/>
    <col min="31" max="37" width="15.7109375" customWidth="1"/>
    <col min="38" max="53" width="19.140625" customWidth="1"/>
    <col min="54" max="54" width="39.28515625" customWidth="1"/>
    <col min="55" max="55" width="33.5703125" customWidth="1"/>
    <col min="56" max="58" width="19.140625" customWidth="1"/>
    <col min="59" max="60" width="35.42578125" customWidth="1"/>
    <col min="61" max="61" width="37.85546875" customWidth="1"/>
    <col min="62" max="62" width="36.28515625" customWidth="1"/>
    <col min="63" max="63" width="16.42578125" customWidth="1"/>
    <col min="64" max="65" width="9.140625" customWidth="1"/>
    <col min="66" max="66" width="18.140625" customWidth="1"/>
    <col min="67" max="67" width="9.140625" customWidth="1"/>
    <col min="68" max="68" width="23.5703125" customWidth="1"/>
    <col min="69" max="69" width="29.5703125" customWidth="1"/>
    <col min="70" max="70" width="20.140625" customWidth="1"/>
    <col min="71" max="71" width="13.7109375" customWidth="1"/>
    <col min="72" max="72" width="9.140625" customWidth="1"/>
    <col min="73" max="73" width="28.140625" customWidth="1"/>
    <col min="74" max="74" width="9.140625" customWidth="1"/>
    <col min="75" max="75" width="19.5703125" customWidth="1"/>
    <col min="76" max="76" width="23" customWidth="1"/>
    <col min="77" max="77" width="12.5703125" customWidth="1"/>
    <col min="78" max="78" width="12.85546875" customWidth="1"/>
    <col min="79" max="79" width="9.140625" customWidth="1"/>
    <col min="80" max="80" width="45.7109375" customWidth="1"/>
    <col min="81" max="81" width="19.85546875" customWidth="1"/>
    <col min="82" max="82" width="26" customWidth="1"/>
    <col min="83" max="83" width="15.140625" style="254" customWidth="1"/>
    <col min="84" max="84" width="16.85546875" customWidth="1"/>
    <col min="85" max="85" width="15.5703125" customWidth="1"/>
    <col min="86" max="86" width="13" customWidth="1"/>
    <col min="87" max="87" width="20.7109375" customWidth="1"/>
    <col min="88" max="88" width="19.28515625" customWidth="1"/>
    <col min="89" max="90" width="14" customWidth="1"/>
    <col min="91" max="91" width="19.85546875" customWidth="1"/>
    <col min="92" max="92" width="28.85546875" customWidth="1"/>
    <col min="93" max="93" width="14.140625" customWidth="1"/>
    <col min="94" max="98" width="9.140625" customWidth="1"/>
  </cols>
  <sheetData>
    <row r="1" spans="1:99" s="4" customFormat="1" ht="105" customHeight="1" x14ac:dyDescent="0.25">
      <c r="A1" s="2" t="s">
        <v>4</v>
      </c>
      <c r="B1" s="2" t="s">
        <v>5</v>
      </c>
      <c r="C1" s="2" t="s">
        <v>85</v>
      </c>
      <c r="D1" s="2" t="s">
        <v>72</v>
      </c>
      <c r="E1" s="2" t="s">
        <v>70</v>
      </c>
      <c r="F1" s="2" t="s">
        <v>86</v>
      </c>
      <c r="G1" s="143" t="s">
        <v>45</v>
      </c>
      <c r="H1" s="143" t="s">
        <v>46</v>
      </c>
      <c r="I1" s="143" t="s">
        <v>47</v>
      </c>
      <c r="J1" s="143" t="s">
        <v>48</v>
      </c>
      <c r="K1" s="143" t="s">
        <v>49</v>
      </c>
      <c r="L1" s="143" t="s">
        <v>50</v>
      </c>
      <c r="M1" s="144" t="s">
        <v>120</v>
      </c>
      <c r="N1" s="144" t="s">
        <v>68</v>
      </c>
      <c r="O1" s="2" t="s">
        <v>132</v>
      </c>
      <c r="P1" s="2" t="s">
        <v>328</v>
      </c>
      <c r="Q1" s="2" t="s">
        <v>327</v>
      </c>
      <c r="R1" s="2" t="s">
        <v>298</v>
      </c>
      <c r="S1" s="2" t="s">
        <v>304</v>
      </c>
      <c r="T1" s="2" t="s">
        <v>305</v>
      </c>
      <c r="U1" s="2" t="s">
        <v>308</v>
      </c>
      <c r="V1" s="2" t="s">
        <v>309</v>
      </c>
      <c r="W1" s="2" t="s">
        <v>320</v>
      </c>
      <c r="X1" s="2" t="s">
        <v>342</v>
      </c>
      <c r="Y1" s="2" t="s">
        <v>318</v>
      </c>
      <c r="Z1" s="2" t="s">
        <v>345</v>
      </c>
      <c r="AA1" s="2" t="s">
        <v>332</v>
      </c>
      <c r="AB1" s="2" t="s">
        <v>335</v>
      </c>
      <c r="AC1" s="2" t="s">
        <v>334</v>
      </c>
      <c r="AD1" s="2" t="s">
        <v>324</v>
      </c>
      <c r="AE1" s="2" t="s">
        <v>299</v>
      </c>
      <c r="AF1" s="2" t="s">
        <v>325</v>
      </c>
      <c r="AG1" s="18" t="s">
        <v>326</v>
      </c>
      <c r="AH1" s="2" t="s">
        <v>350</v>
      </c>
      <c r="AI1" s="2" t="s">
        <v>399</v>
      </c>
      <c r="AJ1" s="2" t="s">
        <v>307</v>
      </c>
      <c r="AK1" s="2" t="s">
        <v>333</v>
      </c>
      <c r="AL1" s="2" t="s">
        <v>343</v>
      </c>
      <c r="AM1" s="2" t="s">
        <v>367</v>
      </c>
      <c r="AN1" s="2" t="s">
        <v>300</v>
      </c>
      <c r="AO1" s="2" t="s">
        <v>387</v>
      </c>
      <c r="AP1" s="2" t="s">
        <v>306</v>
      </c>
      <c r="AQ1" s="2" t="s">
        <v>388</v>
      </c>
      <c r="AR1" s="2" t="s">
        <v>310</v>
      </c>
      <c r="AS1" s="2" t="s">
        <v>359</v>
      </c>
      <c r="AT1" s="2" t="s">
        <v>336</v>
      </c>
      <c r="AU1" s="97" t="s">
        <v>337</v>
      </c>
      <c r="AV1" s="2" t="s">
        <v>338</v>
      </c>
      <c r="AW1" s="2" t="s">
        <v>346</v>
      </c>
      <c r="AX1" s="98" t="s">
        <v>329</v>
      </c>
      <c r="AY1" s="5" t="s">
        <v>330</v>
      </c>
      <c r="AZ1" s="98" t="s">
        <v>331</v>
      </c>
      <c r="BA1" s="2" t="s">
        <v>317</v>
      </c>
      <c r="BB1" s="2" t="s">
        <v>504</v>
      </c>
      <c r="BC1" s="2" t="s">
        <v>503</v>
      </c>
      <c r="BD1" s="2" t="s">
        <v>311</v>
      </c>
      <c r="BE1" s="2" t="s">
        <v>315</v>
      </c>
      <c r="BF1" s="2" t="s">
        <v>312</v>
      </c>
      <c r="BG1" s="2" t="s">
        <v>313</v>
      </c>
      <c r="BH1" s="2" t="s">
        <v>344</v>
      </c>
      <c r="BI1" s="2" t="s">
        <v>314</v>
      </c>
      <c r="BJ1" s="2" t="s">
        <v>316</v>
      </c>
      <c r="BK1" s="2" t="s">
        <v>360</v>
      </c>
      <c r="BL1" s="2" t="s">
        <v>302</v>
      </c>
      <c r="BM1" s="2" t="s">
        <v>303</v>
      </c>
      <c r="BN1" s="2" t="s">
        <v>323</v>
      </c>
      <c r="BO1" s="2" t="s">
        <v>376</v>
      </c>
      <c r="BP1" s="2" t="s">
        <v>383</v>
      </c>
      <c r="BQ1" s="2" t="s">
        <v>136</v>
      </c>
      <c r="BR1" s="2" t="s">
        <v>384</v>
      </c>
      <c r="BS1" s="2" t="s">
        <v>400</v>
      </c>
      <c r="BT1" s="2" t="s">
        <v>401</v>
      </c>
      <c r="BU1" s="2" t="s">
        <v>421</v>
      </c>
      <c r="BV1" s="2" t="s">
        <v>422</v>
      </c>
      <c r="BW1" s="2" t="s">
        <v>423</v>
      </c>
      <c r="BX1" s="2" t="s">
        <v>424</v>
      </c>
      <c r="BY1" s="2" t="s">
        <v>410</v>
      </c>
      <c r="BZ1" s="2" t="s">
        <v>411</v>
      </c>
      <c r="CA1" s="2" t="s">
        <v>474</v>
      </c>
      <c r="CB1" s="2" t="s">
        <v>468</v>
      </c>
      <c r="CC1" s="2" t="s">
        <v>476</v>
      </c>
      <c r="CD1" s="2" t="s">
        <v>496</v>
      </c>
      <c r="CE1" s="253" t="s">
        <v>696</v>
      </c>
      <c r="CF1" s="2" t="s">
        <v>712</v>
      </c>
      <c r="CG1" s="2" t="s">
        <v>711</v>
      </c>
      <c r="CH1" s="2" t="s">
        <v>717</v>
      </c>
      <c r="CI1" s="143" t="s">
        <v>852</v>
      </c>
      <c r="CJ1" s="143" t="s">
        <v>853</v>
      </c>
      <c r="CK1" s="143" t="s">
        <v>1101</v>
      </c>
      <c r="CL1" s="143" t="s">
        <v>1111</v>
      </c>
      <c r="CM1" s="143" t="s">
        <v>1102</v>
      </c>
      <c r="CN1" s="143" t="s">
        <v>1113</v>
      </c>
      <c r="CO1" s="143" t="s">
        <v>1222</v>
      </c>
      <c r="CP1" s="143" t="s">
        <v>1089</v>
      </c>
      <c r="CQ1" s="143" t="s">
        <v>1298</v>
      </c>
      <c r="CR1" s="143" t="s">
        <v>1299</v>
      </c>
      <c r="CS1" s="143" t="s">
        <v>1300</v>
      </c>
      <c r="CT1" s="143" t="s">
        <v>1301</v>
      </c>
      <c r="CU1" s="143" t="s">
        <v>1297</v>
      </c>
    </row>
    <row r="2" spans="1:99" s="134" customFormat="1" ht="15" customHeight="1" x14ac:dyDescent="0.25">
      <c r="A2" s="287" t="s">
        <v>3</v>
      </c>
      <c r="B2" s="132" t="s">
        <v>6</v>
      </c>
      <c r="C2" s="132" t="s">
        <v>719</v>
      </c>
      <c r="D2" s="132" t="s">
        <v>8</v>
      </c>
      <c r="E2" s="132" t="s">
        <v>10</v>
      </c>
      <c r="F2" s="132" t="s">
        <v>87</v>
      </c>
      <c r="G2" s="286">
        <v>420</v>
      </c>
      <c r="H2" s="286">
        <v>2500</v>
      </c>
      <c r="I2" s="286">
        <v>150</v>
      </c>
      <c r="J2" s="286">
        <v>900</v>
      </c>
      <c r="K2" s="286">
        <v>180</v>
      </c>
      <c r="L2" s="286">
        <v>640</v>
      </c>
      <c r="M2" s="132"/>
      <c r="N2" s="288"/>
      <c r="O2" s="232">
        <v>2350</v>
      </c>
      <c r="P2" s="289"/>
      <c r="Q2" s="289"/>
      <c r="R2" s="132">
        <f>'комплекты фурнитуры'!$C$3</f>
        <v>550</v>
      </c>
      <c r="S2" s="132"/>
      <c r="T2" s="132"/>
      <c r="U2" s="132"/>
      <c r="V2" s="132"/>
      <c r="W2" s="132"/>
      <c r="X2" s="132"/>
      <c r="Y2" s="132"/>
      <c r="Z2" s="132"/>
      <c r="AA2" s="132"/>
      <c r="AB2" s="132"/>
      <c r="AC2" s="132"/>
      <c r="AD2" s="132"/>
      <c r="AE2" s="132">
        <f>'комплекты фурнитуры'!$C$23*2</f>
        <v>560</v>
      </c>
      <c r="AF2" s="132"/>
      <c r="AG2" s="132"/>
      <c r="AH2" s="233">
        <f>SUM(Прайс[[#This Row],[КФ НСТ11]:[KFPr-SB-ZPG]])</f>
        <v>1110</v>
      </c>
      <c r="AI2" s="233"/>
      <c r="AJ2" s="132"/>
      <c r="AK2" s="132"/>
      <c r="AL2" s="132"/>
      <c r="AM2" s="233"/>
      <c r="AN2" s="233"/>
      <c r="AO2" s="233"/>
      <c r="AP2" s="233"/>
      <c r="AQ2" s="233"/>
      <c r="AR2" s="233"/>
      <c r="AS2" s="233"/>
      <c r="AT2" s="233"/>
      <c r="AU2" s="233"/>
      <c r="AV2" s="233"/>
      <c r="AW2" s="233"/>
      <c r="AX2" s="233"/>
      <c r="AY2" s="233"/>
      <c r="AZ2" s="233"/>
      <c r="BA2" s="233"/>
      <c r="BB2" s="233"/>
      <c r="BC2" s="233"/>
      <c r="BD2" s="233"/>
      <c r="BE2" s="233"/>
      <c r="BF2" s="233"/>
      <c r="BG2" s="233"/>
      <c r="BH2" s="233"/>
      <c r="BI2" s="233"/>
      <c r="BJ2" s="233"/>
      <c r="BK2" s="233"/>
      <c r="BL2" s="233"/>
      <c r="BM2" s="233"/>
      <c r="BN2" s="233"/>
      <c r="BO2" s="233"/>
      <c r="BP2" s="234">
        <f>SUM(Прайс[[#This Row],[ KFPr-SB-StK ]:[Корзина с держателем для бутылок 414*500*520 мм]])</f>
        <v>0</v>
      </c>
      <c r="BQ2" s="235">
        <f>SUM(Прайс[[#This Row],[ KFPr-SB-StK ]:[Корзина с держателем для бутылок 414*500*520 мм]])</f>
        <v>0</v>
      </c>
      <c r="BR2" s="235">
        <f>SUM(Прайс[[#This Row],[ KFPr-SB-StK ]:[Корзина с держателем для бутылок 414*500*520 мм]])</f>
        <v>0</v>
      </c>
      <c r="BS2" s="133">
        <v>300</v>
      </c>
      <c r="BT2" s="133">
        <v>720</v>
      </c>
      <c r="BU2" s="133" t="str">
        <f>IF(OR(Прайс[[#This Row],[Тип]]="Нижний",Прайс[[#This Row],[Тип]]="Пенал"),"560",IF(Прайс[[#This Row],[Тип]]="Верхний",315,0))</f>
        <v>560</v>
      </c>
      <c r="BV2" s="236">
        <v>1.095</v>
      </c>
      <c r="BW2" s="236">
        <v>1.0649999999999999</v>
      </c>
      <c r="BX2" s="235">
        <v>1.3</v>
      </c>
      <c r="BY2" s="133">
        <v>0</v>
      </c>
      <c r="BZ2" s="133">
        <v>7</v>
      </c>
      <c r="CA2" s="133" t="s">
        <v>10</v>
      </c>
      <c r="CB2" s="235" t="s">
        <v>469</v>
      </c>
      <c r="CC2" s="133">
        <v>1</v>
      </c>
      <c r="CD2" s="133" t="s">
        <v>10</v>
      </c>
      <c r="CE2" s="132">
        <v>3200</v>
      </c>
      <c r="CF2" s="133"/>
      <c r="CG2" s="133"/>
      <c r="CH2" s="133">
        <v>0</v>
      </c>
      <c r="CI2" s="133">
        <v>0</v>
      </c>
      <c r="CJ2" s="133">
        <v>0</v>
      </c>
      <c r="CK2" s="133"/>
      <c r="CL2" s="133"/>
      <c r="CM2" s="133"/>
      <c r="CN2" s="133"/>
      <c r="CO2" s="133" t="s">
        <v>10</v>
      </c>
      <c r="CP2" s="133">
        <f>IF(Прайс[[#This Row],[Наличие подсветки на нижнем горизонте]]="Нет",0,'комплекты фурнитуры'!$C$95)</f>
        <v>0</v>
      </c>
      <c r="CQ2" s="133"/>
      <c r="CR2" s="133"/>
      <c r="CS2" s="133"/>
      <c r="CT2" s="133"/>
      <c r="CU2" s="133">
        <v>0</v>
      </c>
    </row>
    <row r="3" spans="1:99" s="134" customFormat="1" ht="15" customHeight="1" x14ac:dyDescent="0.25">
      <c r="A3" s="290" t="s">
        <v>0</v>
      </c>
      <c r="B3" s="132" t="s">
        <v>6</v>
      </c>
      <c r="C3" s="132" t="s">
        <v>720</v>
      </c>
      <c r="D3" s="132" t="s">
        <v>73</v>
      </c>
      <c r="E3" s="132" t="s">
        <v>10</v>
      </c>
      <c r="F3" s="132" t="s">
        <v>87</v>
      </c>
      <c r="G3" s="286">
        <v>480</v>
      </c>
      <c r="H3" s="286">
        <v>960</v>
      </c>
      <c r="I3" s="286">
        <v>150</v>
      </c>
      <c r="J3" s="286">
        <v>650</v>
      </c>
      <c r="K3" s="286">
        <v>180</v>
      </c>
      <c r="L3" s="286">
        <v>640</v>
      </c>
      <c r="M3" s="132"/>
      <c r="N3" s="288"/>
      <c r="O3" s="232">
        <v>2350</v>
      </c>
      <c r="P3" s="289"/>
      <c r="Q3" s="289"/>
      <c r="R3" s="132">
        <f>'комплекты фурнитуры'!$C$3</f>
        <v>550</v>
      </c>
      <c r="S3" s="132"/>
      <c r="T3" s="132"/>
      <c r="U3" s="132"/>
      <c r="V3" s="132"/>
      <c r="W3" s="132"/>
      <c r="X3" s="132"/>
      <c r="Y3" s="132"/>
      <c r="Z3" s="132"/>
      <c r="AA3" s="132"/>
      <c r="AB3" s="132"/>
      <c r="AC3" s="132"/>
      <c r="AD3" s="132"/>
      <c r="AE3" s="132">
        <f>'комплекты фурнитуры'!$C$23*2</f>
        <v>560</v>
      </c>
      <c r="AF3" s="132"/>
      <c r="AG3" s="132"/>
      <c r="AH3" s="233">
        <f>SUM(Прайс[[#This Row],[КФ НСТ11]:[KFPr-SB-ZPG]])</f>
        <v>1110</v>
      </c>
      <c r="AI3" s="233"/>
      <c r="AJ3" s="132"/>
      <c r="AK3" s="132"/>
      <c r="AL3" s="132"/>
      <c r="AM3" s="233">
        <f>'комплекты фурнитуры'!$C$66</f>
        <v>620</v>
      </c>
      <c r="AN3" s="233">
        <f>'комплекты фурнитуры'!$C$67</f>
        <v>130</v>
      </c>
      <c r="AO3" s="233"/>
      <c r="AP3" s="233"/>
      <c r="AQ3" s="233"/>
      <c r="AR3" s="233"/>
      <c r="AS3" s="233"/>
      <c r="AT3" s="233"/>
      <c r="AU3" s="233"/>
      <c r="AV3" s="233"/>
      <c r="AW3" s="233"/>
      <c r="AX3" s="233"/>
      <c r="AY3" s="233"/>
      <c r="AZ3" s="233"/>
      <c r="BA3" s="233"/>
      <c r="BB3" s="233"/>
      <c r="BC3" s="233"/>
      <c r="BD3" s="233"/>
      <c r="BE3" s="233"/>
      <c r="BF3" s="233"/>
      <c r="BG3" s="233"/>
      <c r="BH3" s="233"/>
      <c r="BI3" s="233"/>
      <c r="BJ3" s="233"/>
      <c r="BK3" s="233"/>
      <c r="BL3" s="233"/>
      <c r="BM3" s="233"/>
      <c r="BN3" s="233"/>
      <c r="BO3" s="233"/>
      <c r="BP3" s="234">
        <f>Прайс[[#This Row],[КФ петли SENS накл.110 гр. с крестообр. Планкой]]*2</f>
        <v>1240</v>
      </c>
      <c r="BQ3" s="235">
        <f>Прайс[[#This Row],[KFP-SB-N110]]*2</f>
        <v>260</v>
      </c>
      <c r="BR3" s="235">
        <f>Прайс[[#This Row],[KFP-SB-N110]]*2</f>
        <v>260</v>
      </c>
      <c r="BS3" s="133">
        <v>300</v>
      </c>
      <c r="BT3" s="133">
        <v>720</v>
      </c>
      <c r="BU3" s="133" t="str">
        <f>IF(OR(Прайс[[#This Row],[Тип]]="Нижний",Прайс[[#This Row],[Тип]]="Пенал"),"560",IF(Прайс[[#This Row],[Тип]]="Верхний",315,0))</f>
        <v>560</v>
      </c>
      <c r="BV3" s="236">
        <v>1.08</v>
      </c>
      <c r="BW3" s="236">
        <v>1.0649999999999999</v>
      </c>
      <c r="BX3" s="235">
        <v>1.3</v>
      </c>
      <c r="BY3" s="133">
        <v>0</v>
      </c>
      <c r="BZ3" s="133">
        <v>7</v>
      </c>
      <c r="CA3" s="133" t="s">
        <v>10</v>
      </c>
      <c r="CB3" s="235" t="s">
        <v>469</v>
      </c>
      <c r="CC3" s="133">
        <v>1</v>
      </c>
      <c r="CD3" s="133" t="s">
        <v>10</v>
      </c>
      <c r="CE3" s="132">
        <v>3200</v>
      </c>
      <c r="CF3" s="133"/>
      <c r="CG3" s="133"/>
      <c r="CH3" s="133">
        <v>1</v>
      </c>
      <c r="CI3" s="133">
        <v>0</v>
      </c>
      <c r="CJ3" s="133">
        <v>0</v>
      </c>
      <c r="CK3" s="133"/>
      <c r="CL3" s="133"/>
      <c r="CM3" s="133"/>
      <c r="CN3" s="133"/>
      <c r="CO3" s="133" t="s">
        <v>10</v>
      </c>
      <c r="CP3" s="133">
        <f>IF(Прайс[[#This Row],[Наличие подсветки на нижнем горизонте]]="Нет",0,'комплекты фурнитуры'!$C$95)</f>
        <v>0</v>
      </c>
      <c r="CQ3" s="133">
        <f>'комплекты фурнитуры'!$C$53</f>
        <v>340</v>
      </c>
      <c r="CR3" s="133"/>
      <c r="CS3" s="133"/>
      <c r="CT3" s="133"/>
      <c r="CU3" s="133">
        <f>Прайс[[#This Row],[КФ петли JET накл. 105 гр.]]*2</f>
        <v>680</v>
      </c>
    </row>
    <row r="4" spans="1:99" s="134" customFormat="1" ht="15" customHeight="1" x14ac:dyDescent="0.25">
      <c r="A4" s="290" t="s">
        <v>11</v>
      </c>
      <c r="B4" s="132" t="s">
        <v>6</v>
      </c>
      <c r="C4" s="132" t="s">
        <v>721</v>
      </c>
      <c r="D4" s="132" t="s">
        <v>73</v>
      </c>
      <c r="E4" s="132" t="s">
        <v>10</v>
      </c>
      <c r="F4" s="132" t="s">
        <v>87</v>
      </c>
      <c r="G4" s="286">
        <v>480</v>
      </c>
      <c r="H4" s="286">
        <v>960</v>
      </c>
      <c r="I4" s="286">
        <v>400</v>
      </c>
      <c r="J4" s="286">
        <v>900</v>
      </c>
      <c r="K4" s="286">
        <v>180</v>
      </c>
      <c r="L4" s="286">
        <v>640</v>
      </c>
      <c r="M4" s="132"/>
      <c r="N4" s="288"/>
      <c r="O4" s="232">
        <v>2350</v>
      </c>
      <c r="P4" s="289"/>
      <c r="Q4" s="289"/>
      <c r="R4" s="132">
        <f>'комплекты фурнитуры'!$C$3</f>
        <v>550</v>
      </c>
      <c r="S4" s="132"/>
      <c r="T4" s="132"/>
      <c r="U4" s="132"/>
      <c r="V4" s="132"/>
      <c r="W4" s="132"/>
      <c r="X4" s="132"/>
      <c r="Y4" s="132"/>
      <c r="Z4" s="132"/>
      <c r="AA4" s="132"/>
      <c r="AB4" s="132"/>
      <c r="AC4" s="132"/>
      <c r="AD4" s="132"/>
      <c r="AE4" s="132">
        <f>'комплекты фурнитуры'!$C$23*2</f>
        <v>560</v>
      </c>
      <c r="AF4" s="132"/>
      <c r="AG4" s="132"/>
      <c r="AH4" s="233">
        <f>SUM(Прайс[[#This Row],[КФ НСТ11]:[KFPr-SB-ZPG]])</f>
        <v>1110</v>
      </c>
      <c r="AI4" s="233"/>
      <c r="AJ4" s="132"/>
      <c r="AK4" s="132"/>
      <c r="AL4" s="132"/>
      <c r="AM4" s="233">
        <f>'комплекты фурнитуры'!$C$66</f>
        <v>620</v>
      </c>
      <c r="AN4" s="233">
        <f>'комплекты фурнитуры'!$C$67</f>
        <v>130</v>
      </c>
      <c r="AO4" s="233"/>
      <c r="AP4" s="233"/>
      <c r="AQ4" s="233"/>
      <c r="AR4" s="233"/>
      <c r="AS4" s="233"/>
      <c r="AT4" s="233"/>
      <c r="AU4" s="233"/>
      <c r="AV4" s="233"/>
      <c r="AW4" s="233"/>
      <c r="AX4" s="233"/>
      <c r="AY4" s="233"/>
      <c r="AZ4" s="233"/>
      <c r="BA4" s="233"/>
      <c r="BB4" s="233"/>
      <c r="BC4" s="233"/>
      <c r="BD4" s="233"/>
      <c r="BE4" s="233"/>
      <c r="BF4" s="233"/>
      <c r="BG4" s="233"/>
      <c r="BH4" s="233"/>
      <c r="BI4" s="233"/>
      <c r="BJ4" s="233"/>
      <c r="BK4" s="233"/>
      <c r="BL4" s="233"/>
      <c r="BM4" s="233"/>
      <c r="BN4" s="233"/>
      <c r="BO4" s="233"/>
      <c r="BP4" s="234">
        <f>Прайс[[#This Row],[КФ петли SENS накл.110 гр. с крестообр. Планкой]]*4</f>
        <v>2480</v>
      </c>
      <c r="BQ4" s="235">
        <f>Прайс[[#This Row],[KFP-SB-N110]]*4</f>
        <v>520</v>
      </c>
      <c r="BR4" s="235">
        <f>Прайс[[#This Row],[KFP-SB-N110]]*4</f>
        <v>520</v>
      </c>
      <c r="BS4" s="133">
        <v>300</v>
      </c>
      <c r="BT4" s="133">
        <v>720</v>
      </c>
      <c r="BU4" s="133" t="str">
        <f>IF(OR(Прайс[[#This Row],[Тип]]="Нижний",Прайс[[#This Row],[Тип]]="Пенал"),"560",IF(Прайс[[#This Row],[Тип]]="Верхний",315,0))</f>
        <v>560</v>
      </c>
      <c r="BV4" s="236">
        <v>1.08</v>
      </c>
      <c r="BW4" s="236">
        <v>1.0649999999999999</v>
      </c>
      <c r="BX4" s="235">
        <v>1.3</v>
      </c>
      <c r="BY4" s="133">
        <v>0</v>
      </c>
      <c r="BZ4" s="133">
        <v>7</v>
      </c>
      <c r="CA4" s="133" t="s">
        <v>10</v>
      </c>
      <c r="CB4" s="235" t="s">
        <v>469</v>
      </c>
      <c r="CC4" s="133">
        <v>1</v>
      </c>
      <c r="CD4" s="133" t="s">
        <v>10</v>
      </c>
      <c r="CE4" s="132">
        <v>3200</v>
      </c>
      <c r="CF4" s="133"/>
      <c r="CG4" s="133"/>
      <c r="CH4" s="133">
        <v>2</v>
      </c>
      <c r="CI4" s="133">
        <v>0</v>
      </c>
      <c r="CJ4" s="133">
        <v>0</v>
      </c>
      <c r="CK4" s="133"/>
      <c r="CL4" s="133"/>
      <c r="CM4" s="133"/>
      <c r="CN4" s="133"/>
      <c r="CO4" s="133" t="s">
        <v>10</v>
      </c>
      <c r="CP4" s="133">
        <f>IF(Прайс[[#This Row],[Наличие подсветки на нижнем горизонте]]="Нет",0,'комплекты фурнитуры'!$C$95)</f>
        <v>0</v>
      </c>
      <c r="CQ4" s="133">
        <f>'комплекты фурнитуры'!$C$53</f>
        <v>340</v>
      </c>
      <c r="CR4" s="133"/>
      <c r="CS4" s="133"/>
      <c r="CT4" s="133"/>
      <c r="CU4" s="133">
        <f>Прайс[[#This Row],[КФ петли JET накл. 105 гр.]]*4</f>
        <v>1360</v>
      </c>
    </row>
    <row r="5" spans="1:99" s="134" customFormat="1" ht="15" customHeight="1" x14ac:dyDescent="0.25">
      <c r="A5" s="290" t="s">
        <v>385</v>
      </c>
      <c r="B5" s="132" t="s">
        <v>6</v>
      </c>
      <c r="C5" s="132" t="s">
        <v>722</v>
      </c>
      <c r="D5" s="132" t="s">
        <v>73</v>
      </c>
      <c r="E5" s="132" t="s">
        <v>10</v>
      </c>
      <c r="F5" s="132" t="s">
        <v>88</v>
      </c>
      <c r="G5" s="286">
        <v>720</v>
      </c>
      <c r="H5" s="286">
        <v>880</v>
      </c>
      <c r="I5" s="286">
        <v>150</v>
      </c>
      <c r="J5" s="286">
        <v>150</v>
      </c>
      <c r="K5" s="286">
        <v>515</v>
      </c>
      <c r="L5" s="286">
        <v>640</v>
      </c>
      <c r="M5" s="132"/>
      <c r="N5" s="288" t="s">
        <v>51</v>
      </c>
      <c r="O5" s="232">
        <v>2350</v>
      </c>
      <c r="P5" s="289"/>
      <c r="Q5" s="289"/>
      <c r="R5" s="132">
        <f>'комплекты фурнитуры'!$C$3</f>
        <v>550</v>
      </c>
      <c r="S5" s="132"/>
      <c r="T5" s="132"/>
      <c r="U5" s="132"/>
      <c r="V5" s="132"/>
      <c r="W5" s="132"/>
      <c r="X5" s="132"/>
      <c r="Y5" s="132"/>
      <c r="Z5" s="132"/>
      <c r="AA5" s="132"/>
      <c r="AB5" s="132"/>
      <c r="AC5" s="132"/>
      <c r="AD5" s="132"/>
      <c r="AE5" s="132">
        <f>'комплекты фурнитуры'!$C$23*2</f>
        <v>560</v>
      </c>
      <c r="AF5" s="132"/>
      <c r="AG5" s="132"/>
      <c r="AH5" s="233">
        <f>SUM(Прайс[[#This Row],[КФ НСТ11]:[KFPr-SB-ZPG]])</f>
        <v>1110</v>
      </c>
      <c r="AI5" s="233"/>
      <c r="AJ5" s="132"/>
      <c r="AK5" s="132"/>
      <c r="AL5" s="132"/>
      <c r="AM5" s="233"/>
      <c r="AN5" s="233"/>
      <c r="AO5" s="233"/>
      <c r="AP5" s="233"/>
      <c r="AQ5" s="233"/>
      <c r="AR5" s="233"/>
      <c r="AS5" s="233"/>
      <c r="AT5" s="233"/>
      <c r="AU5" s="233"/>
      <c r="AV5" s="233"/>
      <c r="AW5" s="233"/>
      <c r="AX5" s="233"/>
      <c r="AY5" s="233"/>
      <c r="AZ5" s="233"/>
      <c r="BA5" s="233"/>
      <c r="BB5" s="233"/>
      <c r="BC5" s="233"/>
      <c r="BD5" s="233"/>
      <c r="BE5" s="233"/>
      <c r="BF5" s="233"/>
      <c r="BG5" s="233"/>
      <c r="BH5" s="233"/>
      <c r="BI5" s="233"/>
      <c r="BJ5" s="233"/>
      <c r="BK5" s="233">
        <f>'комплекты фурнитуры'!$C$46</f>
        <v>6340</v>
      </c>
      <c r="BL5" s="233"/>
      <c r="BM5" s="233"/>
      <c r="BN5" s="233"/>
      <c r="BO5" s="233"/>
      <c r="BP5" s="234">
        <f>SUM(Прайс[[#This Row],[ KFPr-SB-StK ]:[Корзина с держателем для бутылок 414*500*520 мм]])</f>
        <v>6340</v>
      </c>
      <c r="BQ5" s="235">
        <f>SUM(Прайс[[#This Row],[ KFPr-SB-StK ]:[Корзина с держателем для бутылок 414*500*520 мм]])</f>
        <v>6340</v>
      </c>
      <c r="BR5" s="235">
        <f>SUM(Прайс[[#This Row],[ KFPr-SB-StK ]:[Корзина с держателем для бутылок 414*500*520 мм]])</f>
        <v>6340</v>
      </c>
      <c r="BS5" s="133">
        <v>300</v>
      </c>
      <c r="BT5" s="133">
        <v>720</v>
      </c>
      <c r="BU5" s="133" t="str">
        <f>IF(OR(Прайс[[#This Row],[Тип]]="Нижний",Прайс[[#This Row],[Тип]]="Пенал"),"560",IF(Прайс[[#This Row],[Тип]]="Верхний",315,0))</f>
        <v>560</v>
      </c>
      <c r="BV5" s="236">
        <v>1.08</v>
      </c>
      <c r="BW5" s="236">
        <v>1.0649999999999999</v>
      </c>
      <c r="BX5" s="235">
        <v>1.3</v>
      </c>
      <c r="BY5" s="133">
        <v>0</v>
      </c>
      <c r="BZ5" s="133">
        <v>7</v>
      </c>
      <c r="CA5" s="133" t="s">
        <v>10</v>
      </c>
      <c r="CB5" s="235" t="s">
        <v>469</v>
      </c>
      <c r="CC5" s="133">
        <v>1</v>
      </c>
      <c r="CD5" s="133" t="s">
        <v>10</v>
      </c>
      <c r="CE5" s="132">
        <v>3200</v>
      </c>
      <c r="CF5" s="133"/>
      <c r="CG5" s="133"/>
      <c r="CH5" s="133">
        <v>1</v>
      </c>
      <c r="CI5" s="133">
        <v>0</v>
      </c>
      <c r="CJ5" s="133">
        <v>0</v>
      </c>
      <c r="CK5" s="133"/>
      <c r="CL5" s="133"/>
      <c r="CM5" s="133"/>
      <c r="CN5" s="133"/>
      <c r="CO5" s="133" t="s">
        <v>10</v>
      </c>
      <c r="CP5" s="133">
        <f>IF(Прайс[[#This Row],[Наличие подсветки на нижнем горизонте]]="Нет",0,'комплекты фурнитуры'!$C$95)</f>
        <v>0</v>
      </c>
      <c r="CQ5" s="133"/>
      <c r="CR5" s="133"/>
      <c r="CS5" s="133"/>
      <c r="CT5" s="133"/>
      <c r="CU5" s="235">
        <f>Прайс[[#This Row],[Комплектация №2]]</f>
        <v>6340</v>
      </c>
    </row>
    <row r="6" spans="1:99" s="134" customFormat="1" ht="15" customHeight="1" x14ac:dyDescent="0.25">
      <c r="A6" s="290" t="s">
        <v>386</v>
      </c>
      <c r="B6" s="132" t="s">
        <v>6</v>
      </c>
      <c r="C6" s="132" t="s">
        <v>723</v>
      </c>
      <c r="D6" s="132" t="s">
        <v>73</v>
      </c>
      <c r="E6" s="132" t="s">
        <v>10</v>
      </c>
      <c r="F6" s="132" t="s">
        <v>88</v>
      </c>
      <c r="G6" s="286">
        <v>720</v>
      </c>
      <c r="H6" s="286">
        <v>880</v>
      </c>
      <c r="I6" s="286">
        <v>450</v>
      </c>
      <c r="J6" s="286">
        <v>450</v>
      </c>
      <c r="K6" s="286">
        <v>515</v>
      </c>
      <c r="L6" s="286">
        <v>640</v>
      </c>
      <c r="M6" s="132"/>
      <c r="N6" s="288" t="s">
        <v>51</v>
      </c>
      <c r="O6" s="232">
        <v>2350</v>
      </c>
      <c r="P6" s="289"/>
      <c r="Q6" s="289"/>
      <c r="R6" s="132">
        <f>'комплекты фурнитуры'!$C$3</f>
        <v>550</v>
      </c>
      <c r="S6" s="132"/>
      <c r="T6" s="132"/>
      <c r="U6" s="132"/>
      <c r="V6" s="132"/>
      <c r="W6" s="132"/>
      <c r="X6" s="132"/>
      <c r="Y6" s="132"/>
      <c r="Z6" s="132"/>
      <c r="AA6" s="132"/>
      <c r="AB6" s="132"/>
      <c r="AC6" s="132"/>
      <c r="AD6" s="132"/>
      <c r="AE6" s="132">
        <f>'комплекты фурнитуры'!$C$23*2</f>
        <v>560</v>
      </c>
      <c r="AF6" s="132"/>
      <c r="AG6" s="132"/>
      <c r="AH6" s="233">
        <f>SUM(Прайс[[#This Row],[КФ НСТ11]:[KFPr-SB-ZPG]])</f>
        <v>1110</v>
      </c>
      <c r="AI6" s="233"/>
      <c r="AJ6" s="132"/>
      <c r="AK6" s="132"/>
      <c r="AL6" s="132"/>
      <c r="AM6" s="233"/>
      <c r="AN6" s="233"/>
      <c r="AO6" s="233"/>
      <c r="AP6" s="233"/>
      <c r="AQ6" s="233"/>
      <c r="AR6" s="233"/>
      <c r="AS6" s="233"/>
      <c r="AT6" s="233"/>
      <c r="AU6" s="233"/>
      <c r="AV6" s="233"/>
      <c r="AW6" s="233"/>
      <c r="AX6" s="233"/>
      <c r="AY6" s="233"/>
      <c r="AZ6" s="233"/>
      <c r="BA6" s="233"/>
      <c r="BB6" s="233"/>
      <c r="BC6" s="233"/>
      <c r="BD6" s="233"/>
      <c r="BE6" s="233"/>
      <c r="BF6" s="233"/>
      <c r="BG6" s="233"/>
      <c r="BH6" s="233"/>
      <c r="BI6" s="233"/>
      <c r="BJ6" s="233"/>
      <c r="BK6" s="233"/>
      <c r="BL6" s="233">
        <f>'комплекты фурнитуры'!$C$48</f>
        <v>10520</v>
      </c>
      <c r="BM6" s="233"/>
      <c r="BN6" s="233"/>
      <c r="BO6" s="233"/>
      <c r="BP6" s="234">
        <f>SUM(Прайс[[#This Row],[ KFPr-SB-StK ]:[Корзина с держателем для бутылок 414*500*520 мм]])</f>
        <v>10520</v>
      </c>
      <c r="BQ6" s="235">
        <f>SUM(Прайс[[#This Row],[ KFPr-SB-StK ]:[Корзина с держателем для бутылок 414*500*520 мм]])</f>
        <v>10520</v>
      </c>
      <c r="BR6" s="235">
        <f>SUM(Прайс[[#This Row],[ KFPr-SB-StK ]:[Корзина с держателем для бутылок 414*500*520 мм]])</f>
        <v>10520</v>
      </c>
      <c r="BS6" s="133">
        <v>300</v>
      </c>
      <c r="BT6" s="133">
        <v>720</v>
      </c>
      <c r="BU6" s="133" t="str">
        <f>IF(OR(Прайс[[#This Row],[Тип]]="Нижний",Прайс[[#This Row],[Тип]]="Пенал"),"560",IF(Прайс[[#This Row],[Тип]]="Верхний",315,0))</f>
        <v>560</v>
      </c>
      <c r="BV6" s="236">
        <v>1.08</v>
      </c>
      <c r="BW6" s="236">
        <v>1.0649999999999999</v>
      </c>
      <c r="BX6" s="235">
        <v>1.3</v>
      </c>
      <c r="BY6" s="133">
        <v>0</v>
      </c>
      <c r="BZ6" s="133">
        <v>7</v>
      </c>
      <c r="CA6" s="133" t="s">
        <v>10</v>
      </c>
      <c r="CB6" s="235" t="s">
        <v>469</v>
      </c>
      <c r="CC6" s="133">
        <v>1</v>
      </c>
      <c r="CD6" s="133" t="s">
        <v>10</v>
      </c>
      <c r="CE6" s="132">
        <v>3200</v>
      </c>
      <c r="CF6" s="133"/>
      <c r="CG6" s="133"/>
      <c r="CH6" s="133">
        <v>1</v>
      </c>
      <c r="CI6" s="133">
        <v>0</v>
      </c>
      <c r="CJ6" s="133">
        <v>0</v>
      </c>
      <c r="CK6" s="133"/>
      <c r="CL6" s="133"/>
      <c r="CM6" s="133"/>
      <c r="CN6" s="133"/>
      <c r="CO6" s="133" t="s">
        <v>10</v>
      </c>
      <c r="CP6" s="133">
        <f>IF(Прайс[[#This Row],[Наличие подсветки на нижнем горизонте]]="Нет",0,'комплекты фурнитуры'!$C$95)</f>
        <v>0</v>
      </c>
      <c r="CQ6" s="133"/>
      <c r="CR6" s="133"/>
      <c r="CS6" s="133"/>
      <c r="CT6" s="133"/>
      <c r="CU6" s="235">
        <f>Прайс[[#This Row],[Комплектация №2]]</f>
        <v>10520</v>
      </c>
    </row>
    <row r="7" spans="1:99" s="134" customFormat="1" x14ac:dyDescent="0.25">
      <c r="A7" s="290" t="s">
        <v>12</v>
      </c>
      <c r="B7" s="132" t="s">
        <v>6</v>
      </c>
      <c r="C7" s="132" t="s">
        <v>724</v>
      </c>
      <c r="D7" s="132" t="s">
        <v>73</v>
      </c>
      <c r="E7" s="132" t="s">
        <v>10</v>
      </c>
      <c r="F7" s="132" t="s">
        <v>89</v>
      </c>
      <c r="G7" s="286">
        <v>600</v>
      </c>
      <c r="H7" s="286">
        <v>750</v>
      </c>
      <c r="I7" s="286">
        <v>300</v>
      </c>
      <c r="J7" s="286">
        <v>600</v>
      </c>
      <c r="K7" s="286">
        <v>250</v>
      </c>
      <c r="L7" s="286">
        <v>640</v>
      </c>
      <c r="M7" s="132"/>
      <c r="N7" s="288"/>
      <c r="O7" s="232">
        <v>2380</v>
      </c>
      <c r="P7" s="232"/>
      <c r="Q7" s="232"/>
      <c r="R7" s="132"/>
      <c r="S7" s="132">
        <f>'комплекты фурнитуры'!$C$4</f>
        <v>460</v>
      </c>
      <c r="T7" s="132"/>
      <c r="U7" s="132"/>
      <c r="V7" s="132"/>
      <c r="W7" s="132"/>
      <c r="X7" s="132"/>
      <c r="Y7" s="132"/>
      <c r="Z7" s="132"/>
      <c r="AA7" s="132"/>
      <c r="AB7" s="132"/>
      <c r="AC7" s="132"/>
      <c r="AD7" s="132"/>
      <c r="AE7" s="132">
        <f>'комплекты фурнитуры'!$C$23*2</f>
        <v>560</v>
      </c>
      <c r="AF7" s="132"/>
      <c r="AG7" s="132"/>
      <c r="AH7" s="233">
        <f>SUM(Прайс[[#This Row],[КФ НСТ11]:[KFPr-SB-ZPG]])</f>
        <v>1020</v>
      </c>
      <c r="AI7" s="233"/>
      <c r="AJ7" s="132"/>
      <c r="AK7" s="132"/>
      <c r="AL7" s="132"/>
      <c r="AM7" s="233">
        <f>'комплекты фурнитуры'!$C$66</f>
        <v>620</v>
      </c>
      <c r="AN7" s="233">
        <f>'комплекты фурнитуры'!$C$67</f>
        <v>130</v>
      </c>
      <c r="AO7" s="233"/>
      <c r="AP7" s="233"/>
      <c r="AQ7" s="233"/>
      <c r="AR7" s="233"/>
      <c r="AS7" s="233"/>
      <c r="AT7" s="233"/>
      <c r="AU7" s="233"/>
      <c r="AV7" s="233"/>
      <c r="AW7" s="233"/>
      <c r="AX7" s="233"/>
      <c r="AY7" s="233"/>
      <c r="AZ7" s="233"/>
      <c r="BA7" s="233"/>
      <c r="BB7" s="233"/>
      <c r="BC7" s="233"/>
      <c r="BD7" s="233"/>
      <c r="BE7" s="233"/>
      <c r="BF7" s="233"/>
      <c r="BG7" s="233"/>
      <c r="BH7" s="233"/>
      <c r="BI7" s="233"/>
      <c r="BJ7" s="233"/>
      <c r="BK7" s="233"/>
      <c r="BL7" s="233"/>
      <c r="BM7" s="233"/>
      <c r="BN7" s="233"/>
      <c r="BO7" s="233"/>
      <c r="BP7" s="234">
        <f>Прайс[[#This Row],[КФ петли SENS накл.110 гр. с крестообр. Планкой]]*2</f>
        <v>1240</v>
      </c>
      <c r="BQ7" s="235">
        <f>Прайс[[#This Row],[KFP-SB-N110]]*2</f>
        <v>260</v>
      </c>
      <c r="BR7" s="235">
        <f>Прайс[[#This Row],[KFP-SB-N110]]*2</f>
        <v>260</v>
      </c>
      <c r="BS7" s="133">
        <v>450</v>
      </c>
      <c r="BT7" s="133">
        <v>720</v>
      </c>
      <c r="BU7" s="133" t="str">
        <f>IF(OR(Прайс[[#This Row],[Тип]]="Нижний",Прайс[[#This Row],[Тип]]="Пенал"),"560",IF(Прайс[[#This Row],[Тип]]="Верхний",315,0))</f>
        <v>560</v>
      </c>
      <c r="BV7" s="236">
        <v>1.08</v>
      </c>
      <c r="BW7" s="236">
        <v>1.0649999999999999</v>
      </c>
      <c r="BX7" s="235">
        <v>1.3</v>
      </c>
      <c r="BY7" s="133">
        <v>0</v>
      </c>
      <c r="BZ7" s="133">
        <v>0</v>
      </c>
      <c r="CA7" s="133" t="s">
        <v>71</v>
      </c>
      <c r="CB7" s="235" t="s">
        <v>469</v>
      </c>
      <c r="CC7" s="133">
        <v>0</v>
      </c>
      <c r="CD7" s="133" t="s">
        <v>10</v>
      </c>
      <c r="CE7" s="133">
        <v>3320</v>
      </c>
      <c r="CF7" s="133"/>
      <c r="CG7" s="133"/>
      <c r="CH7" s="133">
        <v>1</v>
      </c>
      <c r="CI7" s="133">
        <v>0</v>
      </c>
      <c r="CJ7" s="133">
        <v>0</v>
      </c>
      <c r="CK7" s="133"/>
      <c r="CL7" s="133"/>
      <c r="CM7" s="133"/>
      <c r="CN7" s="133"/>
      <c r="CO7" s="133" t="s">
        <v>10</v>
      </c>
      <c r="CP7" s="133">
        <f>IF(Прайс[[#This Row],[Наличие подсветки на нижнем горизонте]]="Нет",0,'комплекты фурнитуры'!$C$95)</f>
        <v>0</v>
      </c>
      <c r="CQ7" s="133">
        <f>'комплекты фурнитуры'!$C$53</f>
        <v>340</v>
      </c>
      <c r="CR7" s="133"/>
      <c r="CS7" s="133"/>
      <c r="CT7" s="133"/>
      <c r="CU7" s="133">
        <f>Прайс[[#This Row],[КФ петли JET накл. 105 гр.]]*2</f>
        <v>680</v>
      </c>
    </row>
    <row r="8" spans="1:99" s="134" customFormat="1" ht="15" customHeight="1" x14ac:dyDescent="0.25">
      <c r="A8" s="290" t="s">
        <v>13</v>
      </c>
      <c r="B8" s="132" t="s">
        <v>6</v>
      </c>
      <c r="C8" s="132" t="s">
        <v>725</v>
      </c>
      <c r="D8" s="132" t="s">
        <v>73</v>
      </c>
      <c r="E8" s="132" t="s">
        <v>10</v>
      </c>
      <c r="F8" s="132" t="s">
        <v>89</v>
      </c>
      <c r="G8" s="286">
        <v>600</v>
      </c>
      <c r="H8" s="286">
        <v>750</v>
      </c>
      <c r="I8" s="286">
        <v>400</v>
      </c>
      <c r="J8" s="286">
        <v>900</v>
      </c>
      <c r="K8" s="286">
        <v>250</v>
      </c>
      <c r="L8" s="286">
        <v>640</v>
      </c>
      <c r="M8" s="132"/>
      <c r="N8" s="288"/>
      <c r="O8" s="232">
        <v>2380</v>
      </c>
      <c r="P8" s="232"/>
      <c r="Q8" s="232"/>
      <c r="R8" s="132"/>
      <c r="S8" s="132">
        <f>'комплекты фурнитуры'!$C$4</f>
        <v>460</v>
      </c>
      <c r="T8" s="132"/>
      <c r="U8" s="132"/>
      <c r="V8" s="132"/>
      <c r="W8" s="132"/>
      <c r="X8" s="132"/>
      <c r="Y8" s="132"/>
      <c r="Z8" s="132"/>
      <c r="AA8" s="132"/>
      <c r="AB8" s="132"/>
      <c r="AC8" s="132"/>
      <c r="AD8" s="132"/>
      <c r="AE8" s="132">
        <f>'комплекты фурнитуры'!$C$23*2</f>
        <v>560</v>
      </c>
      <c r="AF8" s="132"/>
      <c r="AG8" s="132"/>
      <c r="AH8" s="233">
        <f>SUM(Прайс[[#This Row],[КФ НСТ11]:[KFPr-SB-ZPG]])</f>
        <v>1020</v>
      </c>
      <c r="AI8" s="233"/>
      <c r="AJ8" s="132"/>
      <c r="AK8" s="132"/>
      <c r="AL8" s="132"/>
      <c r="AM8" s="233">
        <f>'комплекты фурнитуры'!$C$66</f>
        <v>620</v>
      </c>
      <c r="AN8" s="233">
        <f>'комплекты фурнитуры'!$C$67</f>
        <v>130</v>
      </c>
      <c r="AO8" s="233"/>
      <c r="AP8" s="233"/>
      <c r="AQ8" s="233"/>
      <c r="AR8" s="233"/>
      <c r="AS8" s="233"/>
      <c r="AT8" s="233"/>
      <c r="AU8" s="233"/>
      <c r="AV8" s="233"/>
      <c r="AW8" s="233"/>
      <c r="AX8" s="233"/>
      <c r="AY8" s="233"/>
      <c r="AZ8" s="233"/>
      <c r="BA8" s="233"/>
      <c r="BB8" s="233"/>
      <c r="BC8" s="233"/>
      <c r="BD8" s="233"/>
      <c r="BE8" s="233"/>
      <c r="BF8" s="233"/>
      <c r="BG8" s="233"/>
      <c r="BH8" s="233"/>
      <c r="BI8" s="233"/>
      <c r="BJ8" s="233"/>
      <c r="BK8" s="233"/>
      <c r="BL8" s="233"/>
      <c r="BM8" s="233"/>
      <c r="BN8" s="233"/>
      <c r="BO8" s="233"/>
      <c r="BP8" s="234">
        <f>Прайс[[#This Row],[КФ петли SENS накл.110 гр. с крестообр. Планкой]]*4</f>
        <v>2480</v>
      </c>
      <c r="BQ8" s="235">
        <f>Прайс[[#This Row],[KFP-SB-N110]]*4</f>
        <v>520</v>
      </c>
      <c r="BR8" s="235">
        <f>Прайс[[#This Row],[KFP-SB-N110]]*4</f>
        <v>520</v>
      </c>
      <c r="BS8" s="133">
        <v>450</v>
      </c>
      <c r="BT8" s="133">
        <v>720</v>
      </c>
      <c r="BU8" s="133" t="str">
        <f>IF(OR(Прайс[[#This Row],[Тип]]="Нижний",Прайс[[#This Row],[Тип]]="Пенал"),"560",IF(Прайс[[#This Row],[Тип]]="Верхний",315,0))</f>
        <v>560</v>
      </c>
      <c r="BV8" s="236">
        <v>1.08</v>
      </c>
      <c r="BW8" s="236">
        <v>1.0649999999999999</v>
      </c>
      <c r="BX8" s="235">
        <v>1.3</v>
      </c>
      <c r="BY8" s="133">
        <v>0</v>
      </c>
      <c r="BZ8" s="133">
        <v>0</v>
      </c>
      <c r="CA8" s="133" t="s">
        <v>71</v>
      </c>
      <c r="CB8" s="235" t="s">
        <v>469</v>
      </c>
      <c r="CC8" s="133">
        <v>0</v>
      </c>
      <c r="CD8" s="133" t="s">
        <v>10</v>
      </c>
      <c r="CE8" s="133">
        <v>3320</v>
      </c>
      <c r="CF8" s="133"/>
      <c r="CG8" s="133"/>
      <c r="CH8" s="133">
        <v>2</v>
      </c>
      <c r="CI8" s="133">
        <v>0</v>
      </c>
      <c r="CJ8" s="133">
        <v>0</v>
      </c>
      <c r="CK8" s="133"/>
      <c r="CL8" s="133"/>
      <c r="CM8" s="133"/>
      <c r="CN8" s="133"/>
      <c r="CO8" s="133" t="s">
        <v>10</v>
      </c>
      <c r="CP8" s="133">
        <f>IF(Прайс[[#This Row],[Наличие подсветки на нижнем горизонте]]="Нет",0,'комплекты фурнитуры'!$C$95)</f>
        <v>0</v>
      </c>
      <c r="CQ8" s="133">
        <f>'комплекты фурнитуры'!$C$53</f>
        <v>340</v>
      </c>
      <c r="CR8" s="133"/>
      <c r="CS8" s="133"/>
      <c r="CT8" s="133"/>
      <c r="CU8" s="133">
        <f>Прайс[[#This Row],[КФ петли JET накл. 105 гр.]]*4</f>
        <v>1360</v>
      </c>
    </row>
    <row r="9" spans="1:99" s="134" customFormat="1" ht="15" customHeight="1" x14ac:dyDescent="0.25">
      <c r="A9" s="290" t="s">
        <v>129</v>
      </c>
      <c r="B9" s="132" t="s">
        <v>6</v>
      </c>
      <c r="C9" s="132" t="s">
        <v>726</v>
      </c>
      <c r="D9" s="132" t="s">
        <v>69</v>
      </c>
      <c r="E9" s="132" t="s">
        <v>10</v>
      </c>
      <c r="F9" s="132" t="s">
        <v>87</v>
      </c>
      <c r="G9" s="286">
        <v>720</v>
      </c>
      <c r="H9" s="286">
        <v>960</v>
      </c>
      <c r="I9" s="286">
        <v>710</v>
      </c>
      <c r="J9" s="286">
        <v>950</v>
      </c>
      <c r="K9" s="286">
        <v>360</v>
      </c>
      <c r="L9" s="286">
        <v>560</v>
      </c>
      <c r="M9" s="132"/>
      <c r="N9" s="288" t="s">
        <v>52</v>
      </c>
      <c r="O9" s="232">
        <v>3200</v>
      </c>
      <c r="P9" s="232"/>
      <c r="Q9" s="232"/>
      <c r="R9" s="132"/>
      <c r="S9" s="132"/>
      <c r="T9" s="132">
        <f>'комплекты фурнитуры'!$C$6</f>
        <v>810</v>
      </c>
      <c r="U9" s="132"/>
      <c r="V9" s="132"/>
      <c r="W9" s="132"/>
      <c r="X9" s="132"/>
      <c r="Y9" s="132"/>
      <c r="Z9" s="132"/>
      <c r="AA9" s="132"/>
      <c r="AB9" s="132"/>
      <c r="AC9" s="132"/>
      <c r="AD9" s="132"/>
      <c r="AE9" s="132">
        <f>'комплекты фурнитуры'!$C$23*2</f>
        <v>560</v>
      </c>
      <c r="AF9" s="132"/>
      <c r="AG9" s="132"/>
      <c r="AH9" s="233">
        <f>SUM(Прайс[[#This Row],[КФ НСТ11]:[KFPr-SB-ZPG]])</f>
        <v>1370</v>
      </c>
      <c r="AI9" s="233"/>
      <c r="AJ9" s="132">
        <f>'комплекты фурнитуры'!$C$82</f>
        <v>30</v>
      </c>
      <c r="AK9" s="132">
        <f>'комплекты фурнитуры'!$C$94</f>
        <v>20</v>
      </c>
      <c r="AL9" s="132"/>
      <c r="AM9" s="233"/>
      <c r="AN9" s="233"/>
      <c r="AO9" s="233">
        <f>'комплекты фурнитуры'!$C$60</f>
        <v>1300</v>
      </c>
      <c r="AP9" s="233">
        <f>'комплекты фурнитуры'!$C$62</f>
        <v>480</v>
      </c>
      <c r="AQ9" s="233"/>
      <c r="AR9" s="233"/>
      <c r="AS9" s="233"/>
      <c r="AT9" s="233"/>
      <c r="AU9" s="233"/>
      <c r="AV9" s="233"/>
      <c r="AW9" s="233"/>
      <c r="AX9" s="233"/>
      <c r="AY9" s="233"/>
      <c r="AZ9" s="233"/>
      <c r="BA9" s="233"/>
      <c r="BB9" s="233"/>
      <c r="BC9" s="233"/>
      <c r="BD9" s="233"/>
      <c r="BE9" s="233"/>
      <c r="BF9" s="233"/>
      <c r="BG9" s="233"/>
      <c r="BH9" s="233"/>
      <c r="BI9" s="233"/>
      <c r="BJ9" s="233"/>
      <c r="BK9" s="233"/>
      <c r="BL9" s="233"/>
      <c r="BM9" s="233"/>
      <c r="BN9" s="233"/>
      <c r="BO9" s="233"/>
      <c r="BP9" s="234">
        <f>Прайс[[#This Row],[KFPr-SB-SPL]]+Прайс[[#This Row],[КФ петли вклад. 95 гр. с крестообр. планкой]]*2+Прайс[[#This Row],[KFPr-SB-SMRZ_16мм]]</f>
        <v>2650</v>
      </c>
      <c r="BQ9" s="235">
        <f>Прайс[[#This Row],[KFPr-SB-SPL]]+Прайс[[#This Row],[KFP-SB-PY94]]*2</f>
        <v>990</v>
      </c>
      <c r="BR9" s="235">
        <f>Прайс[[#This Row],[KFPr-SB-SPL]]+Прайс[[#This Row],[KFP-SB-PY94]]*2</f>
        <v>990</v>
      </c>
      <c r="BS9" s="133">
        <v>750</v>
      </c>
      <c r="BT9" s="133">
        <v>720</v>
      </c>
      <c r="BU9" s="133" t="str">
        <f>IF(OR(Прайс[[#This Row],[Тип]]="Нижний",Прайс[[#This Row],[Тип]]="Пенал"),"560",IF(Прайс[[#This Row],[Тип]]="Верхний",315,0))</f>
        <v>560</v>
      </c>
      <c r="BV9" s="236">
        <v>1.08</v>
      </c>
      <c r="BW9" s="236">
        <v>1.0649999999999999</v>
      </c>
      <c r="BX9" s="235">
        <v>1.3</v>
      </c>
      <c r="BY9" s="133">
        <v>0</v>
      </c>
      <c r="BZ9" s="133">
        <v>2</v>
      </c>
      <c r="CA9" s="133" t="s">
        <v>71</v>
      </c>
      <c r="CB9" s="235" t="s">
        <v>469</v>
      </c>
      <c r="CC9" s="133">
        <v>1</v>
      </c>
      <c r="CD9" s="133" t="s">
        <v>10</v>
      </c>
      <c r="CE9" s="133">
        <v>4470</v>
      </c>
      <c r="CF9" s="133"/>
      <c r="CG9" s="133"/>
      <c r="CH9" s="133">
        <v>1</v>
      </c>
      <c r="CI9" s="133">
        <v>0</v>
      </c>
      <c r="CJ9" s="133">
        <v>0</v>
      </c>
      <c r="CK9" s="133"/>
      <c r="CL9" s="133"/>
      <c r="CM9" s="133"/>
      <c r="CN9" s="133"/>
      <c r="CO9" s="133" t="s">
        <v>10</v>
      </c>
      <c r="CP9" s="133">
        <f>IF(Прайс[[#This Row],[Наличие подсветки на нижнем горизонте]]="Нет",0,'комплекты фурнитуры'!$C$95)</f>
        <v>0</v>
      </c>
      <c r="CQ9" s="133"/>
      <c r="CR9" s="133">
        <f>'комплекты фурнитуры'!$C$54</f>
        <v>790</v>
      </c>
      <c r="CS9" s="133"/>
      <c r="CT9" s="133"/>
      <c r="CU9" s="133">
        <f>Прайс[[#This Row],[КФ петли JET угловая 180 гр.]]*2</f>
        <v>1580</v>
      </c>
    </row>
    <row r="10" spans="1:99" s="134" customFormat="1" ht="15" customHeight="1" x14ac:dyDescent="0.25">
      <c r="A10" s="287" t="s">
        <v>128</v>
      </c>
      <c r="B10" s="132" t="s">
        <v>6</v>
      </c>
      <c r="C10" s="132" t="s">
        <v>727</v>
      </c>
      <c r="D10" s="132" t="s">
        <v>69</v>
      </c>
      <c r="E10" s="132" t="s">
        <v>10</v>
      </c>
      <c r="F10" s="132" t="s">
        <v>87</v>
      </c>
      <c r="G10" s="286">
        <v>720</v>
      </c>
      <c r="H10" s="286">
        <v>960</v>
      </c>
      <c r="I10" s="286">
        <v>810</v>
      </c>
      <c r="J10" s="286">
        <v>1050</v>
      </c>
      <c r="K10" s="286">
        <v>360</v>
      </c>
      <c r="L10" s="286">
        <v>560</v>
      </c>
      <c r="M10" s="132"/>
      <c r="N10" s="231"/>
      <c r="O10" s="232">
        <v>3200</v>
      </c>
      <c r="P10" s="232"/>
      <c r="Q10" s="232"/>
      <c r="R10" s="132"/>
      <c r="S10" s="132"/>
      <c r="T10" s="132">
        <f>'комплекты фурнитуры'!$C$6</f>
        <v>810</v>
      </c>
      <c r="U10" s="132"/>
      <c r="V10" s="132"/>
      <c r="W10" s="132"/>
      <c r="X10" s="132"/>
      <c r="Y10" s="132"/>
      <c r="Z10" s="132"/>
      <c r="AA10" s="132"/>
      <c r="AB10" s="132"/>
      <c r="AC10" s="132"/>
      <c r="AD10" s="132"/>
      <c r="AE10" s="132">
        <f>'комплекты фурнитуры'!$C$23*2</f>
        <v>560</v>
      </c>
      <c r="AF10" s="132"/>
      <c r="AG10" s="132"/>
      <c r="AH10" s="233">
        <f>SUM(Прайс[[#This Row],[КФ НСТ11]:[KFPr-SB-ZPG]])</f>
        <v>1370</v>
      </c>
      <c r="AI10" s="233"/>
      <c r="AJ10" s="132">
        <f>'комплекты фурнитуры'!$C$82</f>
        <v>30</v>
      </c>
      <c r="AK10" s="132">
        <f>'комплекты фурнитуры'!$C$94</f>
        <v>20</v>
      </c>
      <c r="AL10" s="132"/>
      <c r="AM10" s="233"/>
      <c r="AN10" s="233"/>
      <c r="AO10" s="233">
        <f>'комплекты фурнитуры'!$C$60</f>
        <v>1300</v>
      </c>
      <c r="AP10" s="233">
        <f>'комплекты фурнитуры'!$C$62</f>
        <v>480</v>
      </c>
      <c r="AQ10" s="233"/>
      <c r="AR10" s="233"/>
      <c r="AS10" s="233"/>
      <c r="AT10" s="233"/>
      <c r="AU10" s="233"/>
      <c r="AV10" s="233"/>
      <c r="AW10" s="233"/>
      <c r="AX10" s="233"/>
      <c r="AY10" s="233"/>
      <c r="AZ10" s="233"/>
      <c r="BA10" s="233"/>
      <c r="BB10" s="233"/>
      <c r="BC10" s="233"/>
      <c r="BD10" s="233"/>
      <c r="BE10" s="233"/>
      <c r="BF10" s="233"/>
      <c r="BG10" s="233"/>
      <c r="BH10" s="233"/>
      <c r="BI10" s="233"/>
      <c r="BJ10" s="233"/>
      <c r="BK10" s="233"/>
      <c r="BL10" s="233"/>
      <c r="BM10" s="233"/>
      <c r="BN10" s="233"/>
      <c r="BO10" s="233"/>
      <c r="BP10" s="234">
        <f>Прайс[[#This Row],[KFPr-SB-SPL]]+Прайс[[#This Row],[КФ петли вклад. 95 гр. с крестообр. планкой]]*2+Прайс[[#This Row],[KFPr-SB-SMRZ_16мм]]</f>
        <v>2650</v>
      </c>
      <c r="BQ10" s="235">
        <f>Прайс[[#This Row],[KFPr-SB-SPL]]+Прайс[[#This Row],[KFP-SB-PY94]]*2</f>
        <v>990</v>
      </c>
      <c r="BR10" s="235">
        <f>Прайс[[#This Row],[KFPr-SB-SPL]]+Прайс[[#This Row],[KFP-SB-PY94]]*2</f>
        <v>990</v>
      </c>
      <c r="BS10" s="133">
        <v>750</v>
      </c>
      <c r="BT10" s="133">
        <v>720</v>
      </c>
      <c r="BU10" s="133" t="str">
        <f>IF(OR(Прайс[[#This Row],[Тип]]="Нижний",Прайс[[#This Row],[Тип]]="Пенал"),"560",IF(Прайс[[#This Row],[Тип]]="Верхний",315,0))</f>
        <v>560</v>
      </c>
      <c r="BV10" s="236">
        <v>1.08</v>
      </c>
      <c r="BW10" s="236">
        <v>1.0649999999999999</v>
      </c>
      <c r="BX10" s="235">
        <v>1.3</v>
      </c>
      <c r="BY10" s="133">
        <v>0</v>
      </c>
      <c r="BZ10" s="133">
        <v>2</v>
      </c>
      <c r="CA10" s="133" t="s">
        <v>71</v>
      </c>
      <c r="CB10" s="235" t="s">
        <v>469</v>
      </c>
      <c r="CC10" s="133">
        <v>1</v>
      </c>
      <c r="CD10" s="133" t="s">
        <v>10</v>
      </c>
      <c r="CE10" s="133">
        <v>4470</v>
      </c>
      <c r="CF10" s="133"/>
      <c r="CG10" s="133"/>
      <c r="CH10" s="133">
        <v>1</v>
      </c>
      <c r="CI10" s="133">
        <v>0</v>
      </c>
      <c r="CJ10" s="133">
        <v>0</v>
      </c>
      <c r="CK10" s="133"/>
      <c r="CL10" s="133"/>
      <c r="CM10" s="133"/>
      <c r="CN10" s="133"/>
      <c r="CO10" s="133" t="s">
        <v>10</v>
      </c>
      <c r="CP10" s="133">
        <f>IF(Прайс[[#This Row],[Наличие подсветки на нижнем горизонте]]="Нет",0,'комплекты фурнитуры'!$C$95)</f>
        <v>0</v>
      </c>
      <c r="CQ10" s="133"/>
      <c r="CR10" s="133">
        <f>'комплекты фурнитуры'!$C$54</f>
        <v>790</v>
      </c>
      <c r="CS10" s="133"/>
      <c r="CT10" s="133"/>
      <c r="CU10" s="133">
        <f>Прайс[[#This Row],[КФ петли JET угловая 180 гр.]]*2</f>
        <v>1580</v>
      </c>
    </row>
    <row r="11" spans="1:99" s="134" customFormat="1" ht="15" customHeight="1" x14ac:dyDescent="0.25">
      <c r="A11" s="290" t="s">
        <v>131</v>
      </c>
      <c r="B11" s="132" t="s">
        <v>6</v>
      </c>
      <c r="C11" s="132" t="s">
        <v>728</v>
      </c>
      <c r="D11" s="132" t="s">
        <v>69</v>
      </c>
      <c r="E11" s="132" t="s">
        <v>10</v>
      </c>
      <c r="F11" s="132" t="s">
        <v>89</v>
      </c>
      <c r="G11" s="286">
        <v>720</v>
      </c>
      <c r="H11" s="286">
        <v>960</v>
      </c>
      <c r="I11" s="286">
        <v>710</v>
      </c>
      <c r="J11" s="286">
        <v>950</v>
      </c>
      <c r="K11" s="286">
        <v>360</v>
      </c>
      <c r="L11" s="286">
        <v>560</v>
      </c>
      <c r="M11" s="132"/>
      <c r="N11" s="288" t="s">
        <v>52</v>
      </c>
      <c r="O11" s="232">
        <v>2980</v>
      </c>
      <c r="P11" s="232"/>
      <c r="Q11" s="232"/>
      <c r="R11" s="132"/>
      <c r="S11" s="132"/>
      <c r="T11" s="132"/>
      <c r="U11" s="132">
        <f>'комплекты фурнитуры'!$C$8</f>
        <v>750</v>
      </c>
      <c r="V11" s="132"/>
      <c r="W11" s="132"/>
      <c r="X11" s="132"/>
      <c r="Y11" s="132"/>
      <c r="Z11" s="132"/>
      <c r="AA11" s="132"/>
      <c r="AB11" s="132"/>
      <c r="AC11" s="132"/>
      <c r="AD11" s="132"/>
      <c r="AE11" s="132">
        <f>'комплекты фурнитуры'!$C$23*2</f>
        <v>560</v>
      </c>
      <c r="AF11" s="132"/>
      <c r="AG11" s="132"/>
      <c r="AH11" s="233">
        <f>SUM(Прайс[[#This Row],[КФ НСТ11]:[KFPr-SB-ZPG]])</f>
        <v>1310</v>
      </c>
      <c r="AI11" s="233"/>
      <c r="AJ11" s="132">
        <f>'комплекты фурнитуры'!$C$82</f>
        <v>30</v>
      </c>
      <c r="AK11" s="132"/>
      <c r="AL11" s="132"/>
      <c r="AM11" s="233"/>
      <c r="AN11" s="233"/>
      <c r="AO11" s="233">
        <f>'комплекты фурнитуры'!$C$60</f>
        <v>1300</v>
      </c>
      <c r="AP11" s="233">
        <f>'комплекты фурнитуры'!$C$62</f>
        <v>480</v>
      </c>
      <c r="AQ11" s="233"/>
      <c r="AR11" s="233"/>
      <c r="AS11" s="233"/>
      <c r="AT11" s="233"/>
      <c r="AU11" s="233"/>
      <c r="AV11" s="233"/>
      <c r="AW11" s="233"/>
      <c r="AX11" s="233"/>
      <c r="AY11" s="233"/>
      <c r="AZ11" s="233"/>
      <c r="BA11" s="233"/>
      <c r="BB11" s="233"/>
      <c r="BC11" s="233"/>
      <c r="BD11" s="233"/>
      <c r="BE11" s="233"/>
      <c r="BF11" s="233"/>
      <c r="BG11" s="233"/>
      <c r="BH11" s="233"/>
      <c r="BI11" s="233"/>
      <c r="BJ11" s="233"/>
      <c r="BK11" s="233"/>
      <c r="BL11" s="233"/>
      <c r="BM11" s="233"/>
      <c r="BN11" s="233"/>
      <c r="BO11" s="233"/>
      <c r="BP11" s="234">
        <f>Прайс[[#This Row],[KFPr-SB-SPL]]+Прайс[[#This Row],[КФ петли вклад. 95 гр. с крестообр. планкой]]*2</f>
        <v>2630</v>
      </c>
      <c r="BQ11" s="235">
        <f>Прайс[[#This Row],[KFPr-SB-SPL]]+Прайс[[#This Row],[KFP-SB-PY94]]*2</f>
        <v>990</v>
      </c>
      <c r="BR11" s="235">
        <f>Прайс[[#This Row],[KFPr-SB-SPL]]+Прайс[[#This Row],[KFP-SB-PY94]]*2</f>
        <v>990</v>
      </c>
      <c r="BS11" s="133">
        <v>750</v>
      </c>
      <c r="BT11" s="133">
        <v>720</v>
      </c>
      <c r="BU11" s="133" t="str">
        <f>IF(OR(Прайс[[#This Row],[Тип]]="Нижний",Прайс[[#This Row],[Тип]]="Пенал"),"560",IF(Прайс[[#This Row],[Тип]]="Верхний",315,0))</f>
        <v>560</v>
      </c>
      <c r="BV11" s="236">
        <v>1.08</v>
      </c>
      <c r="BW11" s="236">
        <v>1.0649999999999999</v>
      </c>
      <c r="BX11" s="235">
        <v>0</v>
      </c>
      <c r="BY11" s="133">
        <v>0</v>
      </c>
      <c r="BZ11" s="133">
        <v>0</v>
      </c>
      <c r="CA11" s="133" t="s">
        <v>71</v>
      </c>
      <c r="CB11" s="235" t="s">
        <v>469</v>
      </c>
      <c r="CC11" s="133">
        <v>0</v>
      </c>
      <c r="CD11" s="133" t="s">
        <v>10</v>
      </c>
      <c r="CE11" s="133">
        <v>4300</v>
      </c>
      <c r="CF11" s="133"/>
      <c r="CG11" s="133"/>
      <c r="CH11" s="133">
        <v>1</v>
      </c>
      <c r="CI11" s="133">
        <v>0</v>
      </c>
      <c r="CJ11" s="133">
        <v>0</v>
      </c>
      <c r="CK11" s="133"/>
      <c r="CL11" s="133"/>
      <c r="CM11" s="133"/>
      <c r="CN11" s="133"/>
      <c r="CO11" s="133" t="s">
        <v>10</v>
      </c>
      <c r="CP11" s="133">
        <f>IF(Прайс[[#This Row],[Наличие подсветки на нижнем горизонте]]="Нет",0,'комплекты фурнитуры'!$C$95)</f>
        <v>0</v>
      </c>
      <c r="CQ11" s="133"/>
      <c r="CR11" s="133">
        <f>'комплекты фурнитуры'!$C$54</f>
        <v>790</v>
      </c>
      <c r="CS11" s="133"/>
      <c r="CT11" s="133"/>
      <c r="CU11" s="133">
        <f>Прайс[[#This Row],[КФ петли JET угловая 180 гр.]]*2</f>
        <v>1580</v>
      </c>
    </row>
    <row r="12" spans="1:99" s="134" customFormat="1" ht="15" customHeight="1" x14ac:dyDescent="0.25">
      <c r="A12" s="287" t="s">
        <v>130</v>
      </c>
      <c r="B12" s="132" t="s">
        <v>6</v>
      </c>
      <c r="C12" s="132" t="s">
        <v>729</v>
      </c>
      <c r="D12" s="132" t="s">
        <v>69</v>
      </c>
      <c r="E12" s="132" t="s">
        <v>10</v>
      </c>
      <c r="F12" s="132" t="s">
        <v>89</v>
      </c>
      <c r="G12" s="286">
        <v>720</v>
      </c>
      <c r="H12" s="286">
        <v>960</v>
      </c>
      <c r="I12" s="286">
        <v>810</v>
      </c>
      <c r="J12" s="286">
        <v>1050</v>
      </c>
      <c r="K12" s="286">
        <v>360</v>
      </c>
      <c r="L12" s="286">
        <v>560</v>
      </c>
      <c r="M12" s="132"/>
      <c r="N12" s="231"/>
      <c r="O12" s="232">
        <v>2980</v>
      </c>
      <c r="P12" s="232"/>
      <c r="Q12" s="232"/>
      <c r="R12" s="132"/>
      <c r="S12" s="132"/>
      <c r="T12" s="132"/>
      <c r="U12" s="132">
        <f>'комплекты фурнитуры'!$C$8</f>
        <v>750</v>
      </c>
      <c r="V12" s="132"/>
      <c r="W12" s="132"/>
      <c r="X12" s="132"/>
      <c r="Y12" s="132"/>
      <c r="Z12" s="132"/>
      <c r="AA12" s="132"/>
      <c r="AB12" s="132"/>
      <c r="AC12" s="132"/>
      <c r="AD12" s="132"/>
      <c r="AE12" s="132">
        <f>'комплекты фурнитуры'!$C$23*2</f>
        <v>560</v>
      </c>
      <c r="AF12" s="132"/>
      <c r="AG12" s="132"/>
      <c r="AH12" s="233">
        <f>SUM(Прайс[[#This Row],[КФ НСТ11]:[KFPr-SB-ZPG]])</f>
        <v>1310</v>
      </c>
      <c r="AI12" s="233"/>
      <c r="AJ12" s="132">
        <f>'комплекты фурнитуры'!$C$82</f>
        <v>30</v>
      </c>
      <c r="AK12" s="132"/>
      <c r="AL12" s="132"/>
      <c r="AM12" s="233"/>
      <c r="AN12" s="233"/>
      <c r="AO12" s="233">
        <f>'комплекты фурнитуры'!$C$60</f>
        <v>1300</v>
      </c>
      <c r="AP12" s="233">
        <f>'комплекты фурнитуры'!$C$62</f>
        <v>480</v>
      </c>
      <c r="AQ12" s="233"/>
      <c r="AR12" s="233"/>
      <c r="AS12" s="233"/>
      <c r="AT12" s="233"/>
      <c r="AU12" s="233"/>
      <c r="AV12" s="233"/>
      <c r="AW12" s="233"/>
      <c r="AX12" s="233"/>
      <c r="AY12" s="233"/>
      <c r="AZ12" s="233"/>
      <c r="BA12" s="233"/>
      <c r="BB12" s="233"/>
      <c r="BC12" s="233"/>
      <c r="BD12" s="233"/>
      <c r="BE12" s="233"/>
      <c r="BF12" s="233"/>
      <c r="BG12" s="233"/>
      <c r="BH12" s="233"/>
      <c r="BI12" s="233"/>
      <c r="BJ12" s="233"/>
      <c r="BK12" s="233"/>
      <c r="BL12" s="233"/>
      <c r="BM12" s="233"/>
      <c r="BN12" s="233"/>
      <c r="BO12" s="233"/>
      <c r="BP12" s="234">
        <f>Прайс[[#This Row],[KFPr-SB-SPL]]+Прайс[[#This Row],[КФ петли вклад. 95 гр. с крестообр. планкой]]*2</f>
        <v>2630</v>
      </c>
      <c r="BQ12" s="235">
        <f>Прайс[[#This Row],[KFPr-SB-SPL]]+Прайс[[#This Row],[KFP-SB-PY94]]*2</f>
        <v>990</v>
      </c>
      <c r="BR12" s="235">
        <f>Прайс[[#This Row],[KFPr-SB-SPL]]+Прайс[[#This Row],[KFP-SB-PY94]]*2</f>
        <v>990</v>
      </c>
      <c r="BS12" s="133">
        <v>750</v>
      </c>
      <c r="BT12" s="133">
        <v>720</v>
      </c>
      <c r="BU12" s="133" t="str">
        <f>IF(OR(Прайс[[#This Row],[Тип]]="Нижний",Прайс[[#This Row],[Тип]]="Пенал"),"560",IF(Прайс[[#This Row],[Тип]]="Верхний",315,0))</f>
        <v>560</v>
      </c>
      <c r="BV12" s="236">
        <v>1.08</v>
      </c>
      <c r="BW12" s="236">
        <v>1.0649999999999999</v>
      </c>
      <c r="BX12" s="235">
        <v>0</v>
      </c>
      <c r="BY12" s="133">
        <v>0</v>
      </c>
      <c r="BZ12" s="133">
        <v>0</v>
      </c>
      <c r="CA12" s="133" t="s">
        <v>71</v>
      </c>
      <c r="CB12" s="235" t="s">
        <v>469</v>
      </c>
      <c r="CC12" s="133">
        <v>0</v>
      </c>
      <c r="CD12" s="133" t="s">
        <v>10</v>
      </c>
      <c r="CE12" s="133">
        <v>4300</v>
      </c>
      <c r="CF12" s="133"/>
      <c r="CG12" s="133"/>
      <c r="CH12" s="133">
        <v>1</v>
      </c>
      <c r="CI12" s="133">
        <v>0</v>
      </c>
      <c r="CJ12" s="133">
        <v>0</v>
      </c>
      <c r="CK12" s="133"/>
      <c r="CL12" s="133"/>
      <c r="CM12" s="133"/>
      <c r="CN12" s="133"/>
      <c r="CO12" s="133" t="s">
        <v>10</v>
      </c>
      <c r="CP12" s="133">
        <f>IF(Прайс[[#This Row],[Наличие подсветки на нижнем горизонте]]="Нет",0,'комплекты фурнитуры'!$C$95)</f>
        <v>0</v>
      </c>
      <c r="CQ12" s="133"/>
      <c r="CR12" s="133">
        <f>'комплекты фурнитуры'!$C$54</f>
        <v>790</v>
      </c>
      <c r="CS12" s="133"/>
      <c r="CT12" s="133"/>
      <c r="CU12" s="133">
        <f>Прайс[[#This Row],[КФ петли JET угловая 180 гр.]]*2</f>
        <v>1580</v>
      </c>
    </row>
    <row r="13" spans="1:99" s="134" customFormat="1" ht="15" customHeight="1" x14ac:dyDescent="0.25">
      <c r="A13" s="290" t="s">
        <v>14</v>
      </c>
      <c r="B13" s="132" t="s">
        <v>6</v>
      </c>
      <c r="C13" s="132" t="s">
        <v>730</v>
      </c>
      <c r="D13" s="132" t="s">
        <v>73</v>
      </c>
      <c r="E13" s="132" t="s">
        <v>10</v>
      </c>
      <c r="F13" s="132" t="s">
        <v>95</v>
      </c>
      <c r="G13" s="286">
        <v>720</v>
      </c>
      <c r="H13" s="286">
        <v>720</v>
      </c>
      <c r="I13" s="286">
        <v>300</v>
      </c>
      <c r="J13" s="286">
        <v>600</v>
      </c>
      <c r="K13" s="286">
        <v>525</v>
      </c>
      <c r="L13" s="286">
        <v>560</v>
      </c>
      <c r="M13" s="132"/>
      <c r="N13" s="231"/>
      <c r="O13" s="232">
        <v>2640</v>
      </c>
      <c r="P13" s="232"/>
      <c r="Q13" s="232"/>
      <c r="R13" s="132">
        <f>'комплекты фурнитуры'!$C$3</f>
        <v>550</v>
      </c>
      <c r="S13" s="132"/>
      <c r="T13" s="132"/>
      <c r="U13" s="132"/>
      <c r="V13" s="132"/>
      <c r="W13" s="132"/>
      <c r="X13" s="132"/>
      <c r="Y13" s="132"/>
      <c r="Z13" s="132"/>
      <c r="AA13" s="132"/>
      <c r="AB13" s="132"/>
      <c r="AC13" s="132"/>
      <c r="AD13" s="132"/>
      <c r="AE13" s="132">
        <f>'комплекты фурнитуры'!$C$23*2</f>
        <v>560</v>
      </c>
      <c r="AF13" s="132"/>
      <c r="AG13" s="132"/>
      <c r="AH13" s="233">
        <f>SUM(Прайс[[#This Row],[КФ НСТ11]:[KFPr-SB-ZPG]])</f>
        <v>1110</v>
      </c>
      <c r="AI13" s="233"/>
      <c r="AJ13" s="132"/>
      <c r="AK13" s="132"/>
      <c r="AL13" s="132"/>
      <c r="AM13" s="233">
        <f>'комплекты фурнитуры'!$C$66</f>
        <v>620</v>
      </c>
      <c r="AN13" s="233">
        <f>'комплекты фурнитуры'!$C$67</f>
        <v>130</v>
      </c>
      <c r="AO13" s="233"/>
      <c r="AP13" s="233"/>
      <c r="AQ13" s="233"/>
      <c r="AR13" s="233"/>
      <c r="AS13" s="233"/>
      <c r="AT13" s="233"/>
      <c r="AU13" s="233"/>
      <c r="AV13" s="233"/>
      <c r="AW13" s="233"/>
      <c r="AX13" s="233"/>
      <c r="AY13" s="233"/>
      <c r="AZ13" s="233"/>
      <c r="BA13" s="233"/>
      <c r="BB13" s="233">
        <f>'комплекты фурнитуры'!$C$25</f>
        <v>5100</v>
      </c>
      <c r="BC13" s="233"/>
      <c r="BD13" s="233">
        <f>'комплекты фурнитуры'!$C$32</f>
        <v>370</v>
      </c>
      <c r="BE13" s="233"/>
      <c r="BF13" s="233">
        <f>'комплекты фурнитуры'!$C$33</f>
        <v>170</v>
      </c>
      <c r="BG13" s="233">
        <f>'комплекты фурнитуры'!$C$35</f>
        <v>4140</v>
      </c>
      <c r="BH13" s="233"/>
      <c r="BI13" s="233"/>
      <c r="BJ13" s="233"/>
      <c r="BK13" s="233"/>
      <c r="BL13" s="233"/>
      <c r="BM13" s="233"/>
      <c r="BN13" s="233"/>
      <c r="BO13" s="233"/>
      <c r="BP13" s="234">
        <f>Прайс[[#This Row],[КФ петли SENS накл.110 гр. с крестообр. Планкой]]*2+Прайс[[#This Row],[Комплект для ящика Hettich ATIRA Серый, NL-470, H-70]]</f>
        <v>6340</v>
      </c>
      <c r="BQ13" s="235">
        <f>Прайс[[#This Row],[KFP-SB-N110]]*2+Прайс[[#This Row],[KFN-SB-M86]]+Прайс[[#This Row],[KFN-SB-MD]]</f>
        <v>800</v>
      </c>
      <c r="BR13" s="235">
        <f>Прайс[[#This Row],[KFP-SB-N110]]*2+Прайс[[#This Row],[КФ ящика Matrix (H=89 мм)_450_GR]]</f>
        <v>4400</v>
      </c>
      <c r="BS13" s="133">
        <v>300</v>
      </c>
      <c r="BT13" s="133">
        <v>720</v>
      </c>
      <c r="BU13" s="133" t="str">
        <f>IF(OR(Прайс[[#This Row],[Тип]]="Нижний",Прайс[[#This Row],[Тип]]="Пенал"),"560",IF(Прайс[[#This Row],[Тип]]="Верхний",315,0))</f>
        <v>560</v>
      </c>
      <c r="BV13" s="236">
        <v>1.08</v>
      </c>
      <c r="BW13" s="236">
        <v>1.0649999999999999</v>
      </c>
      <c r="BX13" s="235">
        <v>0</v>
      </c>
      <c r="BY13" s="133">
        <v>0</v>
      </c>
      <c r="BZ13" s="133">
        <v>1</v>
      </c>
      <c r="CA13" s="133" t="s">
        <v>71</v>
      </c>
      <c r="CB13" s="235" t="s">
        <v>471</v>
      </c>
      <c r="CC13" s="133">
        <v>1</v>
      </c>
      <c r="CD13" s="133" t="s">
        <v>10</v>
      </c>
      <c r="CE13" s="133">
        <v>3570</v>
      </c>
      <c r="CF13" s="133"/>
      <c r="CG13" s="133"/>
      <c r="CH13" s="133">
        <v>2</v>
      </c>
      <c r="CI13" s="133">
        <v>0</v>
      </c>
      <c r="CJ13" s="133">
        <v>0</v>
      </c>
      <c r="CK13" s="133"/>
      <c r="CL13" s="133"/>
      <c r="CM13" s="133"/>
      <c r="CN13" s="133"/>
      <c r="CO13" s="133" t="s">
        <v>10</v>
      </c>
      <c r="CP13" s="133">
        <f>IF(Прайс[[#This Row],[Наличие подсветки на нижнем горизонте]]="Нет",0,'комплекты фурнитуры'!$C$95)</f>
        <v>0</v>
      </c>
      <c r="CQ13" s="133">
        <f>'комплекты фурнитуры'!$C$53</f>
        <v>340</v>
      </c>
      <c r="CR13" s="133"/>
      <c r="CS13" s="133">
        <f>'комплекты фурнитуры'!$C$55</f>
        <v>3820</v>
      </c>
      <c r="CT13" s="133"/>
      <c r="CU13" s="133">
        <f>Прайс[[#This Row],[КФ петли JET накл. 105 гр.]]*2+Прайс[[#This Row],[Ящик JETBOX ULTRA 80 с доводчиком антрацит]]</f>
        <v>4500</v>
      </c>
    </row>
    <row r="14" spans="1:99" s="134" customFormat="1" ht="15" customHeight="1" x14ac:dyDescent="0.25">
      <c r="A14" s="290" t="s">
        <v>84</v>
      </c>
      <c r="B14" s="132" t="s">
        <v>6</v>
      </c>
      <c r="C14" s="132" t="s">
        <v>731</v>
      </c>
      <c r="D14" s="132" t="s">
        <v>73</v>
      </c>
      <c r="E14" s="132" t="s">
        <v>10</v>
      </c>
      <c r="F14" s="132" t="s">
        <v>95</v>
      </c>
      <c r="G14" s="286">
        <v>720</v>
      </c>
      <c r="H14" s="286">
        <v>720</v>
      </c>
      <c r="I14" s="286">
        <v>500</v>
      </c>
      <c r="J14" s="286">
        <v>900</v>
      </c>
      <c r="K14" s="286">
        <v>525</v>
      </c>
      <c r="L14" s="286">
        <v>560</v>
      </c>
      <c r="M14" s="132"/>
      <c r="N14" s="231"/>
      <c r="O14" s="232">
        <v>2640</v>
      </c>
      <c r="P14" s="232"/>
      <c r="Q14" s="232"/>
      <c r="R14" s="132">
        <f>'комплекты фурнитуры'!$C$3</f>
        <v>550</v>
      </c>
      <c r="S14" s="132"/>
      <c r="T14" s="132"/>
      <c r="U14" s="132"/>
      <c r="V14" s="132"/>
      <c r="W14" s="132"/>
      <c r="X14" s="132"/>
      <c r="Y14" s="132"/>
      <c r="Z14" s="132"/>
      <c r="AA14" s="132"/>
      <c r="AB14" s="132"/>
      <c r="AC14" s="132"/>
      <c r="AD14" s="132"/>
      <c r="AE14" s="132">
        <f>'комплекты фурнитуры'!$C$23*2</f>
        <v>560</v>
      </c>
      <c r="AF14" s="132"/>
      <c r="AG14" s="132"/>
      <c r="AH14" s="233">
        <f>SUM(Прайс[[#This Row],[КФ НСТ11]:[KFPr-SB-ZPG]])</f>
        <v>1110</v>
      </c>
      <c r="AI14" s="233"/>
      <c r="AJ14" s="132"/>
      <c r="AK14" s="132"/>
      <c r="AL14" s="132"/>
      <c r="AM14" s="233">
        <f>'комплекты фурнитуры'!$C$66</f>
        <v>620</v>
      </c>
      <c r="AN14" s="233">
        <f>'комплекты фурнитуры'!$C$67</f>
        <v>130</v>
      </c>
      <c r="AO14" s="233"/>
      <c r="AP14" s="233"/>
      <c r="AQ14" s="233"/>
      <c r="AR14" s="233"/>
      <c r="AS14" s="233"/>
      <c r="AT14" s="233"/>
      <c r="AU14" s="233"/>
      <c r="AV14" s="233"/>
      <c r="AW14" s="233"/>
      <c r="AX14" s="233"/>
      <c r="AY14" s="233"/>
      <c r="AZ14" s="233"/>
      <c r="BA14" s="233"/>
      <c r="BB14" s="233">
        <f>'комплекты фурнитуры'!$C$25</f>
        <v>5100</v>
      </c>
      <c r="BC14" s="233"/>
      <c r="BD14" s="233">
        <f>'комплекты фурнитуры'!$C$32</f>
        <v>370</v>
      </c>
      <c r="BE14" s="233"/>
      <c r="BF14" s="233">
        <f>'комплекты фурнитуры'!$C$33</f>
        <v>170</v>
      </c>
      <c r="BG14" s="233">
        <f>'комплекты фурнитуры'!$C$35</f>
        <v>4140</v>
      </c>
      <c r="BH14" s="233"/>
      <c r="BI14" s="233"/>
      <c r="BJ14" s="233"/>
      <c r="BK14" s="233"/>
      <c r="BL14" s="233"/>
      <c r="BM14" s="233"/>
      <c r="BN14" s="233"/>
      <c r="BO14" s="233"/>
      <c r="BP14" s="234">
        <f>Прайс[[#This Row],[КФ петли SENS накл.110 гр. с крестообр. Планкой]]*4+Прайс[[#This Row],[Комплект для ящика Hettich ATIRA Серый, NL-470, H-70]]</f>
        <v>7580</v>
      </c>
      <c r="BQ14" s="235">
        <f>Прайс[[#This Row],[KFP-SB-N110]]*4+Прайс[[#This Row],[KFN-SB-M86]]+Прайс[[#This Row],[KFN-SB-MD]]</f>
        <v>1060</v>
      </c>
      <c r="BR14" s="235">
        <f>Прайс[[#This Row],[KFP-SB-N110]]*4+Прайс[[#This Row],[КФ ящика Matrix (H=89 мм)_450_GR]]</f>
        <v>4660</v>
      </c>
      <c r="BS14" s="133">
        <v>300</v>
      </c>
      <c r="BT14" s="133">
        <v>720</v>
      </c>
      <c r="BU14" s="133" t="str">
        <f>IF(OR(Прайс[[#This Row],[Тип]]="Нижний",Прайс[[#This Row],[Тип]]="Пенал"),"560",IF(Прайс[[#This Row],[Тип]]="Верхний",315,0))</f>
        <v>560</v>
      </c>
      <c r="BV14" s="236">
        <v>1.08</v>
      </c>
      <c r="BW14" s="236">
        <v>1.0649999999999999</v>
      </c>
      <c r="BX14" s="235">
        <v>0</v>
      </c>
      <c r="BY14" s="133">
        <v>0</v>
      </c>
      <c r="BZ14" s="133">
        <v>1</v>
      </c>
      <c r="CA14" s="133" t="s">
        <v>71</v>
      </c>
      <c r="CB14" s="235" t="s">
        <v>471</v>
      </c>
      <c r="CC14" s="133">
        <v>1</v>
      </c>
      <c r="CD14" s="133" t="s">
        <v>10</v>
      </c>
      <c r="CE14" s="133">
        <v>3570</v>
      </c>
      <c r="CF14" s="133"/>
      <c r="CG14" s="133"/>
      <c r="CH14" s="133">
        <v>3</v>
      </c>
      <c r="CI14" s="133">
        <v>0</v>
      </c>
      <c r="CJ14" s="133">
        <v>0</v>
      </c>
      <c r="CK14" s="133"/>
      <c r="CL14" s="133"/>
      <c r="CM14" s="133"/>
      <c r="CN14" s="133"/>
      <c r="CO14" s="133" t="s">
        <v>10</v>
      </c>
      <c r="CP14" s="133">
        <f>IF(Прайс[[#This Row],[Наличие подсветки на нижнем горизонте]]="Нет",0,'комплекты фурнитуры'!$C$95)</f>
        <v>0</v>
      </c>
      <c r="CQ14" s="133">
        <f>'комплекты фурнитуры'!$C$53</f>
        <v>340</v>
      </c>
      <c r="CR14" s="133"/>
      <c r="CS14" s="133">
        <f>'комплекты фурнитуры'!$C$55</f>
        <v>3820</v>
      </c>
      <c r="CT14" s="133"/>
      <c r="CU14" s="133">
        <f>Прайс[[#This Row],[КФ петли JET накл. 105 гр.]]*4+Прайс[[#This Row],[Ящик JETBOX ULTRA 80 с доводчиком антрацит]]</f>
        <v>5180</v>
      </c>
    </row>
    <row r="15" spans="1:99" s="134" customFormat="1" ht="15" customHeight="1" x14ac:dyDescent="0.25">
      <c r="A15" s="287" t="s">
        <v>15</v>
      </c>
      <c r="B15" s="132" t="s">
        <v>6</v>
      </c>
      <c r="C15" s="132" t="s">
        <v>732</v>
      </c>
      <c r="D15" s="132" t="s">
        <v>73</v>
      </c>
      <c r="E15" s="132" t="s">
        <v>10</v>
      </c>
      <c r="F15" s="132" t="s">
        <v>95</v>
      </c>
      <c r="G15" s="286">
        <v>720</v>
      </c>
      <c r="H15" s="286">
        <v>720</v>
      </c>
      <c r="I15" s="286">
        <v>300</v>
      </c>
      <c r="J15" s="286">
        <v>900</v>
      </c>
      <c r="K15" s="286">
        <v>525</v>
      </c>
      <c r="L15" s="286">
        <v>560</v>
      </c>
      <c r="M15" s="132"/>
      <c r="N15" s="231"/>
      <c r="O15" s="232">
        <v>3510</v>
      </c>
      <c r="P15" s="232"/>
      <c r="Q15" s="232"/>
      <c r="R15" s="132">
        <f>'комплекты фурнитуры'!$C$3</f>
        <v>550</v>
      </c>
      <c r="S15" s="132"/>
      <c r="T15" s="132"/>
      <c r="U15" s="132"/>
      <c r="V15" s="132"/>
      <c r="W15" s="132"/>
      <c r="X15" s="132"/>
      <c r="Y15" s="132"/>
      <c r="Z15" s="132"/>
      <c r="AA15" s="132"/>
      <c r="AB15" s="132"/>
      <c r="AC15" s="132"/>
      <c r="AD15" s="132"/>
      <c r="AE15" s="132">
        <f>'комплекты фурнитуры'!$C$23*2</f>
        <v>560</v>
      </c>
      <c r="AF15" s="132"/>
      <c r="AG15" s="132"/>
      <c r="AH15" s="233">
        <f>SUM(Прайс[[#This Row],[КФ НСТ11]:[KFPr-SB-ZPG]])</f>
        <v>1110</v>
      </c>
      <c r="AI15" s="233"/>
      <c r="AJ15" s="132"/>
      <c r="AK15" s="132"/>
      <c r="AL15" s="132"/>
      <c r="AM15" s="233"/>
      <c r="AN15" s="233"/>
      <c r="AO15" s="233"/>
      <c r="AP15" s="233"/>
      <c r="AQ15" s="233"/>
      <c r="AR15" s="233"/>
      <c r="AS15" s="233"/>
      <c r="AT15" s="233"/>
      <c r="AU15" s="233"/>
      <c r="AV15" s="233"/>
      <c r="AW15" s="233"/>
      <c r="AX15" s="233"/>
      <c r="AY15" s="233"/>
      <c r="AZ15" s="233"/>
      <c r="BA15" s="233"/>
      <c r="BB15" s="233">
        <f>'комплекты фурнитуры'!$C$25</f>
        <v>5100</v>
      </c>
      <c r="BC15" s="233"/>
      <c r="BD15" s="233">
        <f>'комплекты фурнитуры'!$C$32</f>
        <v>370</v>
      </c>
      <c r="BE15" s="233"/>
      <c r="BF15" s="233">
        <f>'комплекты фурнитуры'!$C$33</f>
        <v>170</v>
      </c>
      <c r="BG15" s="233"/>
      <c r="BH15" s="233"/>
      <c r="BI15" s="233">
        <f>'комплекты фурнитуры'!$C$36</f>
        <v>6440</v>
      </c>
      <c r="BJ15" s="233"/>
      <c r="BK15" s="233"/>
      <c r="BL15" s="233"/>
      <c r="BM15" s="233"/>
      <c r="BN15" s="233"/>
      <c r="BO15" s="233"/>
      <c r="BP15" s="234">
        <f>4*Прайс[[#This Row],[Комплект для ящика Hettich ATIRA Серый, NL-470, H-70]]</f>
        <v>20400</v>
      </c>
      <c r="BQ15" s="235">
        <f>Прайс[[#This Row],[KFN-SB-M86]]*4+Прайс[[#This Row],[KFN-SB-MD]]*4</f>
        <v>2160</v>
      </c>
      <c r="BR15" s="235">
        <f>Прайс[[#This Row],[Комплект ящика INNOTECH ATIRA полного выдв. с  PUSH TO OPEN , Н70,NL470,цвет серебристый]]*4</f>
        <v>25760</v>
      </c>
      <c r="BS15" s="133">
        <v>300</v>
      </c>
      <c r="BT15" s="133">
        <v>720</v>
      </c>
      <c r="BU15" s="133" t="str">
        <f>IF(OR(Прайс[[#This Row],[Тип]]="Нижний",Прайс[[#This Row],[Тип]]="Пенал"),"560",IF(Прайс[[#This Row],[Тип]]="Верхний",315,0))</f>
        <v>560</v>
      </c>
      <c r="BV15" s="236">
        <v>1.08</v>
      </c>
      <c r="BW15" s="236">
        <v>1.0649999999999999</v>
      </c>
      <c r="BX15" s="235">
        <v>0</v>
      </c>
      <c r="BY15" s="133">
        <v>0</v>
      </c>
      <c r="BZ15" s="133">
        <v>0</v>
      </c>
      <c r="CA15" s="133" t="s">
        <v>71</v>
      </c>
      <c r="CB15" s="235" t="s">
        <v>469</v>
      </c>
      <c r="CC15" s="133">
        <v>0</v>
      </c>
      <c r="CD15" s="133" t="s">
        <v>10</v>
      </c>
      <c r="CE15" s="133">
        <v>4680</v>
      </c>
      <c r="CF15" s="133"/>
      <c r="CG15" s="133"/>
      <c r="CH15" s="133">
        <v>4</v>
      </c>
      <c r="CI15" s="133">
        <v>0</v>
      </c>
      <c r="CJ15" s="133">
        <v>0</v>
      </c>
      <c r="CK15" s="133"/>
      <c r="CL15" s="133"/>
      <c r="CM15" s="133"/>
      <c r="CN15" s="133"/>
      <c r="CO15" s="133" t="s">
        <v>10</v>
      </c>
      <c r="CP15" s="133">
        <f>IF(Прайс[[#This Row],[Наличие подсветки на нижнем горизонте]]="Нет",0,'комплекты фурнитуры'!$C$95)</f>
        <v>0</v>
      </c>
      <c r="CQ15" s="133"/>
      <c r="CR15" s="133"/>
      <c r="CS15" s="133">
        <f>'комплекты фурнитуры'!$C$55</f>
        <v>3820</v>
      </c>
      <c r="CT15" s="133"/>
      <c r="CU15" s="133">
        <f>Прайс[[#This Row],[Ящик JETBOX ULTRA 80 с доводчиком антрацит]]*4</f>
        <v>15280</v>
      </c>
    </row>
    <row r="16" spans="1:99" s="134" customFormat="1" ht="15" customHeight="1" x14ac:dyDescent="0.25">
      <c r="A16" s="287" t="s">
        <v>1</v>
      </c>
      <c r="B16" s="132" t="s">
        <v>6</v>
      </c>
      <c r="C16" s="132" t="s">
        <v>733</v>
      </c>
      <c r="D16" s="132" t="s">
        <v>73</v>
      </c>
      <c r="E16" s="132" t="s">
        <v>10</v>
      </c>
      <c r="F16" s="132" t="s">
        <v>95</v>
      </c>
      <c r="G16" s="286">
        <v>720</v>
      </c>
      <c r="H16" s="286">
        <v>720</v>
      </c>
      <c r="I16" s="286">
        <v>300</v>
      </c>
      <c r="J16" s="286">
        <v>900</v>
      </c>
      <c r="K16" s="286">
        <v>525</v>
      </c>
      <c r="L16" s="286">
        <v>560</v>
      </c>
      <c r="M16" s="132"/>
      <c r="N16" s="231"/>
      <c r="O16" s="232">
        <v>3060</v>
      </c>
      <c r="P16" s="232"/>
      <c r="Q16" s="232"/>
      <c r="R16" s="132">
        <f>'комплекты фурнитуры'!$C$3</f>
        <v>550</v>
      </c>
      <c r="S16" s="132"/>
      <c r="T16" s="132"/>
      <c r="U16" s="132"/>
      <c r="V16" s="132"/>
      <c r="W16" s="132"/>
      <c r="X16" s="132"/>
      <c r="Y16" s="132"/>
      <c r="Z16" s="132"/>
      <c r="AA16" s="132"/>
      <c r="AB16" s="132"/>
      <c r="AC16" s="132"/>
      <c r="AD16" s="132"/>
      <c r="AE16" s="132">
        <f>'комплекты фурнитуры'!$C$23*2</f>
        <v>560</v>
      </c>
      <c r="AF16" s="132"/>
      <c r="AG16" s="132"/>
      <c r="AH16" s="233">
        <f>SUM(Прайс[[#This Row],[КФ НСТ11]:[KFPr-SB-ZPG]])</f>
        <v>1110</v>
      </c>
      <c r="AI16" s="233"/>
      <c r="AJ16" s="132"/>
      <c r="AK16" s="132"/>
      <c r="AL16" s="132"/>
      <c r="AM16" s="233"/>
      <c r="AN16" s="233"/>
      <c r="AO16" s="233"/>
      <c r="AP16" s="233"/>
      <c r="AQ16" s="233"/>
      <c r="AR16" s="233"/>
      <c r="AS16" s="233"/>
      <c r="AT16" s="233"/>
      <c r="AU16" s="233"/>
      <c r="AV16" s="233"/>
      <c r="AW16" s="233"/>
      <c r="AX16" s="233"/>
      <c r="AY16" s="233"/>
      <c r="AZ16" s="233"/>
      <c r="BA16" s="233"/>
      <c r="BB16" s="233">
        <f>'комплекты фурнитуры'!$C$25</f>
        <v>5100</v>
      </c>
      <c r="BC16" s="233">
        <f>'комплекты фурнитуры'!$C$26</f>
        <v>6660</v>
      </c>
      <c r="BD16" s="233">
        <f>'комплекты фурнитуры'!$C$32</f>
        <v>370</v>
      </c>
      <c r="BE16" s="233">
        <f>'комплекты фурнитуры'!$C$31</f>
        <v>950</v>
      </c>
      <c r="BF16" s="233">
        <f>'комплекты фурнитуры'!$C$33</f>
        <v>170</v>
      </c>
      <c r="BG16" s="233"/>
      <c r="BH16" s="233">
        <f>'комплекты фурнитуры'!$C$34</f>
        <v>5040</v>
      </c>
      <c r="BI16" s="233">
        <f>'комплекты фурнитуры'!$C$36</f>
        <v>6440</v>
      </c>
      <c r="BJ16" s="233">
        <f>'комплекты фурнитуры'!$C$37</f>
        <v>7970</v>
      </c>
      <c r="BK16" s="233"/>
      <c r="BL16" s="233"/>
      <c r="BM16" s="233"/>
      <c r="BN16" s="233"/>
      <c r="BO16" s="233"/>
      <c r="BP16" s="234">
        <f>Прайс[[#This Row],[Комплект для ящика Hettich ATIRA Серый, NL-470, H-70]]*2+Прайс[[#This Row],[Комплект для ящика Hettich ATIRA Серый с реллингом, NL-470, H-176]]</f>
        <v>16860</v>
      </c>
      <c r="BQ16" s="235">
        <f>Прайс[[#This Row],[KFN-SB-M86]]*2+Прайс[[#This Row],[KFN-SB-M15]]+Прайс[[#This Row],[KFN-SB-MD]]*3</f>
        <v>2200</v>
      </c>
      <c r="BR16" s="235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  <c r="BS16" s="133">
        <v>300</v>
      </c>
      <c r="BT16" s="133">
        <v>720</v>
      </c>
      <c r="BU16" s="133" t="str">
        <f>IF(OR(Прайс[[#This Row],[Тип]]="Нижний",Прайс[[#This Row],[Тип]]="Пенал"),"560",IF(Прайс[[#This Row],[Тип]]="Верхний",315,0))</f>
        <v>560</v>
      </c>
      <c r="BV16" s="236">
        <v>1.08</v>
      </c>
      <c r="BW16" s="236">
        <v>1.0649999999999999</v>
      </c>
      <c r="BX16" s="235">
        <v>0</v>
      </c>
      <c r="BY16" s="133">
        <v>0</v>
      </c>
      <c r="BZ16" s="133">
        <v>0</v>
      </c>
      <c r="CA16" s="133" t="s">
        <v>71</v>
      </c>
      <c r="CB16" s="235" t="s">
        <v>469</v>
      </c>
      <c r="CC16" s="133">
        <v>0</v>
      </c>
      <c r="CD16" s="133" t="s">
        <v>10</v>
      </c>
      <c r="CE16" s="133">
        <v>4170</v>
      </c>
      <c r="CF16" s="133"/>
      <c r="CG16" s="133"/>
      <c r="CH16" s="133">
        <v>3</v>
      </c>
      <c r="CI16" s="133">
        <v>0</v>
      </c>
      <c r="CJ16" s="133">
        <v>0</v>
      </c>
      <c r="CK16" s="133"/>
      <c r="CL16" s="133"/>
      <c r="CM16" s="133"/>
      <c r="CN16" s="133"/>
      <c r="CO16" s="133" t="s">
        <v>10</v>
      </c>
      <c r="CP16" s="133">
        <f>IF(Прайс[[#This Row],[Наличие подсветки на нижнем горизонте]]="Нет",0,'комплекты фурнитуры'!$C$95)</f>
        <v>0</v>
      </c>
      <c r="CQ16" s="133"/>
      <c r="CR16" s="133"/>
      <c r="CS16" s="133">
        <f>'комплекты фурнитуры'!$C$55</f>
        <v>3820</v>
      </c>
      <c r="CT16" s="133">
        <f>'комплекты фурнитуры'!$C$56</f>
        <v>4460</v>
      </c>
      <c r="CU16" s="133">
        <f>Прайс[[#This Row],[Ящик JETBOX ULTRA 80 с доводчиком антрацит]]*2+Прайс[[#This Row],[Ящик JETBOX ULTRA 170 с доводчиком антрацит]]</f>
        <v>12100</v>
      </c>
    </row>
    <row r="17" spans="1:99" s="134" customFormat="1" ht="15" customHeight="1" x14ac:dyDescent="0.25">
      <c r="A17" s="287" t="s">
        <v>16</v>
      </c>
      <c r="B17" s="132" t="s">
        <v>6</v>
      </c>
      <c r="C17" s="132" t="s">
        <v>734</v>
      </c>
      <c r="D17" s="132" t="s">
        <v>73</v>
      </c>
      <c r="E17" s="132" t="s">
        <v>10</v>
      </c>
      <c r="F17" s="132" t="s">
        <v>95</v>
      </c>
      <c r="G17" s="286">
        <v>720</v>
      </c>
      <c r="H17" s="286">
        <v>720</v>
      </c>
      <c r="I17" s="286">
        <v>300</v>
      </c>
      <c r="J17" s="286">
        <v>950</v>
      </c>
      <c r="K17" s="286">
        <v>375</v>
      </c>
      <c r="L17" s="286">
        <v>560</v>
      </c>
      <c r="M17" s="132"/>
      <c r="N17" s="231"/>
      <c r="O17" s="232">
        <v>2960</v>
      </c>
      <c r="P17" s="232"/>
      <c r="Q17" s="232"/>
      <c r="R17" s="132">
        <f>'комплекты фурнитуры'!$C$3</f>
        <v>550</v>
      </c>
      <c r="S17" s="132"/>
      <c r="T17" s="132"/>
      <c r="U17" s="132"/>
      <c r="V17" s="132"/>
      <c r="W17" s="132"/>
      <c r="X17" s="132"/>
      <c r="Y17" s="132"/>
      <c r="Z17" s="132"/>
      <c r="AA17" s="132"/>
      <c r="AB17" s="132"/>
      <c r="AC17" s="132"/>
      <c r="AD17" s="132"/>
      <c r="AE17" s="132">
        <f>'комплекты фурнитуры'!$C$23*2</f>
        <v>560</v>
      </c>
      <c r="AF17" s="132"/>
      <c r="AG17" s="132"/>
      <c r="AH17" s="233">
        <f>SUM(Прайс[[#This Row],[КФ НСТ11]:[KFPr-SB-ZPG]])</f>
        <v>1110</v>
      </c>
      <c r="AI17" s="233"/>
      <c r="AJ17" s="132"/>
      <c r="AK17" s="132"/>
      <c r="AL17" s="132"/>
      <c r="AM17" s="233"/>
      <c r="AN17" s="233"/>
      <c r="AO17" s="233"/>
      <c r="AP17" s="233"/>
      <c r="AQ17" s="233"/>
      <c r="AR17" s="233"/>
      <c r="AS17" s="233"/>
      <c r="AT17" s="233"/>
      <c r="AU17" s="233"/>
      <c r="AV17" s="233"/>
      <c r="AW17" s="233"/>
      <c r="AX17" s="233"/>
      <c r="AY17" s="233"/>
      <c r="AZ17" s="233"/>
      <c r="BA17" s="233"/>
      <c r="BB17" s="233"/>
      <c r="BC17" s="233">
        <f>'комплекты фурнитуры'!$C$26</f>
        <v>6660</v>
      </c>
      <c r="BD17" s="233"/>
      <c r="BE17" s="233">
        <f>'комплекты фурнитуры'!$C$31</f>
        <v>950</v>
      </c>
      <c r="BF17" s="233">
        <f>'комплекты фурнитуры'!$C$33</f>
        <v>170</v>
      </c>
      <c r="BG17" s="233"/>
      <c r="BH17" s="233">
        <f>'комплекты фурнитуры'!$C$34</f>
        <v>5040</v>
      </c>
      <c r="BI17" s="233"/>
      <c r="BJ17" s="233">
        <f>'комплекты фурнитуры'!$C$37</f>
        <v>7970</v>
      </c>
      <c r="BK17" s="233"/>
      <c r="BL17" s="233"/>
      <c r="BM17" s="233"/>
      <c r="BN17" s="233"/>
      <c r="BO17" s="233"/>
      <c r="BP17" s="234">
        <f>Прайс[[#This Row],[Комплект для ящика Hettich ATIRA Серый с реллингом, NL-470, H-176]]*2</f>
        <v>13320</v>
      </c>
      <c r="BQ17" s="235">
        <f>Прайс[[#This Row],[KFN-SB-M15]]*2+Прайс[[#This Row],[KFN-SB-MD]]*2</f>
        <v>2240</v>
      </c>
      <c r="BR17" s="235">
        <f>Прайс[[#This Row],[Комплект короба INNOTECH ATIRA полного выдв. с Push to open, Н176,NL470,рейлинги, цвет серебристый]]*2</f>
        <v>15940</v>
      </c>
      <c r="BS17" s="133">
        <v>300</v>
      </c>
      <c r="BT17" s="133">
        <v>720</v>
      </c>
      <c r="BU17" s="133" t="str">
        <f>IF(OR(Прайс[[#This Row],[Тип]]="Нижний",Прайс[[#This Row],[Тип]]="Пенал"),"560",IF(Прайс[[#This Row],[Тип]]="Верхний",315,0))</f>
        <v>560</v>
      </c>
      <c r="BV17" s="236">
        <v>1.08</v>
      </c>
      <c r="BW17" s="236">
        <v>1.0649999999999999</v>
      </c>
      <c r="BX17" s="235">
        <v>0</v>
      </c>
      <c r="BY17" s="133">
        <v>0</v>
      </c>
      <c r="BZ17" s="133">
        <v>0</v>
      </c>
      <c r="CA17" s="133" t="s">
        <v>71</v>
      </c>
      <c r="CB17" s="235" t="s">
        <v>469</v>
      </c>
      <c r="CC17" s="133">
        <v>0</v>
      </c>
      <c r="CD17" s="133" t="s">
        <v>10</v>
      </c>
      <c r="CE17" s="133">
        <v>3990</v>
      </c>
      <c r="CF17" s="133"/>
      <c r="CG17" s="133"/>
      <c r="CH17" s="133">
        <v>2</v>
      </c>
      <c r="CI17" s="133">
        <v>0</v>
      </c>
      <c r="CJ17" s="133">
        <v>0</v>
      </c>
      <c r="CK17" s="133"/>
      <c r="CL17" s="133"/>
      <c r="CM17" s="133"/>
      <c r="CN17" s="133"/>
      <c r="CO17" s="133" t="s">
        <v>10</v>
      </c>
      <c r="CP17" s="133">
        <f>IF(Прайс[[#This Row],[Наличие подсветки на нижнем горизонте]]="Нет",0,'комплекты фурнитуры'!$C$95)</f>
        <v>0</v>
      </c>
      <c r="CQ17" s="133"/>
      <c r="CR17" s="133"/>
      <c r="CS17" s="133"/>
      <c r="CT17" s="133">
        <f>'комплекты фурнитуры'!$C$56</f>
        <v>4460</v>
      </c>
      <c r="CU17" s="133">
        <f>Прайс[[#This Row],[Ящик JETBOX ULTRA 170 с доводчиком антрацит]]*2</f>
        <v>8920</v>
      </c>
    </row>
    <row r="18" spans="1:99" s="134" customFormat="1" ht="15" customHeight="1" x14ac:dyDescent="0.25">
      <c r="A18" s="291" t="s">
        <v>714</v>
      </c>
      <c r="B18" s="132" t="s">
        <v>6</v>
      </c>
      <c r="C18" s="132" t="s">
        <v>735</v>
      </c>
      <c r="D18" s="132" t="s">
        <v>73</v>
      </c>
      <c r="E18" s="132" t="s">
        <v>10</v>
      </c>
      <c r="F18" s="132" t="s">
        <v>94</v>
      </c>
      <c r="G18" s="286">
        <v>720</v>
      </c>
      <c r="H18" s="286">
        <v>720</v>
      </c>
      <c r="I18" s="286">
        <v>600</v>
      </c>
      <c r="J18" s="286">
        <v>600</v>
      </c>
      <c r="K18" s="286">
        <v>525</v>
      </c>
      <c r="L18" s="286">
        <v>560</v>
      </c>
      <c r="M18" s="132"/>
      <c r="N18" s="231"/>
      <c r="O18" s="232">
        <v>3620</v>
      </c>
      <c r="P18" s="232"/>
      <c r="Q18" s="232"/>
      <c r="R18" s="132"/>
      <c r="S18" s="132"/>
      <c r="T18" s="132"/>
      <c r="U18" s="132"/>
      <c r="V18" s="132"/>
      <c r="W18" s="132"/>
      <c r="X18" s="132"/>
      <c r="Y18" s="132"/>
      <c r="Z18" s="132"/>
      <c r="AA18" s="132"/>
      <c r="AB18" s="132"/>
      <c r="AC18" s="132"/>
      <c r="AD18" s="132"/>
      <c r="AE18" s="132">
        <f>'комплекты фурнитуры'!$C$23*2</f>
        <v>560</v>
      </c>
      <c r="AF18" s="132"/>
      <c r="AG18" s="132"/>
      <c r="AH18" s="233">
        <f>SUM(Прайс[[#This Row],[КФ НСТ11]:[KFPr-SB-ZPG]])+Прайс[[#This Row],[КФ НСТ19]]</f>
        <v>1100</v>
      </c>
      <c r="AI18" s="233"/>
      <c r="AJ18" s="233"/>
      <c r="AK18" s="233"/>
      <c r="AL18" s="132"/>
      <c r="AM18" s="233"/>
      <c r="AN18" s="233"/>
      <c r="AO18" s="233"/>
      <c r="AP18" s="233"/>
      <c r="AQ18" s="233"/>
      <c r="AR18" s="233"/>
      <c r="AS18" s="233"/>
      <c r="AT18" s="233"/>
      <c r="AU18" s="233"/>
      <c r="AV18" s="233"/>
      <c r="AW18" s="233"/>
      <c r="AX18" s="233"/>
      <c r="AY18" s="233"/>
      <c r="AZ18" s="233"/>
      <c r="BA18" s="233"/>
      <c r="BB18" s="233"/>
      <c r="BC18" s="233">
        <f>'комплекты фурнитуры'!$C$26</f>
        <v>6660</v>
      </c>
      <c r="BD18" s="233"/>
      <c r="BE18" s="233"/>
      <c r="BF18" s="233"/>
      <c r="BG18" s="233"/>
      <c r="BH18" s="292"/>
      <c r="BI18" s="233"/>
      <c r="BJ18" s="233"/>
      <c r="BK18" s="233"/>
      <c r="BL18" s="233"/>
      <c r="BM18" s="233"/>
      <c r="BN18" s="233"/>
      <c r="BO18" s="233"/>
      <c r="BP18" s="234">
        <f>Прайс[[#This Row],[Корзина выдв.посудосуш.600 мм + напр. L450 Hettich (ХРОМ)]]+Прайс[[#This Row],[Комплект для ящика Hettich ATIRA Серый с реллингом, NL-470, H-176]]</f>
        <v>15450</v>
      </c>
      <c r="BQ18" s="234">
        <f>Прайс[[#This Row],[Корзина выдв.посудосуш.600 мм + напр. L450 Hettich (ХРОМ)]]+Прайс[[#This Row],[Комплект для ящика Hettich ATIRA Серый с реллингом, NL-470, H-176]]</f>
        <v>15450</v>
      </c>
      <c r="BR18" s="234">
        <f>Прайс[[#This Row],[Корзина выдв.посудосуш.600 мм + напр. L450 Hettich (ХРОМ)]]+Прайс[[#This Row],[Комплект для ящика Hettich ATIRA Серый с реллингом, NL-470, H-176]]</f>
        <v>15450</v>
      </c>
      <c r="BS18" s="133">
        <v>600</v>
      </c>
      <c r="BT18" s="133">
        <v>720</v>
      </c>
      <c r="BU18" s="133">
        <v>560</v>
      </c>
      <c r="BV18" s="236">
        <v>0</v>
      </c>
      <c r="BW18" s="236">
        <v>0</v>
      </c>
      <c r="BX18" s="235">
        <v>0</v>
      </c>
      <c r="BY18" s="133">
        <v>0</v>
      </c>
      <c r="BZ18" s="133">
        <v>0</v>
      </c>
      <c r="CA18" s="133" t="s">
        <v>10</v>
      </c>
      <c r="CB18" s="235" t="s">
        <v>470</v>
      </c>
      <c r="CC18" s="133">
        <v>0</v>
      </c>
      <c r="CD18" s="133" t="s">
        <v>10</v>
      </c>
      <c r="CE18" s="133">
        <v>4970</v>
      </c>
      <c r="CF18" s="133">
        <f>'комплекты фурнитуры'!$C$19</f>
        <v>540</v>
      </c>
      <c r="CG18" s="293">
        <f>'комплекты фурнитуры'!$C$45</f>
        <v>8790</v>
      </c>
      <c r="CH18" s="133">
        <v>2</v>
      </c>
      <c r="CI18" s="133">
        <v>0</v>
      </c>
      <c r="CJ18" s="133">
        <v>0</v>
      </c>
      <c r="CK18" s="133"/>
      <c r="CL18" s="133"/>
      <c r="CM18" s="133"/>
      <c r="CN18" s="133"/>
      <c r="CO18" s="133" t="s">
        <v>10</v>
      </c>
      <c r="CP18" s="133">
        <f>IF(Прайс[[#This Row],[Наличие подсветки на нижнем горизонте]]="Нет",0,'комплекты фурнитуры'!$C$95)</f>
        <v>0</v>
      </c>
      <c r="CQ18" s="133"/>
      <c r="CR18" s="133"/>
      <c r="CS18" s="133"/>
      <c r="CT18" s="133"/>
      <c r="CU18" s="235">
        <f>Прайс[[#This Row],[Комплектация №2]]</f>
        <v>15450</v>
      </c>
    </row>
    <row r="19" spans="1:99" s="134" customFormat="1" ht="15" customHeight="1" x14ac:dyDescent="0.25">
      <c r="A19" s="287" t="s">
        <v>17</v>
      </c>
      <c r="B19" s="132" t="s">
        <v>6</v>
      </c>
      <c r="C19" s="132" t="s">
        <v>736</v>
      </c>
      <c r="D19" s="132" t="s">
        <v>73</v>
      </c>
      <c r="E19" s="132" t="s">
        <v>10</v>
      </c>
      <c r="F19" s="132" t="s">
        <v>90</v>
      </c>
      <c r="G19" s="286">
        <v>720</v>
      </c>
      <c r="H19" s="286">
        <v>720</v>
      </c>
      <c r="I19" s="286">
        <v>450</v>
      </c>
      <c r="J19" s="286">
        <v>600</v>
      </c>
      <c r="K19" s="286">
        <v>525</v>
      </c>
      <c r="L19" s="286">
        <v>600</v>
      </c>
      <c r="M19" s="132"/>
      <c r="N19" s="231" t="s">
        <v>53</v>
      </c>
      <c r="O19" s="232">
        <v>2760</v>
      </c>
      <c r="P19" s="232"/>
      <c r="Q19" s="232"/>
      <c r="R19" s="132"/>
      <c r="S19" s="132">
        <f>'комплекты фурнитуры'!$C$4</f>
        <v>460</v>
      </c>
      <c r="T19" s="132"/>
      <c r="U19" s="132"/>
      <c r="V19" s="132"/>
      <c r="W19" s="132"/>
      <c r="X19" s="132"/>
      <c r="Y19" s="132"/>
      <c r="Z19" s="132"/>
      <c r="AA19" s="132"/>
      <c r="AB19" s="132"/>
      <c r="AC19" s="132"/>
      <c r="AD19" s="132"/>
      <c r="AE19" s="132">
        <f>'комплекты фурнитуры'!$C$23*2</f>
        <v>560</v>
      </c>
      <c r="AF19" s="132"/>
      <c r="AG19" s="132"/>
      <c r="AH19" s="233">
        <f>SUM(Прайс[[#This Row],[КФ НСТ11]:[KFPr-SB-ZPG]])</f>
        <v>1020</v>
      </c>
      <c r="AI19" s="233"/>
      <c r="AJ19" s="132"/>
      <c r="AK19" s="132"/>
      <c r="AL19" s="132"/>
      <c r="AM19" s="233"/>
      <c r="AN19" s="233"/>
      <c r="AO19" s="233"/>
      <c r="AP19" s="233"/>
      <c r="AQ19" s="233"/>
      <c r="AR19" s="233"/>
      <c r="AS19" s="233"/>
      <c r="AT19" s="233"/>
      <c r="AU19" s="233"/>
      <c r="AV19" s="233"/>
      <c r="AW19" s="233"/>
      <c r="AX19" s="233"/>
      <c r="AY19" s="233"/>
      <c r="AZ19" s="233"/>
      <c r="BA19" s="233">
        <f>'комплекты фурнитуры'!$C$30</f>
        <v>480</v>
      </c>
      <c r="BB19" s="233"/>
      <c r="BC19" s="233"/>
      <c r="BD19" s="233"/>
      <c r="BE19" s="233"/>
      <c r="BF19" s="233">
        <f>'комплекты фурнитуры'!$C$33</f>
        <v>170</v>
      </c>
      <c r="BG19" s="233"/>
      <c r="BH19" s="233"/>
      <c r="BI19" s="233"/>
      <c r="BJ19" s="233"/>
      <c r="BK19" s="233"/>
      <c r="BL19" s="233"/>
      <c r="BM19" s="233"/>
      <c r="BN19" s="233"/>
      <c r="BO19" s="233"/>
      <c r="BP19" s="235">
        <f>Прайс[[#This Row],[KFN-SB-M54]]+Прайс[[#This Row],[KFN-SB-MD]]</f>
        <v>650</v>
      </c>
      <c r="BQ19" s="235">
        <f>Прайс[[#This Row],[KFN-SB-M54]]+Прайс[[#This Row],[KFN-SB-MD]]</f>
        <v>650</v>
      </c>
      <c r="BR19" s="235">
        <f>Прайс[[#This Row],[KFN-SB-M54]]+Прайс[[#This Row],[KFN-SB-MD]]</f>
        <v>650</v>
      </c>
      <c r="BS19" s="133">
        <v>450</v>
      </c>
      <c r="BT19" s="133">
        <v>720</v>
      </c>
      <c r="BU19" s="133" t="str">
        <f>IF(OR(Прайс[[#This Row],[Тип]]="Нижний",Прайс[[#This Row],[Тип]]="Пенал"),"560",IF(Прайс[[#This Row],[Тип]]="Верхний",315,0))</f>
        <v>560</v>
      </c>
      <c r="BV19" s="236">
        <v>1.08</v>
      </c>
      <c r="BW19" s="236">
        <v>1.0649999999999999</v>
      </c>
      <c r="BX19" s="235">
        <v>0</v>
      </c>
      <c r="BY19" s="133">
        <v>0</v>
      </c>
      <c r="BZ19" s="133">
        <v>0</v>
      </c>
      <c r="CA19" s="133" t="s">
        <v>10</v>
      </c>
      <c r="CB19" s="235" t="s">
        <v>472</v>
      </c>
      <c r="CC19" s="133">
        <v>0</v>
      </c>
      <c r="CD19" s="133" t="s">
        <v>10</v>
      </c>
      <c r="CE19" s="133">
        <v>3980</v>
      </c>
      <c r="CF19" s="133"/>
      <c r="CG19" s="133"/>
      <c r="CH19" s="133">
        <v>1</v>
      </c>
      <c r="CI19" s="133">
        <v>0</v>
      </c>
      <c r="CJ19" s="133">
        <v>0</v>
      </c>
      <c r="CK19" s="133"/>
      <c r="CL19" s="133"/>
      <c r="CM19" s="133"/>
      <c r="CN19" s="133"/>
      <c r="CO19" s="133" t="s">
        <v>10</v>
      </c>
      <c r="CP19" s="133">
        <f>IF(Прайс[[#This Row],[Наличие подсветки на нижнем горизонте]]="Нет",0,'комплекты фурнитуры'!$C$95)</f>
        <v>0</v>
      </c>
      <c r="CQ19" s="133"/>
      <c r="CR19" s="133"/>
      <c r="CS19" s="133"/>
      <c r="CT19" s="133"/>
      <c r="CU19" s="235">
        <f>Прайс[[#This Row],[Комплектация №2]]</f>
        <v>650</v>
      </c>
    </row>
    <row r="20" spans="1:99" s="134" customFormat="1" ht="15" customHeight="1" x14ac:dyDescent="0.25">
      <c r="A20" s="287" t="s">
        <v>18</v>
      </c>
      <c r="B20" s="132" t="s">
        <v>6</v>
      </c>
      <c r="C20" s="132" t="s">
        <v>737</v>
      </c>
      <c r="D20" s="132" t="s">
        <v>75</v>
      </c>
      <c r="E20" s="132" t="s">
        <v>10</v>
      </c>
      <c r="F20" s="132" t="s">
        <v>87</v>
      </c>
      <c r="G20" s="286">
        <v>720</v>
      </c>
      <c r="H20" s="286">
        <v>720</v>
      </c>
      <c r="I20" s="286">
        <v>230</v>
      </c>
      <c r="J20" s="286">
        <v>230</v>
      </c>
      <c r="K20" s="286">
        <v>330</v>
      </c>
      <c r="L20" s="286">
        <v>600</v>
      </c>
      <c r="M20" s="132"/>
      <c r="N20" s="231" t="s">
        <v>54</v>
      </c>
      <c r="O20" s="232">
        <v>2870</v>
      </c>
      <c r="P20" s="232"/>
      <c r="Q20" s="232"/>
      <c r="R20" s="132"/>
      <c r="S20" s="132"/>
      <c r="T20" s="132"/>
      <c r="U20" s="132"/>
      <c r="V20" s="132"/>
      <c r="W20" s="132"/>
      <c r="X20" s="132"/>
      <c r="Y20" s="132">
        <f>'комплекты фурнитуры'!$C$13</f>
        <v>740</v>
      </c>
      <c r="Z20" s="132"/>
      <c r="AA20" s="132"/>
      <c r="AB20" s="132"/>
      <c r="AC20" s="132"/>
      <c r="AD20" s="132"/>
      <c r="AE20" s="132">
        <f>'комплекты фурнитуры'!$C$23*2</f>
        <v>560</v>
      </c>
      <c r="AF20" s="132"/>
      <c r="AG20" s="132"/>
      <c r="AH20" s="233">
        <f>SUM(Прайс[[#This Row],[КФ НСТ11]:[KFPr-SB-ZPG]])</f>
        <v>1300</v>
      </c>
      <c r="AI20" s="233"/>
      <c r="AJ20" s="132"/>
      <c r="AK20" s="132"/>
      <c r="AL20" s="132"/>
      <c r="AM20" s="233"/>
      <c r="AN20" s="233"/>
      <c r="AO20" s="233"/>
      <c r="AP20" s="233"/>
      <c r="AQ20" s="233">
        <f>'комплекты фурнитуры'!$C$58</f>
        <v>1560</v>
      </c>
      <c r="AR20" s="233">
        <f>'комплекты фурнитуры'!$C$59</f>
        <v>190</v>
      </c>
      <c r="AS20" s="233"/>
      <c r="AT20" s="233"/>
      <c r="AU20" s="233"/>
      <c r="AV20" s="233"/>
      <c r="AW20" s="233"/>
      <c r="AX20" s="233"/>
      <c r="AY20" s="233"/>
      <c r="AZ20" s="233"/>
      <c r="BA20" s="233"/>
      <c r="BB20" s="233"/>
      <c r="BC20" s="233"/>
      <c r="BD20" s="233"/>
      <c r="BE20" s="233"/>
      <c r="BF20" s="233"/>
      <c r="BG20" s="233"/>
      <c r="BH20" s="233"/>
      <c r="BI20" s="233"/>
      <c r="BJ20" s="233"/>
      <c r="BK20" s="233"/>
      <c r="BL20" s="233"/>
      <c r="BM20" s="233"/>
      <c r="BN20" s="233"/>
      <c r="BO20" s="233"/>
      <c r="BP20" s="234">
        <f>Прайс[[#This Row],[КKFP-SB-GT45]]*2</f>
        <v>3120</v>
      </c>
      <c r="BQ20" s="235">
        <f>Прайс[[#This Row],[KFP-SB-N45]]*2</f>
        <v>380</v>
      </c>
      <c r="BR20" s="235">
        <f>Прайс[[#This Row],[KFP-SB-N45]]*2</f>
        <v>380</v>
      </c>
      <c r="BS20" s="133">
        <v>230</v>
      </c>
      <c r="BT20" s="133">
        <v>720</v>
      </c>
      <c r="BU20" s="133">
        <v>540</v>
      </c>
      <c r="BV20" s="236">
        <v>1.08</v>
      </c>
      <c r="BW20" s="236">
        <v>1.0649999999999999</v>
      </c>
      <c r="BX20" s="235">
        <v>1.3</v>
      </c>
      <c r="BY20" s="133">
        <v>0</v>
      </c>
      <c r="BZ20" s="133">
        <v>0</v>
      </c>
      <c r="CA20" s="133" t="s">
        <v>71</v>
      </c>
      <c r="CB20" s="235" t="s">
        <v>469</v>
      </c>
      <c r="CC20" s="133">
        <v>0</v>
      </c>
      <c r="CD20" s="133" t="s">
        <v>10</v>
      </c>
      <c r="CE20" s="133">
        <v>3790</v>
      </c>
      <c r="CF20" s="133"/>
      <c r="CG20" s="133"/>
      <c r="CH20" s="133">
        <v>1</v>
      </c>
      <c r="CI20" s="133">
        <v>0</v>
      </c>
      <c r="CJ20" s="133">
        <v>0</v>
      </c>
      <c r="CK20" s="133"/>
      <c r="CL20" s="133"/>
      <c r="CM20" s="133"/>
      <c r="CN20" s="133"/>
      <c r="CO20" s="133" t="s">
        <v>10</v>
      </c>
      <c r="CP20" s="133">
        <f>IF(Прайс[[#This Row],[Наличие подсветки на нижнем горизонте]]="Нет",0,'комплекты фурнитуры'!$C$95)</f>
        <v>0</v>
      </c>
      <c r="CQ20" s="133"/>
      <c r="CR20" s="133"/>
      <c r="CS20" s="133"/>
      <c r="CT20" s="133"/>
      <c r="CU20" s="133">
        <v>0</v>
      </c>
    </row>
    <row r="21" spans="1:99" s="134" customFormat="1" ht="15" customHeight="1" x14ac:dyDescent="0.25">
      <c r="A21" s="290" t="s">
        <v>19</v>
      </c>
      <c r="B21" s="132" t="s">
        <v>6</v>
      </c>
      <c r="C21" s="132" t="s">
        <v>738</v>
      </c>
      <c r="D21" s="132" t="s">
        <v>76</v>
      </c>
      <c r="E21" s="132" t="s">
        <v>10</v>
      </c>
      <c r="F21" s="132" t="s">
        <v>87</v>
      </c>
      <c r="G21" s="286">
        <v>720</v>
      </c>
      <c r="H21" s="286">
        <v>720</v>
      </c>
      <c r="I21" s="286">
        <v>315</v>
      </c>
      <c r="J21" s="286">
        <v>315</v>
      </c>
      <c r="K21" s="286">
        <v>315</v>
      </c>
      <c r="L21" s="286">
        <v>600</v>
      </c>
      <c r="M21" s="132"/>
      <c r="N21" s="231" t="s">
        <v>55</v>
      </c>
      <c r="O21" s="232">
        <v>2270</v>
      </c>
      <c r="P21" s="232"/>
      <c r="Q21" s="232"/>
      <c r="R21" s="132"/>
      <c r="S21" s="132"/>
      <c r="T21" s="132"/>
      <c r="U21" s="132"/>
      <c r="V21" s="132"/>
      <c r="W21" s="132">
        <f>'комплекты фурнитуры'!$C$11</f>
        <v>650</v>
      </c>
      <c r="X21" s="132"/>
      <c r="Y21" s="132"/>
      <c r="Z21" s="132"/>
      <c r="AA21" s="132"/>
      <c r="AB21" s="132"/>
      <c r="AC21" s="132"/>
      <c r="AD21" s="132"/>
      <c r="AE21" s="132">
        <f>'комплекты фурнитуры'!$C$23*2</f>
        <v>560</v>
      </c>
      <c r="AF21" s="132"/>
      <c r="AG21" s="132"/>
      <c r="AH21" s="233">
        <f>SUM(Прайс[[#This Row],[КФ НСТ11]:[KFPr-SB-ZPG]])</f>
        <v>1210</v>
      </c>
      <c r="AI21" s="233"/>
      <c r="AJ21" s="132"/>
      <c r="AK21" s="132"/>
      <c r="AL21" s="132"/>
      <c r="AM21" s="233"/>
      <c r="AN21" s="233"/>
      <c r="AO21" s="233"/>
      <c r="AP21" s="233"/>
      <c r="AQ21" s="233"/>
      <c r="AR21" s="233"/>
      <c r="AS21" s="233"/>
      <c r="AT21" s="233"/>
      <c r="AU21" s="233"/>
      <c r="AV21" s="233"/>
      <c r="AW21" s="233"/>
      <c r="AX21" s="233"/>
      <c r="AY21" s="233"/>
      <c r="AZ21" s="233"/>
      <c r="BA21" s="233"/>
      <c r="BB21" s="233"/>
      <c r="BC21" s="233"/>
      <c r="BD21" s="233"/>
      <c r="BE21" s="233"/>
      <c r="BF21" s="233"/>
      <c r="BG21" s="233"/>
      <c r="BH21" s="233"/>
      <c r="BI21" s="233"/>
      <c r="BJ21" s="233"/>
      <c r="BK21" s="233"/>
      <c r="BL21" s="233"/>
      <c r="BM21" s="233"/>
      <c r="BN21" s="233"/>
      <c r="BO21" s="233"/>
      <c r="BP21" s="234">
        <v>0</v>
      </c>
      <c r="BQ21" s="235">
        <v>0</v>
      </c>
      <c r="BR21" s="235">
        <v>0</v>
      </c>
      <c r="BS21" s="133">
        <v>315</v>
      </c>
      <c r="BT21" s="133">
        <v>720</v>
      </c>
      <c r="BU21" s="133" t="str">
        <f>IF(OR(Прайс[[#This Row],[Тип]]="Нижний",Прайс[[#This Row],[Тип]]="Пенал"),"560",IF(Прайс[[#This Row],[Тип]]="Верхний",315,0))</f>
        <v>560</v>
      </c>
      <c r="BV21" s="236">
        <v>1.08</v>
      </c>
      <c r="BW21" s="236">
        <v>1.0649999999999999</v>
      </c>
      <c r="BX21" s="235">
        <v>1.3</v>
      </c>
      <c r="BY21" s="133">
        <v>1</v>
      </c>
      <c r="BZ21" s="133">
        <v>1</v>
      </c>
      <c r="CA21" s="133" t="s">
        <v>10</v>
      </c>
      <c r="CB21" s="235" t="s">
        <v>469</v>
      </c>
      <c r="CC21" s="133">
        <v>1</v>
      </c>
      <c r="CD21" s="133" t="s">
        <v>10</v>
      </c>
      <c r="CE21" s="133">
        <v>3170</v>
      </c>
      <c r="CF21" s="133"/>
      <c r="CG21" s="133"/>
      <c r="CH21" s="133">
        <v>0</v>
      </c>
      <c r="CI21" s="133">
        <v>0</v>
      </c>
      <c r="CJ21" s="133">
        <v>0</v>
      </c>
      <c r="CK21" s="133"/>
      <c r="CL21" s="133"/>
      <c r="CM21" s="133"/>
      <c r="CN21" s="133"/>
      <c r="CO21" s="133" t="s">
        <v>10</v>
      </c>
      <c r="CP21" s="133">
        <f>IF(Прайс[[#This Row],[Наличие подсветки на нижнем горизонте]]="Нет",0,'комплекты фурнитуры'!$C$95)</f>
        <v>0</v>
      </c>
      <c r="CQ21" s="133"/>
      <c r="CR21" s="133"/>
      <c r="CS21" s="133"/>
      <c r="CT21" s="133"/>
      <c r="CU21" s="133">
        <v>0</v>
      </c>
    </row>
    <row r="22" spans="1:99" s="134" customFormat="1" ht="15" customHeight="1" x14ac:dyDescent="0.25">
      <c r="A22" s="294" t="s">
        <v>20</v>
      </c>
      <c r="B22" s="132" t="s">
        <v>6</v>
      </c>
      <c r="C22" s="132" t="s">
        <v>739</v>
      </c>
      <c r="D22" s="132" t="s">
        <v>76</v>
      </c>
      <c r="E22" s="132" t="s">
        <v>10</v>
      </c>
      <c r="F22" s="132" t="s">
        <v>87</v>
      </c>
      <c r="G22" s="286">
        <v>720</v>
      </c>
      <c r="H22" s="286">
        <v>720</v>
      </c>
      <c r="I22" s="286">
        <v>315</v>
      </c>
      <c r="J22" s="286">
        <v>315</v>
      </c>
      <c r="K22" s="286">
        <v>415</v>
      </c>
      <c r="L22" s="286">
        <v>600</v>
      </c>
      <c r="M22" s="132"/>
      <c r="N22" s="231" t="s">
        <v>56</v>
      </c>
      <c r="O22" s="232">
        <v>2270</v>
      </c>
      <c r="P22" s="232"/>
      <c r="Q22" s="232"/>
      <c r="R22" s="132"/>
      <c r="S22" s="132"/>
      <c r="T22" s="132"/>
      <c r="U22" s="132"/>
      <c r="V22" s="132">
        <f>'комплекты фурнитуры'!$C$9</f>
        <v>950</v>
      </c>
      <c r="W22" s="132"/>
      <c r="X22" s="132"/>
      <c r="Y22" s="132"/>
      <c r="Z22" s="132"/>
      <c r="AA22" s="132"/>
      <c r="AB22" s="132"/>
      <c r="AC22" s="132"/>
      <c r="AD22" s="132"/>
      <c r="AE22" s="132">
        <f>'комплекты фурнитуры'!$C$23*2</f>
        <v>560</v>
      </c>
      <c r="AF22" s="132"/>
      <c r="AG22" s="132"/>
      <c r="AH22" s="233">
        <f>SUM(Прайс[[#This Row],[КФ НСТ11]:[KFPr-SB-ZPG]])</f>
        <v>1510</v>
      </c>
      <c r="AI22" s="233"/>
      <c r="AJ22" s="132"/>
      <c r="AK22" s="132"/>
      <c r="AL22" s="132"/>
      <c r="AM22" s="233"/>
      <c r="AN22" s="233"/>
      <c r="AO22" s="233">
        <f>'комплекты фурнитуры'!$C$60</f>
        <v>1300</v>
      </c>
      <c r="AP22" s="233">
        <f>'комплекты фурнитуры'!$C$62</f>
        <v>480</v>
      </c>
      <c r="AQ22" s="233"/>
      <c r="AR22" s="233"/>
      <c r="AS22" s="233"/>
      <c r="AT22" s="233"/>
      <c r="AU22" s="233"/>
      <c r="AV22" s="233"/>
      <c r="AW22" s="233"/>
      <c r="AX22" s="233"/>
      <c r="AY22" s="233"/>
      <c r="AZ22" s="233"/>
      <c r="BA22" s="233"/>
      <c r="BB22" s="233"/>
      <c r="BC22" s="233"/>
      <c r="BD22" s="233"/>
      <c r="BE22" s="233"/>
      <c r="BF22" s="233"/>
      <c r="BG22" s="233"/>
      <c r="BH22" s="233"/>
      <c r="BI22" s="233"/>
      <c r="BJ22" s="233"/>
      <c r="BK22" s="233"/>
      <c r="BL22" s="233"/>
      <c r="BM22" s="233"/>
      <c r="BN22" s="233"/>
      <c r="BO22" s="233"/>
      <c r="BP22" s="234">
        <f>Прайс[[#This Row],[КФ петли вклад. 95 гр. с крестообр. планкой]]*2</f>
        <v>2600</v>
      </c>
      <c r="BQ22" s="234">
        <f>Прайс[[#This Row],[KFP-SB-PY94]]*2</f>
        <v>960</v>
      </c>
      <c r="BR22" s="235">
        <v>0</v>
      </c>
      <c r="BS22" s="133">
        <v>315</v>
      </c>
      <c r="BT22" s="133">
        <v>720</v>
      </c>
      <c r="BU22" s="133" t="str">
        <f>IF(OR(Прайс[[#This Row],[Тип]]="Нижний",Прайс[[#This Row],[Тип]]="Пенал"),"560",IF(Прайс[[#This Row],[Тип]]="Верхний",315,0))</f>
        <v>560</v>
      </c>
      <c r="BV22" s="236">
        <v>1.08</v>
      </c>
      <c r="BW22" s="236">
        <v>1.0649999999999999</v>
      </c>
      <c r="BX22" s="235">
        <v>1.3</v>
      </c>
      <c r="BY22" s="133">
        <v>1</v>
      </c>
      <c r="BZ22" s="133">
        <v>1</v>
      </c>
      <c r="CA22" s="133" t="s">
        <v>10</v>
      </c>
      <c r="CB22" s="235" t="s">
        <v>469</v>
      </c>
      <c r="CC22" s="133">
        <v>1</v>
      </c>
      <c r="CD22" s="133" t="s">
        <v>10</v>
      </c>
      <c r="CE22" s="133">
        <v>3170</v>
      </c>
      <c r="CF22" s="133"/>
      <c r="CG22" s="133"/>
      <c r="CH22" s="133">
        <v>1</v>
      </c>
      <c r="CI22" s="133">
        <v>0</v>
      </c>
      <c r="CJ22" s="133">
        <v>0</v>
      </c>
      <c r="CK22" s="133"/>
      <c r="CL22" s="133"/>
      <c r="CM22" s="133"/>
      <c r="CN22" s="133"/>
      <c r="CO22" s="133" t="s">
        <v>10</v>
      </c>
      <c r="CP22" s="133">
        <f>IF(Прайс[[#This Row],[Наличие подсветки на нижнем горизонте]]="Нет",0,'комплекты фурнитуры'!$C$95)</f>
        <v>0</v>
      </c>
      <c r="CQ22" s="133"/>
      <c r="CR22" s="133">
        <f>'комплекты фурнитуры'!$C$54</f>
        <v>790</v>
      </c>
      <c r="CS22" s="133"/>
      <c r="CT22" s="133"/>
      <c r="CU22" s="133">
        <f>Прайс[[#This Row],[КФ петли JET угловая 180 гр.]]*2</f>
        <v>1580</v>
      </c>
    </row>
    <row r="23" spans="1:99" s="323" customFormat="1" ht="15" customHeight="1" x14ac:dyDescent="0.25">
      <c r="A23" s="312" t="s">
        <v>21</v>
      </c>
      <c r="B23" s="313" t="s">
        <v>6</v>
      </c>
      <c r="C23" s="313" t="s">
        <v>740</v>
      </c>
      <c r="D23" s="313" t="s">
        <v>73</v>
      </c>
      <c r="E23" s="313" t="s">
        <v>71</v>
      </c>
      <c r="F23" s="313" t="s">
        <v>87</v>
      </c>
      <c r="G23" s="314">
        <v>720</v>
      </c>
      <c r="H23" s="314">
        <v>720</v>
      </c>
      <c r="I23" s="314">
        <v>150</v>
      </c>
      <c r="J23" s="314">
        <v>600</v>
      </c>
      <c r="K23" s="314">
        <v>300</v>
      </c>
      <c r="L23" s="314">
        <v>640</v>
      </c>
      <c r="M23" s="313"/>
      <c r="N23" s="315"/>
      <c r="O23" s="316">
        <v>2888</v>
      </c>
      <c r="P23" s="316"/>
      <c r="Q23" s="316"/>
      <c r="R23" s="313">
        <f>'комплекты фурнитуры'!$C$3</f>
        <v>550</v>
      </c>
      <c r="S23" s="313"/>
      <c r="T23" s="313"/>
      <c r="U23" s="313"/>
      <c r="V23" s="313"/>
      <c r="W23" s="313"/>
      <c r="X23" s="313"/>
      <c r="Y23" s="313"/>
      <c r="Z23" s="313"/>
      <c r="AA23" s="313"/>
      <c r="AB23" s="313"/>
      <c r="AC23" s="313"/>
      <c r="AD23" s="313"/>
      <c r="AE23" s="313">
        <f>'комплекты фурнитуры'!$C$23*2</f>
        <v>560</v>
      </c>
      <c r="AF23" s="313"/>
      <c r="AG23" s="313"/>
      <c r="AH23" s="317">
        <f>SUM(Прайс[[#This Row],[КФ НСТ11]:[KFPr-SB-ZPG]])</f>
        <v>1110</v>
      </c>
      <c r="AI23" s="317"/>
      <c r="AJ23" s="313"/>
      <c r="AK23" s="313"/>
      <c r="AL23" s="313"/>
      <c r="AM23" s="317">
        <f>'комплекты фурнитуры'!$C$66</f>
        <v>620</v>
      </c>
      <c r="AN23" s="317">
        <f>'комплекты фурнитуры'!$C$67</f>
        <v>130</v>
      </c>
      <c r="AO23" s="317"/>
      <c r="AP23" s="317"/>
      <c r="AQ23" s="317"/>
      <c r="AR23" s="317"/>
      <c r="AS23" s="317"/>
      <c r="AT23" s="317"/>
      <c r="AU23" s="317"/>
      <c r="AV23" s="317"/>
      <c r="AW23" s="317"/>
      <c r="AX23" s="317"/>
      <c r="AY23" s="317"/>
      <c r="AZ23" s="317"/>
      <c r="BA23" s="317"/>
      <c r="BB23" s="317"/>
      <c r="BC23" s="317"/>
      <c r="BD23" s="317"/>
      <c r="BE23" s="317"/>
      <c r="BF23" s="317"/>
      <c r="BG23" s="317"/>
      <c r="BH23" s="317"/>
      <c r="BI23" s="317"/>
      <c r="BJ23" s="317"/>
      <c r="BK23" s="317"/>
      <c r="BL23" s="317"/>
      <c r="BM23" s="317"/>
      <c r="BN23" s="317">
        <f>'комплекты фурнитуры'!$C$84</f>
        <v>390</v>
      </c>
      <c r="BO23" s="317"/>
      <c r="BP23" s="318">
        <f>Прайс[[#This Row],[КФ петли SENS накл.110 гр. с крестообр. Планкой]]*2+Прайс[[#This Row],[КФ  крепления профиля Gola]]</f>
        <v>1630</v>
      </c>
      <c r="BQ23" s="319">
        <f>Прайс[[#This Row],[КФ  крепления профиля Gola]]+Прайс[[#This Row],[KFP-SB-N110]]*2</f>
        <v>650</v>
      </c>
      <c r="BR23" s="319">
        <f>Прайс[[#This Row],[КФ  крепления профиля Gola]]+Прайс[[#This Row],[KFP-SB-N110]]*2</f>
        <v>650</v>
      </c>
      <c r="BS23" s="320">
        <v>300</v>
      </c>
      <c r="BT23" s="321">
        <v>720</v>
      </c>
      <c r="BU23" s="321" t="str">
        <f>IF(OR(Прайс[[#This Row],[Тип]]="Нижний",Прайс[[#This Row],[Тип]]="Пенал"),"560",IF(Прайс[[#This Row],[Тип]]="Верхний",315,0))</f>
        <v>560</v>
      </c>
      <c r="BV23" s="322">
        <v>1.08</v>
      </c>
      <c r="BW23" s="322">
        <v>1.0649999999999999</v>
      </c>
      <c r="BX23" s="319">
        <v>1.3</v>
      </c>
      <c r="BY23" s="321">
        <v>0</v>
      </c>
      <c r="BZ23" s="321">
        <v>2</v>
      </c>
      <c r="CA23" s="321" t="s">
        <v>10</v>
      </c>
      <c r="CB23" s="319" t="s">
        <v>470</v>
      </c>
      <c r="CC23" s="321">
        <v>1</v>
      </c>
      <c r="CD23" s="321" t="s">
        <v>10</v>
      </c>
      <c r="CE23" s="321">
        <v>3806</v>
      </c>
      <c r="CF23" s="321"/>
      <c r="CG23" s="321"/>
      <c r="CH23" s="321">
        <v>1</v>
      </c>
      <c r="CI23" s="321">
        <v>0</v>
      </c>
      <c r="CJ23" s="321">
        <v>0</v>
      </c>
      <c r="CK23" s="321"/>
      <c r="CL23" s="321"/>
      <c r="CM23" s="321"/>
      <c r="CN23" s="321"/>
      <c r="CO23" s="321" t="s">
        <v>10</v>
      </c>
      <c r="CP23" s="321">
        <f>IF(Прайс[[#This Row],[Наличие подсветки на нижнем горизонте]]="Нет",0,'комплекты фурнитуры'!$C$95)</f>
        <v>0</v>
      </c>
      <c r="CQ23" s="321">
        <f>'комплекты фурнитуры'!$C$53</f>
        <v>340</v>
      </c>
      <c r="CR23" s="321"/>
      <c r="CS23" s="321"/>
      <c r="CT23" s="321"/>
      <c r="CU23" s="321">
        <f>Прайс[[#This Row],[КФ петли JET накл. 105 гр.]]*2+Прайс[[#This Row],[КФ  крепления профиля Gola]]</f>
        <v>1070</v>
      </c>
    </row>
    <row r="24" spans="1:99" s="134" customFormat="1" ht="15" customHeight="1" x14ac:dyDescent="0.25">
      <c r="A24" s="294" t="s">
        <v>22</v>
      </c>
      <c r="B24" s="132" t="s">
        <v>6</v>
      </c>
      <c r="C24" s="132" t="s">
        <v>741</v>
      </c>
      <c r="D24" s="132" t="s">
        <v>73</v>
      </c>
      <c r="E24" s="132" t="s">
        <v>71</v>
      </c>
      <c r="F24" s="132" t="s">
        <v>87</v>
      </c>
      <c r="G24" s="286">
        <v>720</v>
      </c>
      <c r="H24" s="286">
        <v>720</v>
      </c>
      <c r="I24" s="286">
        <v>600</v>
      </c>
      <c r="J24" s="286">
        <v>900</v>
      </c>
      <c r="K24" s="286">
        <v>300</v>
      </c>
      <c r="L24" s="286">
        <v>640</v>
      </c>
      <c r="M24" s="132"/>
      <c r="N24" s="231"/>
      <c r="O24" s="232">
        <v>2538</v>
      </c>
      <c r="P24" s="232"/>
      <c r="Q24" s="232"/>
      <c r="R24" s="132">
        <f>'комплекты фурнитуры'!$C$3</f>
        <v>550</v>
      </c>
      <c r="S24" s="132"/>
      <c r="T24" s="132"/>
      <c r="U24" s="132"/>
      <c r="V24" s="132"/>
      <c r="W24" s="132"/>
      <c r="X24" s="132"/>
      <c r="Y24" s="132"/>
      <c r="Z24" s="132"/>
      <c r="AA24" s="132"/>
      <c r="AB24" s="132"/>
      <c r="AC24" s="132"/>
      <c r="AD24" s="132"/>
      <c r="AE24" s="132">
        <f>'комплекты фурнитуры'!$C$23*2</f>
        <v>560</v>
      </c>
      <c r="AF24" s="132"/>
      <c r="AG24" s="132"/>
      <c r="AH24" s="233">
        <f>SUM(Прайс[[#This Row],[КФ НСТ11]:[KFPr-SB-ZPG]])</f>
        <v>1110</v>
      </c>
      <c r="AI24" s="233"/>
      <c r="AJ24" s="132"/>
      <c r="AK24" s="132"/>
      <c r="AL24" s="132"/>
      <c r="AM24" s="233">
        <f>'комплекты фурнитуры'!$C$66</f>
        <v>620</v>
      </c>
      <c r="AN24" s="233">
        <f>'комплекты фурнитуры'!$C$67</f>
        <v>130</v>
      </c>
      <c r="AO24" s="233"/>
      <c r="AP24" s="233"/>
      <c r="AQ24" s="233"/>
      <c r="AR24" s="233"/>
      <c r="AS24" s="233"/>
      <c r="AT24" s="233"/>
      <c r="AU24" s="233"/>
      <c r="AV24" s="233"/>
      <c r="AW24" s="233"/>
      <c r="AX24" s="233"/>
      <c r="AY24" s="233"/>
      <c r="AZ24" s="233"/>
      <c r="BA24" s="233"/>
      <c r="BB24" s="233"/>
      <c r="BC24" s="233"/>
      <c r="BD24" s="233"/>
      <c r="BE24" s="233"/>
      <c r="BF24" s="233"/>
      <c r="BG24" s="233"/>
      <c r="BH24" s="233"/>
      <c r="BI24" s="233"/>
      <c r="BJ24" s="233"/>
      <c r="BK24" s="233"/>
      <c r="BL24" s="233"/>
      <c r="BM24" s="233"/>
      <c r="BN24" s="233">
        <f>'комплекты фурнитуры'!$C$84</f>
        <v>390</v>
      </c>
      <c r="BO24" s="233"/>
      <c r="BP24" s="234">
        <f>Прайс[[#This Row],[КФ петли SENS накл.110 гр. с крестообр. Планкой]]*4+Прайс[[#This Row],[КФ  крепления профиля Gola]]</f>
        <v>2870</v>
      </c>
      <c r="BQ24" s="235">
        <f>Прайс[[#This Row],[КФ  крепления профиля Gola]]+Прайс[[#This Row],[KFP-SB-N110]]*4</f>
        <v>910</v>
      </c>
      <c r="BR24" s="235">
        <f>Прайс[[#This Row],[КФ  крепления профиля Gola]]+Прайс[[#This Row],[KFP-SB-N110]]*4</f>
        <v>910</v>
      </c>
      <c r="BS24" s="295">
        <v>300</v>
      </c>
      <c r="BT24" s="133">
        <v>720</v>
      </c>
      <c r="BU24" s="133" t="str">
        <f>IF(OR(Прайс[[#This Row],[Тип]]="Нижний",Прайс[[#This Row],[Тип]]="Пенал"),"560",IF(Прайс[[#This Row],[Тип]]="Верхний",315,0))</f>
        <v>560</v>
      </c>
      <c r="BV24" s="236">
        <v>1.08</v>
      </c>
      <c r="BW24" s="236">
        <v>1.0649999999999999</v>
      </c>
      <c r="BX24" s="235">
        <v>1.3</v>
      </c>
      <c r="BY24" s="133">
        <v>0</v>
      </c>
      <c r="BZ24" s="133">
        <v>2</v>
      </c>
      <c r="CA24" s="133" t="s">
        <v>10</v>
      </c>
      <c r="CB24" s="235" t="s">
        <v>470</v>
      </c>
      <c r="CC24" s="133">
        <v>1</v>
      </c>
      <c r="CD24" s="133" t="s">
        <v>10</v>
      </c>
      <c r="CE24" s="133">
        <v>3456</v>
      </c>
      <c r="CF24" s="133"/>
      <c r="CG24" s="133"/>
      <c r="CH24" s="133">
        <v>2</v>
      </c>
      <c r="CI24" s="133">
        <v>0</v>
      </c>
      <c r="CJ24" s="133">
        <v>0</v>
      </c>
      <c r="CK24" s="133"/>
      <c r="CL24" s="133"/>
      <c r="CM24" s="133"/>
      <c r="CN24" s="133"/>
      <c r="CO24" s="133" t="s">
        <v>10</v>
      </c>
      <c r="CP24" s="133">
        <f>IF(Прайс[[#This Row],[Наличие подсветки на нижнем горизонте]]="Нет",0,'комплекты фурнитуры'!$C$95)</f>
        <v>0</v>
      </c>
      <c r="CQ24" s="133">
        <f>'комплекты фурнитуры'!$C$53</f>
        <v>340</v>
      </c>
      <c r="CR24" s="133"/>
      <c r="CS24" s="133"/>
      <c r="CT24" s="133"/>
      <c r="CU24" s="133">
        <f>Прайс[[#This Row],[КФ петли JET накл. 105 гр.]]*4++Прайс[[#This Row],[КФ  крепления профиля Gola]]</f>
        <v>1750</v>
      </c>
    </row>
    <row r="25" spans="1:99" s="134" customFormat="1" ht="15" customHeight="1" x14ac:dyDescent="0.25">
      <c r="A25" s="294" t="s">
        <v>23</v>
      </c>
      <c r="B25" s="132" t="s">
        <v>6</v>
      </c>
      <c r="C25" s="132" t="s">
        <v>742</v>
      </c>
      <c r="D25" s="132" t="s">
        <v>73</v>
      </c>
      <c r="E25" s="132" t="s">
        <v>71</v>
      </c>
      <c r="F25" s="132" t="s">
        <v>95</v>
      </c>
      <c r="G25" s="286">
        <v>720</v>
      </c>
      <c r="H25" s="286">
        <v>720</v>
      </c>
      <c r="I25" s="286">
        <v>300</v>
      </c>
      <c r="J25" s="286">
        <v>900</v>
      </c>
      <c r="K25" s="286">
        <v>525</v>
      </c>
      <c r="L25" s="286">
        <v>560</v>
      </c>
      <c r="M25" s="132"/>
      <c r="N25" s="231" t="s">
        <v>57</v>
      </c>
      <c r="O25" s="232">
        <v>3196.8</v>
      </c>
      <c r="P25" s="232"/>
      <c r="Q25" s="232"/>
      <c r="R25" s="132">
        <f>'комплекты фурнитуры'!$C$3</f>
        <v>550</v>
      </c>
      <c r="S25" s="132"/>
      <c r="T25" s="132"/>
      <c r="U25" s="132"/>
      <c r="V25" s="132"/>
      <c r="W25" s="132"/>
      <c r="X25" s="132"/>
      <c r="Y25" s="132"/>
      <c r="Z25" s="132"/>
      <c r="AA25" s="132"/>
      <c r="AB25" s="132"/>
      <c r="AC25" s="132"/>
      <c r="AD25" s="132"/>
      <c r="AE25" s="132">
        <f>'комплекты фурнитуры'!$C$23*2</f>
        <v>560</v>
      </c>
      <c r="AF25" s="132"/>
      <c r="AG25" s="132"/>
      <c r="AH25" s="233">
        <f>SUM(Прайс[[#This Row],[КФ НСТ11]:[KFPr-SB-ZPG]])</f>
        <v>1110</v>
      </c>
      <c r="AI25" s="233"/>
      <c r="AJ25" s="132"/>
      <c r="AK25" s="132"/>
      <c r="AL25" s="132"/>
      <c r="AM25" s="233"/>
      <c r="AN25" s="233"/>
      <c r="AO25" s="233"/>
      <c r="AP25" s="233"/>
      <c r="AQ25" s="233"/>
      <c r="AR25" s="233"/>
      <c r="AS25" s="233"/>
      <c r="AT25" s="233"/>
      <c r="AU25" s="233"/>
      <c r="AV25" s="233"/>
      <c r="AW25" s="233"/>
      <c r="AX25" s="233"/>
      <c r="AY25" s="233"/>
      <c r="AZ25" s="233"/>
      <c r="BA25" s="233"/>
      <c r="BB25" s="233"/>
      <c r="BC25" s="233">
        <f>'комплекты фурнитуры'!$C$26</f>
        <v>6660</v>
      </c>
      <c r="BD25" s="233"/>
      <c r="BE25" s="233"/>
      <c r="BF25" s="233"/>
      <c r="BG25" s="233"/>
      <c r="BH25" s="233"/>
      <c r="BI25" s="233"/>
      <c r="BJ25" s="233"/>
      <c r="BK25" s="233"/>
      <c r="BL25" s="233"/>
      <c r="BM25" s="233"/>
      <c r="BN25" s="233">
        <f>'комплекты фурнитуры'!$C$84</f>
        <v>390</v>
      </c>
      <c r="BO25" s="233"/>
      <c r="BP25" s="234">
        <f>Прайс[[#This Row],[Комплект для ящика Hettich ATIRA Серый с реллингом, NL-470, H-176]]*2+Прайс[[#This Row],[КФ  крепления профиля Gola]]*2</f>
        <v>14100</v>
      </c>
      <c r="BQ25" s="234">
        <f>Прайс[[#This Row],[Комплект для ящика Hettich ATIRA Серый с реллингом, NL-470, H-176]]*2+Прайс[[#This Row],[КФ  крепления профиля Gola]]*2</f>
        <v>14100</v>
      </c>
      <c r="BR25" s="234">
        <f>Прайс[[#This Row],[Комплект для ящика Hettich ATIRA Серый с реллингом, NL-470, H-176]]*2+Прайс[[#This Row],[КФ  крепления профиля Gola]]*2</f>
        <v>14100</v>
      </c>
      <c r="BS25" s="295">
        <v>300</v>
      </c>
      <c r="BT25" s="133">
        <v>720</v>
      </c>
      <c r="BU25" s="133" t="str">
        <f>IF(OR(Прайс[[#This Row],[Тип]]="Нижний",Прайс[[#This Row],[Тип]]="Пенал"),"560",IF(Прайс[[#This Row],[Тип]]="Верхний",315,0))</f>
        <v>560</v>
      </c>
      <c r="BV25" s="236">
        <v>1.08</v>
      </c>
      <c r="BW25" s="236">
        <v>1.0649999999999999</v>
      </c>
      <c r="BX25" s="235">
        <v>0</v>
      </c>
      <c r="BY25" s="133">
        <v>0</v>
      </c>
      <c r="BZ25" s="133">
        <v>0</v>
      </c>
      <c r="CA25" s="133" t="s">
        <v>10</v>
      </c>
      <c r="CB25" s="235" t="s">
        <v>470</v>
      </c>
      <c r="CC25" s="133">
        <v>0</v>
      </c>
      <c r="CD25" s="133" t="s">
        <v>10</v>
      </c>
      <c r="CE25" s="133">
        <v>5159.2</v>
      </c>
      <c r="CF25" s="133"/>
      <c r="CG25" s="133"/>
      <c r="CH25" s="133">
        <v>2</v>
      </c>
      <c r="CI25" s="133">
        <v>0</v>
      </c>
      <c r="CJ25" s="133">
        <v>0</v>
      </c>
      <c r="CK25" s="133"/>
      <c r="CL25" s="133"/>
      <c r="CM25" s="133"/>
      <c r="CN25" s="133"/>
      <c r="CO25" s="133" t="s">
        <v>10</v>
      </c>
      <c r="CP25" s="133">
        <f>IF(Прайс[[#This Row],[Наличие подсветки на нижнем горизонте]]="Нет",0,'комплекты фурнитуры'!$C$95)</f>
        <v>0</v>
      </c>
      <c r="CQ25" s="133"/>
      <c r="CR25" s="133"/>
      <c r="CS25" s="133"/>
      <c r="CT25" s="133">
        <f>'комплекты фурнитуры'!$C$56</f>
        <v>4460</v>
      </c>
      <c r="CU25" s="133">
        <f>Прайс[[#This Row],[Ящик JETBOX ULTRA 170 с доводчиком антрацит]]*2+Прайс[[#This Row],[КФ  крепления профиля Gola]]*2</f>
        <v>9700</v>
      </c>
    </row>
    <row r="26" spans="1:99" s="134" customFormat="1" ht="15" customHeight="1" x14ac:dyDescent="0.25">
      <c r="A26" s="294" t="s">
        <v>24</v>
      </c>
      <c r="B26" s="132" t="s">
        <v>6</v>
      </c>
      <c r="C26" s="132" t="s">
        <v>743</v>
      </c>
      <c r="D26" s="132" t="s">
        <v>73</v>
      </c>
      <c r="E26" s="132" t="s">
        <v>71</v>
      </c>
      <c r="F26" s="132" t="s">
        <v>95</v>
      </c>
      <c r="G26" s="286">
        <v>720</v>
      </c>
      <c r="H26" s="286">
        <v>720</v>
      </c>
      <c r="I26" s="286">
        <v>300</v>
      </c>
      <c r="J26" s="286">
        <v>900</v>
      </c>
      <c r="K26" s="286">
        <v>525</v>
      </c>
      <c r="L26" s="286">
        <v>560</v>
      </c>
      <c r="M26" s="132"/>
      <c r="N26" s="231" t="s">
        <v>58</v>
      </c>
      <c r="O26" s="232">
        <v>3304.8</v>
      </c>
      <c r="P26" s="232"/>
      <c r="Q26" s="232"/>
      <c r="R26" s="132">
        <f>'комплекты фурнитуры'!$C$3</f>
        <v>550</v>
      </c>
      <c r="S26" s="132"/>
      <c r="T26" s="132"/>
      <c r="U26" s="132"/>
      <c r="V26" s="132"/>
      <c r="W26" s="132"/>
      <c r="X26" s="132"/>
      <c r="Y26" s="132"/>
      <c r="Z26" s="132"/>
      <c r="AA26" s="132"/>
      <c r="AB26" s="132"/>
      <c r="AC26" s="132"/>
      <c r="AD26" s="132"/>
      <c r="AE26" s="132">
        <f>'комплекты фурнитуры'!$C$23*2</f>
        <v>560</v>
      </c>
      <c r="AF26" s="132"/>
      <c r="AG26" s="132"/>
      <c r="AH26" s="233">
        <f>SUM(Прайс[[#This Row],[КФ НСТ11]:[KFPr-SB-ZPG]])</f>
        <v>1110</v>
      </c>
      <c r="AI26" s="233"/>
      <c r="AJ26" s="132"/>
      <c r="AK26" s="132"/>
      <c r="AL26" s="132"/>
      <c r="AM26" s="233"/>
      <c r="AN26" s="233"/>
      <c r="AO26" s="233"/>
      <c r="AP26" s="233"/>
      <c r="AQ26" s="233"/>
      <c r="AR26" s="233"/>
      <c r="AS26" s="233"/>
      <c r="AT26" s="233"/>
      <c r="AU26" s="233"/>
      <c r="AV26" s="233"/>
      <c r="AW26" s="233"/>
      <c r="AX26" s="233"/>
      <c r="AY26" s="233"/>
      <c r="AZ26" s="233"/>
      <c r="BA26" s="233"/>
      <c r="BB26" s="233">
        <f>'комплекты фурнитуры'!$C$25</f>
        <v>5100</v>
      </c>
      <c r="BC26" s="233">
        <f>'комплекты фурнитуры'!$C$26</f>
        <v>6660</v>
      </c>
      <c r="BD26" s="233"/>
      <c r="BE26" s="233"/>
      <c r="BF26" s="233"/>
      <c r="BG26" s="233"/>
      <c r="BH26" s="233"/>
      <c r="BI26" s="233"/>
      <c r="BJ26" s="233"/>
      <c r="BK26" s="233"/>
      <c r="BL26" s="233"/>
      <c r="BM26" s="233"/>
      <c r="BN26" s="233">
        <f>'комплекты фурнитуры'!$C$84</f>
        <v>390</v>
      </c>
      <c r="BO26" s="233"/>
      <c r="BP26" s="234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BQ26" s="234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BR26" s="234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BS26" s="295">
        <v>300</v>
      </c>
      <c r="BT26" s="133">
        <v>720</v>
      </c>
      <c r="BU26" s="133" t="str">
        <f>IF(OR(Прайс[[#This Row],[Тип]]="Нижний",Прайс[[#This Row],[Тип]]="Пенал"),"560",IF(Прайс[[#This Row],[Тип]]="Верхний",315,0))</f>
        <v>560</v>
      </c>
      <c r="BV26" s="236">
        <v>1.08</v>
      </c>
      <c r="BW26" s="236">
        <v>1.0649999999999999</v>
      </c>
      <c r="BX26" s="235">
        <v>0</v>
      </c>
      <c r="BY26" s="133">
        <v>0</v>
      </c>
      <c r="BZ26" s="133">
        <v>0</v>
      </c>
      <c r="CA26" s="133" t="s">
        <v>10</v>
      </c>
      <c r="CB26" s="235" t="s">
        <v>470</v>
      </c>
      <c r="CC26" s="133">
        <v>0</v>
      </c>
      <c r="CD26" s="133" t="s">
        <v>10</v>
      </c>
      <c r="CE26" s="133">
        <v>4503.6000000000004</v>
      </c>
      <c r="CF26" s="133"/>
      <c r="CG26" s="133"/>
      <c r="CH26" s="133">
        <v>3</v>
      </c>
      <c r="CI26" s="133">
        <v>0</v>
      </c>
      <c r="CJ26" s="133">
        <v>0</v>
      </c>
      <c r="CK26" s="133"/>
      <c r="CL26" s="133"/>
      <c r="CM26" s="133"/>
      <c r="CN26" s="133"/>
      <c r="CO26" s="133" t="s">
        <v>10</v>
      </c>
      <c r="CP26" s="133">
        <f>IF(Прайс[[#This Row],[Наличие подсветки на нижнем горизонте]]="Нет",0,'комплекты фурнитуры'!$C$95)</f>
        <v>0</v>
      </c>
      <c r="CQ26" s="133"/>
      <c r="CR26" s="133"/>
      <c r="CS26" s="133">
        <f>'комплекты фурнитуры'!$C$55</f>
        <v>3820</v>
      </c>
      <c r="CT26" s="133">
        <f>'комплекты фурнитуры'!$C$56</f>
        <v>4460</v>
      </c>
      <c r="CU26" s="133">
        <f>Прайс[[#This Row],[Ящик JETBOX ULTRA 80 с доводчиком антрацит]]*2+Прайс[[#This Row],[Ящик JETBOX ULTRA 170 с доводчиком антрацит]]+Прайс[[#This Row],[КФ  крепления профиля Gola]]*2</f>
        <v>12880</v>
      </c>
    </row>
    <row r="27" spans="1:99" s="134" customFormat="1" ht="15" customHeight="1" x14ac:dyDescent="0.25">
      <c r="A27" s="294" t="s">
        <v>389</v>
      </c>
      <c r="B27" s="132" t="s">
        <v>6</v>
      </c>
      <c r="C27" s="132" t="s">
        <v>744</v>
      </c>
      <c r="D27" s="132" t="s">
        <v>73</v>
      </c>
      <c r="E27" s="132" t="s">
        <v>71</v>
      </c>
      <c r="F27" s="132" t="s">
        <v>88</v>
      </c>
      <c r="G27" s="286">
        <v>720</v>
      </c>
      <c r="H27" s="286">
        <v>880</v>
      </c>
      <c r="I27" s="286">
        <v>150</v>
      </c>
      <c r="J27" s="286">
        <v>150</v>
      </c>
      <c r="K27" s="286">
        <v>515</v>
      </c>
      <c r="L27" s="286">
        <v>640</v>
      </c>
      <c r="M27" s="132"/>
      <c r="N27" s="231" t="s">
        <v>53</v>
      </c>
      <c r="O27" s="232">
        <v>2538</v>
      </c>
      <c r="P27" s="232"/>
      <c r="Q27" s="232"/>
      <c r="R27" s="132">
        <f>'комплекты фурнитуры'!$C$3</f>
        <v>550</v>
      </c>
      <c r="S27" s="132"/>
      <c r="T27" s="132"/>
      <c r="U27" s="132"/>
      <c r="V27" s="132"/>
      <c r="W27" s="132"/>
      <c r="X27" s="132"/>
      <c r="Y27" s="132"/>
      <c r="Z27" s="132"/>
      <c r="AA27" s="132"/>
      <c r="AB27" s="132"/>
      <c r="AC27" s="132"/>
      <c r="AD27" s="132"/>
      <c r="AE27" s="132">
        <v>540</v>
      </c>
      <c r="AF27" s="132"/>
      <c r="AG27" s="132"/>
      <c r="AH27" s="233">
        <f>SUM(Прайс[[#This Row],[КФ НСТ11]:[KFPr-SB-ZPG]])</f>
        <v>1090</v>
      </c>
      <c r="AI27" s="233"/>
      <c r="AJ27" s="132"/>
      <c r="AK27" s="132"/>
      <c r="AL27" s="132"/>
      <c r="AM27" s="233"/>
      <c r="AN27" s="233"/>
      <c r="AO27" s="233"/>
      <c r="AP27" s="233"/>
      <c r="AQ27" s="233"/>
      <c r="AR27" s="233"/>
      <c r="AS27" s="233"/>
      <c r="AT27" s="233"/>
      <c r="AU27" s="233"/>
      <c r="AV27" s="233"/>
      <c r="AW27" s="233"/>
      <c r="AX27" s="233"/>
      <c r="AY27" s="233"/>
      <c r="AZ27" s="233"/>
      <c r="BA27" s="233"/>
      <c r="BB27" s="233"/>
      <c r="BC27" s="233"/>
      <c r="BD27" s="233"/>
      <c r="BE27" s="233"/>
      <c r="BF27" s="233"/>
      <c r="BG27" s="233"/>
      <c r="BH27" s="233"/>
      <c r="BI27" s="233"/>
      <c r="BJ27" s="233"/>
      <c r="BK27" s="233">
        <f>'комплекты фурнитуры'!$C$46</f>
        <v>6340</v>
      </c>
      <c r="BL27" s="233"/>
      <c r="BM27" s="233"/>
      <c r="BN27" s="233">
        <f>'комплекты фурнитуры'!$C$84</f>
        <v>390</v>
      </c>
      <c r="BO27" s="233"/>
      <c r="BP27" s="234">
        <f>Прайс[[#This Row],[KFS-SB-BYT]]+Прайс[[#This Row],[КФ евровинт]]*2+Прайс[[#This Row],[КФ  крепления профиля Gola]]</f>
        <v>6730</v>
      </c>
      <c r="BQ27" s="234">
        <f>Прайс[[#This Row],[KFS-SB-BYT]]+Прайс[[#This Row],[КФ евровинт]]*2+Прайс[[#This Row],[КФ  крепления профиля Gola]]</f>
        <v>6730</v>
      </c>
      <c r="BR27" s="234">
        <f>Прайс[[#This Row],[KFS-SB-BYT]]+Прайс[[#This Row],[КФ евровинт]]*2+Прайс[[#This Row],[КФ  крепления профиля Gola]]</f>
        <v>6730</v>
      </c>
      <c r="BS27" s="295">
        <v>300</v>
      </c>
      <c r="BT27" s="133">
        <v>720</v>
      </c>
      <c r="BU27" s="133" t="str">
        <f>IF(OR(Прайс[[#This Row],[Тип]]="Нижний",Прайс[[#This Row],[Тип]]="Пенал"),"560",IF(Прайс[[#This Row],[Тип]]="Верхний",315,0))</f>
        <v>560</v>
      </c>
      <c r="BV27" s="236">
        <v>1.08</v>
      </c>
      <c r="BW27" s="236">
        <v>1.0649999999999999</v>
      </c>
      <c r="BX27" s="235">
        <v>1.3</v>
      </c>
      <c r="BY27" s="133">
        <v>0</v>
      </c>
      <c r="BZ27" s="133">
        <v>0</v>
      </c>
      <c r="CA27" s="133" t="s">
        <v>10</v>
      </c>
      <c r="CB27" s="235" t="s">
        <v>470</v>
      </c>
      <c r="CC27" s="133">
        <v>0</v>
      </c>
      <c r="CD27" s="133" t="s">
        <v>10</v>
      </c>
      <c r="CE27" s="133">
        <v>3456</v>
      </c>
      <c r="CF27" s="133"/>
      <c r="CG27" s="133"/>
      <c r="CH27" s="133">
        <v>1</v>
      </c>
      <c r="CI27" s="133">
        <v>0</v>
      </c>
      <c r="CJ27" s="133">
        <v>0</v>
      </c>
      <c r="CK27" s="133"/>
      <c r="CL27" s="133"/>
      <c r="CM27" s="133"/>
      <c r="CN27" s="133"/>
      <c r="CO27" s="133" t="s">
        <v>10</v>
      </c>
      <c r="CP27" s="133">
        <f>IF(Прайс[[#This Row],[Наличие подсветки на нижнем горизонте]]="Нет",0,'комплекты фурнитуры'!$C$95)</f>
        <v>0</v>
      </c>
      <c r="CQ27" s="133"/>
      <c r="CR27" s="133"/>
      <c r="CS27" s="133"/>
      <c r="CT27" s="133"/>
      <c r="CU27" s="235">
        <f>Прайс[[#This Row],[Комплектация №2]]</f>
        <v>6730</v>
      </c>
    </row>
    <row r="28" spans="1:99" s="134" customFormat="1" ht="15" customHeight="1" x14ac:dyDescent="0.25">
      <c r="A28" s="290" t="s">
        <v>390</v>
      </c>
      <c r="B28" s="132" t="s">
        <v>6</v>
      </c>
      <c r="C28" s="132" t="s">
        <v>745</v>
      </c>
      <c r="D28" s="132" t="s">
        <v>73</v>
      </c>
      <c r="E28" s="132" t="s">
        <v>71</v>
      </c>
      <c r="F28" s="132" t="s">
        <v>88</v>
      </c>
      <c r="G28" s="286">
        <v>720</v>
      </c>
      <c r="H28" s="286">
        <v>880</v>
      </c>
      <c r="I28" s="286">
        <v>450</v>
      </c>
      <c r="J28" s="286">
        <v>450</v>
      </c>
      <c r="K28" s="286">
        <v>515</v>
      </c>
      <c r="L28" s="286">
        <v>640</v>
      </c>
      <c r="M28" s="132"/>
      <c r="N28" s="231" t="s">
        <v>53</v>
      </c>
      <c r="O28" s="232">
        <v>2538</v>
      </c>
      <c r="P28" s="232"/>
      <c r="Q28" s="232"/>
      <c r="R28" s="132">
        <f>'комплекты фурнитуры'!$C$3</f>
        <v>550</v>
      </c>
      <c r="S28" s="132"/>
      <c r="T28" s="132"/>
      <c r="U28" s="132"/>
      <c r="V28" s="132"/>
      <c r="W28" s="132"/>
      <c r="X28" s="132"/>
      <c r="Y28" s="132"/>
      <c r="Z28" s="132"/>
      <c r="AA28" s="132"/>
      <c r="AB28" s="132"/>
      <c r="AC28" s="132"/>
      <c r="AD28" s="132"/>
      <c r="AE28" s="132">
        <f>'комплекты фурнитуры'!$C$23*2</f>
        <v>560</v>
      </c>
      <c r="AF28" s="132"/>
      <c r="AG28" s="132"/>
      <c r="AH28" s="233">
        <f>SUM(Прайс[[#This Row],[КФ НСТ11]:[KFPr-SB-ZPG]])</f>
        <v>1110</v>
      </c>
      <c r="AI28" s="233"/>
      <c r="AJ28" s="132"/>
      <c r="AK28" s="132"/>
      <c r="AL28" s="132"/>
      <c r="AM28" s="233"/>
      <c r="AN28" s="233"/>
      <c r="AO28" s="233"/>
      <c r="AP28" s="233"/>
      <c r="AQ28" s="233"/>
      <c r="AR28" s="233"/>
      <c r="AS28" s="233"/>
      <c r="AT28" s="233"/>
      <c r="AU28" s="233"/>
      <c r="AV28" s="233"/>
      <c r="AW28" s="233"/>
      <c r="AX28" s="233"/>
      <c r="AY28" s="233"/>
      <c r="AZ28" s="233"/>
      <c r="BA28" s="233"/>
      <c r="BB28" s="233"/>
      <c r="BC28" s="233"/>
      <c r="BD28" s="233"/>
      <c r="BE28" s="233"/>
      <c r="BF28" s="233"/>
      <c r="BG28" s="233"/>
      <c r="BH28" s="233"/>
      <c r="BI28" s="233"/>
      <c r="BJ28" s="233"/>
      <c r="BK28" s="233"/>
      <c r="BL28" s="233">
        <f>'комплекты фурнитуры'!$C$48</f>
        <v>10520</v>
      </c>
      <c r="BM28" s="233">
        <f>'комплекты фурнитуры'!$C$88</f>
        <v>10</v>
      </c>
      <c r="BN28" s="233">
        <f>'комплекты фурнитуры'!$C$84</f>
        <v>390</v>
      </c>
      <c r="BO28" s="233"/>
      <c r="BP28" s="234">
        <f>Прайс[[#This Row],[Корзина с держателем для бутылок 414*500*520 мм]]+Прайс[[#This Row],[КФ евровинт]]*2+Прайс[[#This Row],[КФ  крепления профиля Gola]]</f>
        <v>10930</v>
      </c>
      <c r="BQ28" s="234">
        <f>Прайс[[#This Row],[Корзина с держателем для бутылок 414*500*520 мм]]+Прайс[[#This Row],[КФ евровинт]]*2+Прайс[[#This Row],[КФ  крепления профиля Gola]]</f>
        <v>10930</v>
      </c>
      <c r="BR28" s="234">
        <f>Прайс[[#This Row],[Корзина с держателем для бутылок 414*500*520 мм]]+Прайс[[#This Row],[КФ евровинт]]*2+Прайс[[#This Row],[КФ  крепления профиля Gola]]</f>
        <v>10930</v>
      </c>
      <c r="BS28" s="295">
        <v>300</v>
      </c>
      <c r="BT28" s="133">
        <v>720</v>
      </c>
      <c r="BU28" s="133" t="str">
        <f>IF(OR(Прайс[[#This Row],[Тип]]="Нижний",Прайс[[#This Row],[Тип]]="Пенал"),"560",IF(Прайс[[#This Row],[Тип]]="Верхний",315,0))</f>
        <v>560</v>
      </c>
      <c r="BV28" s="236">
        <v>1.08</v>
      </c>
      <c r="BW28" s="236">
        <v>1.0649999999999999</v>
      </c>
      <c r="BX28" s="235">
        <v>1.3</v>
      </c>
      <c r="BY28" s="133">
        <v>0</v>
      </c>
      <c r="BZ28" s="133">
        <v>0</v>
      </c>
      <c r="CA28" s="133" t="s">
        <v>10</v>
      </c>
      <c r="CB28" s="235" t="s">
        <v>470</v>
      </c>
      <c r="CC28" s="133">
        <v>0</v>
      </c>
      <c r="CD28" s="133" t="s">
        <v>10</v>
      </c>
      <c r="CE28" s="133">
        <v>3456</v>
      </c>
      <c r="CF28" s="133"/>
      <c r="CG28" s="133"/>
      <c r="CH28" s="133">
        <v>1</v>
      </c>
      <c r="CI28" s="133">
        <v>0</v>
      </c>
      <c r="CJ28" s="133">
        <v>0</v>
      </c>
      <c r="CK28" s="133"/>
      <c r="CL28" s="133"/>
      <c r="CM28" s="133"/>
      <c r="CN28" s="133"/>
      <c r="CO28" s="133" t="s">
        <v>10</v>
      </c>
      <c r="CP28" s="133">
        <f>IF(Прайс[[#This Row],[Наличие подсветки на нижнем горизонте]]="Нет",0,'комплекты фурнитуры'!$C$95)</f>
        <v>0</v>
      </c>
      <c r="CQ28" s="133"/>
      <c r="CR28" s="133"/>
      <c r="CS28" s="133"/>
      <c r="CT28" s="133"/>
      <c r="CU28" s="235">
        <f>Прайс[[#This Row],[Комплектация №2]]</f>
        <v>10930</v>
      </c>
    </row>
    <row r="29" spans="1:99" s="134" customFormat="1" ht="15" customHeight="1" x14ac:dyDescent="0.25">
      <c r="A29" s="296" t="s">
        <v>25</v>
      </c>
      <c r="B29" s="132" t="s">
        <v>6</v>
      </c>
      <c r="C29" s="132" t="s">
        <v>746</v>
      </c>
      <c r="D29" s="132" t="s">
        <v>73</v>
      </c>
      <c r="E29" s="132" t="s">
        <v>71</v>
      </c>
      <c r="F29" s="132" t="s">
        <v>89</v>
      </c>
      <c r="G29" s="286">
        <v>720</v>
      </c>
      <c r="H29" s="286">
        <v>720</v>
      </c>
      <c r="I29" s="286">
        <v>300</v>
      </c>
      <c r="J29" s="286">
        <v>600</v>
      </c>
      <c r="K29" s="286">
        <v>300</v>
      </c>
      <c r="L29" s="286">
        <v>640</v>
      </c>
      <c r="M29" s="132"/>
      <c r="N29" s="231"/>
      <c r="O29" s="232">
        <v>2538</v>
      </c>
      <c r="P29" s="232"/>
      <c r="Q29" s="232"/>
      <c r="R29" s="132">
        <f>'комплекты фурнитуры'!$C$3</f>
        <v>550</v>
      </c>
      <c r="S29" s="132"/>
      <c r="T29" s="132"/>
      <c r="U29" s="132"/>
      <c r="V29" s="132"/>
      <c r="W29" s="132"/>
      <c r="X29" s="132"/>
      <c r="Y29" s="132"/>
      <c r="Z29" s="132"/>
      <c r="AA29" s="132"/>
      <c r="AB29" s="132"/>
      <c r="AC29" s="132"/>
      <c r="AD29" s="132"/>
      <c r="AE29" s="132">
        <f>'комплекты фурнитуры'!$C$23*2</f>
        <v>560</v>
      </c>
      <c r="AF29" s="132"/>
      <c r="AG29" s="132"/>
      <c r="AH29" s="233">
        <f>SUM(Прайс[[#This Row],[КФ НСТ11]:[KFPr-SB-ZPG]])</f>
        <v>1110</v>
      </c>
      <c r="AI29" s="233"/>
      <c r="AJ29" s="132"/>
      <c r="AK29" s="132"/>
      <c r="AL29" s="132"/>
      <c r="AM29" s="233">
        <f>'комплекты фурнитуры'!$C$66</f>
        <v>620</v>
      </c>
      <c r="AN29" s="233">
        <f>'комплекты фурнитуры'!$C$67</f>
        <v>130</v>
      </c>
      <c r="AO29" s="233"/>
      <c r="AP29" s="233"/>
      <c r="AQ29" s="233"/>
      <c r="AR29" s="233"/>
      <c r="AS29" s="233"/>
      <c r="AT29" s="233"/>
      <c r="AU29" s="233"/>
      <c r="AV29" s="233"/>
      <c r="AW29" s="233"/>
      <c r="AX29" s="233"/>
      <c r="AY29" s="233"/>
      <c r="AZ29" s="233"/>
      <c r="BA29" s="233"/>
      <c r="BB29" s="233"/>
      <c r="BC29" s="233"/>
      <c r="BD29" s="233"/>
      <c r="BE29" s="233"/>
      <c r="BF29" s="233"/>
      <c r="BG29" s="233"/>
      <c r="BH29" s="233"/>
      <c r="BI29" s="233"/>
      <c r="BJ29" s="233"/>
      <c r="BK29" s="233"/>
      <c r="BL29" s="233"/>
      <c r="BM29" s="233"/>
      <c r="BN29" s="233">
        <f>'комплекты фурнитуры'!$C$84</f>
        <v>390</v>
      </c>
      <c r="BO29" s="233"/>
      <c r="BP29" s="234">
        <f>Прайс[[#This Row],[КФ петли SENS накл.110 гр. с крестообр. Планкой]]*2+Прайс[[#This Row],[КФ  крепления профиля Gola]]</f>
        <v>1630</v>
      </c>
      <c r="BQ29" s="234">
        <f>Прайс[[#This Row],[КФ петли SENS накл.110 гр. с крестообр. Планкой]]*2+Прайс[[#This Row],[КФ  крепления профиля Gola]]</f>
        <v>1630</v>
      </c>
      <c r="BR29" s="234">
        <f>Прайс[[#This Row],[КФ петли SENS накл.110 гр. с крестообр. Планкой]]*2+Прайс[[#This Row],[КФ  крепления профиля Gola]]</f>
        <v>1630</v>
      </c>
      <c r="BS29" s="295">
        <v>300</v>
      </c>
      <c r="BT29" s="133">
        <v>720</v>
      </c>
      <c r="BU29" s="133" t="str">
        <f>IF(OR(Прайс[[#This Row],[Тип]]="Нижний",Прайс[[#This Row],[Тип]]="Пенал"),"560",IF(Прайс[[#This Row],[Тип]]="Верхний",315,0))</f>
        <v>560</v>
      </c>
      <c r="BV29" s="236">
        <v>1.08</v>
      </c>
      <c r="BW29" s="236">
        <v>1.0649999999999999</v>
      </c>
      <c r="BX29" s="235">
        <v>1.3</v>
      </c>
      <c r="BY29" s="133">
        <v>0</v>
      </c>
      <c r="BZ29" s="133">
        <v>0</v>
      </c>
      <c r="CA29" s="133" t="s">
        <v>10</v>
      </c>
      <c r="CB29" s="235" t="s">
        <v>470</v>
      </c>
      <c r="CC29" s="133">
        <v>0</v>
      </c>
      <c r="CD29" s="133" t="s">
        <v>10</v>
      </c>
      <c r="CE29" s="133">
        <v>3456</v>
      </c>
      <c r="CF29" s="133"/>
      <c r="CG29" s="133"/>
      <c r="CH29" s="133">
        <v>1</v>
      </c>
      <c r="CI29" s="133">
        <v>0</v>
      </c>
      <c r="CJ29" s="133">
        <v>0</v>
      </c>
      <c r="CK29" s="133"/>
      <c r="CL29" s="133"/>
      <c r="CM29" s="133"/>
      <c r="CN29" s="133"/>
      <c r="CO29" s="133" t="s">
        <v>10</v>
      </c>
      <c r="CP29" s="133">
        <f>IF(Прайс[[#This Row],[Наличие подсветки на нижнем горизонте]]="Нет",0,'комплекты фурнитуры'!$C$95)</f>
        <v>0</v>
      </c>
      <c r="CQ29" s="133">
        <f>'комплекты фурнитуры'!$C$53</f>
        <v>340</v>
      </c>
      <c r="CR29" s="133"/>
      <c r="CS29" s="133"/>
      <c r="CT29" s="133"/>
      <c r="CU29" s="133">
        <f>Прайс[[#This Row],[КФ петли JET накл. 105 гр.]]*2+Прайс[[#This Row],[КФ  крепления профиля Gola]]</f>
        <v>1070</v>
      </c>
    </row>
    <row r="30" spans="1:99" s="134" customFormat="1" ht="15" customHeight="1" x14ac:dyDescent="0.25">
      <c r="A30" s="296" t="s">
        <v>26</v>
      </c>
      <c r="B30" s="132" t="s">
        <v>6</v>
      </c>
      <c r="C30" s="132" t="s">
        <v>747</v>
      </c>
      <c r="D30" s="132" t="s">
        <v>73</v>
      </c>
      <c r="E30" s="132" t="s">
        <v>71</v>
      </c>
      <c r="F30" s="132" t="s">
        <v>89</v>
      </c>
      <c r="G30" s="286">
        <v>720</v>
      </c>
      <c r="H30" s="286">
        <v>720</v>
      </c>
      <c r="I30" s="286">
        <v>600</v>
      </c>
      <c r="J30" s="286">
        <v>900</v>
      </c>
      <c r="K30" s="286">
        <v>300</v>
      </c>
      <c r="L30" s="286">
        <v>640</v>
      </c>
      <c r="M30" s="132"/>
      <c r="N30" s="231"/>
      <c r="O30" s="232">
        <v>2538</v>
      </c>
      <c r="P30" s="232"/>
      <c r="Q30" s="232"/>
      <c r="R30" s="132">
        <f>'комплекты фурнитуры'!$C$3</f>
        <v>550</v>
      </c>
      <c r="S30" s="132"/>
      <c r="T30" s="132"/>
      <c r="U30" s="132"/>
      <c r="V30" s="132"/>
      <c r="W30" s="132"/>
      <c r="X30" s="132"/>
      <c r="Y30" s="132"/>
      <c r="Z30" s="132"/>
      <c r="AA30" s="132"/>
      <c r="AB30" s="132"/>
      <c r="AC30" s="132"/>
      <c r="AD30" s="132"/>
      <c r="AE30" s="132">
        <f>'комплекты фурнитуры'!$C$23*2</f>
        <v>560</v>
      </c>
      <c r="AF30" s="132"/>
      <c r="AG30" s="132"/>
      <c r="AH30" s="233">
        <f>SUM(Прайс[[#This Row],[КФ НСТ11]:[KFPr-SB-ZPG]])</f>
        <v>1110</v>
      </c>
      <c r="AI30" s="233"/>
      <c r="AJ30" s="132"/>
      <c r="AK30" s="132"/>
      <c r="AL30" s="132"/>
      <c r="AM30" s="233">
        <f>'комплекты фурнитуры'!$C$66</f>
        <v>620</v>
      </c>
      <c r="AN30" s="233">
        <f>'комплекты фурнитуры'!$C$67</f>
        <v>130</v>
      </c>
      <c r="AO30" s="233"/>
      <c r="AP30" s="233"/>
      <c r="AQ30" s="233"/>
      <c r="AR30" s="233"/>
      <c r="AS30" s="233"/>
      <c r="AT30" s="233"/>
      <c r="AU30" s="233"/>
      <c r="AV30" s="233"/>
      <c r="AW30" s="233"/>
      <c r="AX30" s="233"/>
      <c r="AY30" s="233"/>
      <c r="AZ30" s="233"/>
      <c r="BA30" s="233"/>
      <c r="BB30" s="233"/>
      <c r="BC30" s="233"/>
      <c r="BD30" s="233"/>
      <c r="BE30" s="233"/>
      <c r="BF30" s="233"/>
      <c r="BG30" s="233"/>
      <c r="BH30" s="233"/>
      <c r="BI30" s="233"/>
      <c r="BJ30" s="233"/>
      <c r="BK30" s="233"/>
      <c r="BL30" s="233"/>
      <c r="BM30" s="233"/>
      <c r="BN30" s="233">
        <f>'комплекты фурнитуры'!$C$84</f>
        <v>390</v>
      </c>
      <c r="BO30" s="233"/>
      <c r="BP30" s="234">
        <f>Прайс[[#This Row],[КФ петли SENS накл.110 гр. с крестообр. Планкой]]*4+Прайс[[#This Row],[КФ  крепления профиля Gola]]</f>
        <v>2870</v>
      </c>
      <c r="BQ30" s="234">
        <f>Прайс[[#This Row],[КФ петли SENS накл.110 гр. с крестообр. Планкой]]*4+Прайс[[#This Row],[КФ  крепления профиля Gola]]</f>
        <v>2870</v>
      </c>
      <c r="BR30" s="234">
        <f>Прайс[[#This Row],[КФ петли SENS накл.110 гр. с крестообр. Планкой]]*4+Прайс[[#This Row],[КФ  крепления профиля Gola]]</f>
        <v>2870</v>
      </c>
      <c r="BS30" s="295">
        <v>300</v>
      </c>
      <c r="BT30" s="133">
        <v>720</v>
      </c>
      <c r="BU30" s="133" t="str">
        <f>IF(OR(Прайс[[#This Row],[Тип]]="Нижний",Прайс[[#This Row],[Тип]]="Пенал"),"560",IF(Прайс[[#This Row],[Тип]]="Верхний",315,0))</f>
        <v>560</v>
      </c>
      <c r="BV30" s="236">
        <v>1.08</v>
      </c>
      <c r="BW30" s="236">
        <v>1.0649999999999999</v>
      </c>
      <c r="BX30" s="235">
        <v>1.3</v>
      </c>
      <c r="BY30" s="133">
        <v>0</v>
      </c>
      <c r="BZ30" s="133">
        <v>0</v>
      </c>
      <c r="CA30" s="133" t="s">
        <v>10</v>
      </c>
      <c r="CB30" s="235" t="s">
        <v>470</v>
      </c>
      <c r="CC30" s="133">
        <v>0</v>
      </c>
      <c r="CD30" s="133" t="s">
        <v>10</v>
      </c>
      <c r="CE30" s="133">
        <v>3456</v>
      </c>
      <c r="CF30" s="133"/>
      <c r="CG30" s="133"/>
      <c r="CH30" s="133">
        <v>2</v>
      </c>
      <c r="CI30" s="133">
        <v>0</v>
      </c>
      <c r="CJ30" s="133">
        <v>0</v>
      </c>
      <c r="CK30" s="133"/>
      <c r="CL30" s="133"/>
      <c r="CM30" s="133"/>
      <c r="CN30" s="133"/>
      <c r="CO30" s="133" t="s">
        <v>10</v>
      </c>
      <c r="CP30" s="133">
        <f>IF(Прайс[[#This Row],[Наличие подсветки на нижнем горизонте]]="Нет",0,'комплекты фурнитуры'!$C$95)</f>
        <v>0</v>
      </c>
      <c r="CQ30" s="133">
        <f>'комплекты фурнитуры'!$C$53</f>
        <v>340</v>
      </c>
      <c r="CR30" s="133"/>
      <c r="CS30" s="133"/>
      <c r="CT30" s="133"/>
      <c r="CU30" s="133">
        <f>Прайс[[#This Row],[КФ петли JET накл. 105 гр.]]*4+Прайс[[#This Row],[КФ  крепления профиля Gola]]</f>
        <v>1750</v>
      </c>
    </row>
    <row r="31" spans="1:99" s="134" customFormat="1" ht="15" customHeight="1" x14ac:dyDescent="0.25">
      <c r="A31" s="296" t="s">
        <v>134</v>
      </c>
      <c r="B31" s="132" t="s">
        <v>6</v>
      </c>
      <c r="C31" s="132" t="s">
        <v>748</v>
      </c>
      <c r="D31" s="132" t="s">
        <v>69</v>
      </c>
      <c r="E31" s="132" t="s">
        <v>71</v>
      </c>
      <c r="F31" s="132" t="s">
        <v>87</v>
      </c>
      <c r="G31" s="286">
        <v>720</v>
      </c>
      <c r="H31" s="286">
        <v>960</v>
      </c>
      <c r="I31" s="286">
        <v>710</v>
      </c>
      <c r="J31" s="286">
        <v>950</v>
      </c>
      <c r="K31" s="286">
        <v>360</v>
      </c>
      <c r="L31" s="286">
        <v>560</v>
      </c>
      <c r="M31" s="132"/>
      <c r="N31" s="231"/>
      <c r="O31" s="232">
        <v>3456</v>
      </c>
      <c r="P31" s="232"/>
      <c r="Q31" s="232"/>
      <c r="R31" s="132"/>
      <c r="S31" s="132"/>
      <c r="T31" s="132">
        <f>'комплекты фурнитуры'!$C$6</f>
        <v>810</v>
      </c>
      <c r="U31" s="132"/>
      <c r="V31" s="132"/>
      <c r="W31" s="132"/>
      <c r="X31" s="132"/>
      <c r="Y31" s="132"/>
      <c r="Z31" s="132"/>
      <c r="AA31" s="132"/>
      <c r="AB31" s="132"/>
      <c r="AC31" s="132"/>
      <c r="AD31" s="132"/>
      <c r="AE31" s="132">
        <f>'комплекты фурнитуры'!$C$23*2</f>
        <v>560</v>
      </c>
      <c r="AF31" s="132"/>
      <c r="AG31" s="132"/>
      <c r="AH31" s="233">
        <f>SUM(Прайс[[#This Row],[КФ НСТ11]:[KFPr-SB-ZPG]])</f>
        <v>1370</v>
      </c>
      <c r="AI31" s="233"/>
      <c r="AJ31" s="132">
        <f>'комплекты фурнитуры'!$C$82</f>
        <v>30</v>
      </c>
      <c r="AK31" s="132"/>
      <c r="AL31" s="132"/>
      <c r="AM31" s="233"/>
      <c r="AN31" s="233"/>
      <c r="AO31" s="233">
        <f>'комплекты фурнитуры'!$C$60</f>
        <v>1300</v>
      </c>
      <c r="AP31" s="233"/>
      <c r="AQ31" s="233"/>
      <c r="AR31" s="233"/>
      <c r="AS31" s="233"/>
      <c r="AT31" s="233"/>
      <c r="AU31" s="233"/>
      <c r="AV31" s="233"/>
      <c r="AW31" s="233"/>
      <c r="AX31" s="233"/>
      <c r="AY31" s="233"/>
      <c r="AZ31" s="233"/>
      <c r="BA31" s="233"/>
      <c r="BB31" s="233"/>
      <c r="BC31" s="233"/>
      <c r="BD31" s="233"/>
      <c r="BE31" s="233"/>
      <c r="BF31" s="233"/>
      <c r="BG31" s="233"/>
      <c r="BH31" s="233"/>
      <c r="BI31" s="233"/>
      <c r="BJ31" s="233"/>
      <c r="BK31" s="233"/>
      <c r="BL31" s="233"/>
      <c r="BM31" s="233"/>
      <c r="BN31" s="233">
        <f>'комплекты фурнитуры'!$C$84</f>
        <v>390</v>
      </c>
      <c r="BO31" s="233"/>
      <c r="BP31" s="234">
        <f>Прайс[[#This Row],[КФ  крепления профиля Gola]]+Прайс[[#This Row],[КФ петли вклад. 95 гр. с крестообр. планкой]]*2+Прайс[[#This Row],[KFPr-SB-SPL]]</f>
        <v>3020</v>
      </c>
      <c r="BQ31" s="234">
        <f>Прайс[[#This Row],[КФ  крепления профиля Gola]]+Прайс[[#This Row],[КФ петли вклад. 95 гр. с крестообр. планкой]]*2+Прайс[[#This Row],[KFPr-SB-SPL]]</f>
        <v>3020</v>
      </c>
      <c r="BR31" s="234">
        <f>Прайс[[#This Row],[КФ  крепления профиля Gola]]+Прайс[[#This Row],[КФ петли вклад. 95 гр. с крестообр. планкой]]*2+Прайс[[#This Row],[KFPr-SB-SPL]]</f>
        <v>3020</v>
      </c>
      <c r="BS31" s="133">
        <v>300</v>
      </c>
      <c r="BT31" s="133">
        <v>720</v>
      </c>
      <c r="BU31" s="133">
        <v>315</v>
      </c>
      <c r="BV31" s="236">
        <v>1.08</v>
      </c>
      <c r="BW31" s="236">
        <v>1.0649999999999999</v>
      </c>
      <c r="BX31" s="235">
        <v>1.3</v>
      </c>
      <c r="BY31" s="133">
        <v>0</v>
      </c>
      <c r="BZ31" s="133">
        <v>2</v>
      </c>
      <c r="CA31" s="133" t="s">
        <v>10</v>
      </c>
      <c r="CB31" s="235" t="s">
        <v>470</v>
      </c>
      <c r="CC31" s="133">
        <v>1</v>
      </c>
      <c r="CD31" s="133" t="s">
        <v>10</v>
      </c>
      <c r="CE31" s="133">
        <v>4827.6000000000004</v>
      </c>
      <c r="CF31" s="133"/>
      <c r="CG31" s="133"/>
      <c r="CH31" s="133">
        <v>1</v>
      </c>
      <c r="CI31" s="133">
        <v>0</v>
      </c>
      <c r="CJ31" s="133">
        <v>0</v>
      </c>
      <c r="CK31" s="133"/>
      <c r="CL31" s="133"/>
      <c r="CM31" s="133"/>
      <c r="CN31" s="133"/>
      <c r="CO31" s="133" t="s">
        <v>10</v>
      </c>
      <c r="CP31" s="133">
        <f>IF(Прайс[[#This Row],[Наличие подсветки на нижнем горизонте]]="Нет",0,'комплекты фурнитуры'!$C$95)</f>
        <v>0</v>
      </c>
      <c r="CQ31" s="133"/>
      <c r="CR31" s="133">
        <f>'комплекты фурнитуры'!$C$54</f>
        <v>790</v>
      </c>
      <c r="CS31" s="133"/>
      <c r="CT31" s="133"/>
      <c r="CU31" s="133">
        <f>Прайс[[#This Row],[КФ петли JET угловая 180 гр.]]*2+Прайс[[#This Row],[КФ  крепления профиля Gola]]</f>
        <v>1970</v>
      </c>
    </row>
    <row r="32" spans="1:99" s="134" customFormat="1" ht="15" customHeight="1" x14ac:dyDescent="0.25">
      <c r="A32" s="296" t="s">
        <v>133</v>
      </c>
      <c r="B32" s="132" t="s">
        <v>6</v>
      </c>
      <c r="C32" s="132" t="s">
        <v>749</v>
      </c>
      <c r="D32" s="132" t="s">
        <v>69</v>
      </c>
      <c r="E32" s="132" t="s">
        <v>71</v>
      </c>
      <c r="F32" s="132" t="s">
        <v>87</v>
      </c>
      <c r="G32" s="286">
        <v>720</v>
      </c>
      <c r="H32" s="286">
        <v>960</v>
      </c>
      <c r="I32" s="286">
        <v>810</v>
      </c>
      <c r="J32" s="286">
        <v>1050</v>
      </c>
      <c r="K32" s="286">
        <v>360</v>
      </c>
      <c r="L32" s="286">
        <v>560</v>
      </c>
      <c r="M32" s="132"/>
      <c r="N32" s="231"/>
      <c r="O32" s="232">
        <v>3456</v>
      </c>
      <c r="P32" s="232"/>
      <c r="Q32" s="232"/>
      <c r="R32" s="132"/>
      <c r="S32" s="132"/>
      <c r="T32" s="132">
        <f>'комплекты фурнитуры'!$C$6</f>
        <v>810</v>
      </c>
      <c r="U32" s="132"/>
      <c r="V32" s="132"/>
      <c r="W32" s="132"/>
      <c r="X32" s="132"/>
      <c r="Y32" s="132"/>
      <c r="Z32" s="132"/>
      <c r="AA32" s="132"/>
      <c r="AB32" s="132"/>
      <c r="AC32" s="132"/>
      <c r="AD32" s="132"/>
      <c r="AE32" s="132">
        <f>'комплекты фурнитуры'!$C$23*2</f>
        <v>560</v>
      </c>
      <c r="AF32" s="132"/>
      <c r="AG32" s="132"/>
      <c r="AH32" s="233">
        <f>SUM(Прайс[[#This Row],[КФ НСТ11]:[KFPr-SB-ZPG]])</f>
        <v>1370</v>
      </c>
      <c r="AI32" s="233"/>
      <c r="AJ32" s="132">
        <f>'комплекты фурнитуры'!$C$82</f>
        <v>30</v>
      </c>
      <c r="AK32" s="132"/>
      <c r="AL32" s="132"/>
      <c r="AM32" s="233"/>
      <c r="AN32" s="233"/>
      <c r="AO32" s="233">
        <f>'комплекты фурнитуры'!$C$60</f>
        <v>1300</v>
      </c>
      <c r="AP32" s="233"/>
      <c r="AQ32" s="233"/>
      <c r="AR32" s="233"/>
      <c r="AS32" s="233"/>
      <c r="AT32" s="233"/>
      <c r="AU32" s="233"/>
      <c r="AV32" s="233"/>
      <c r="AW32" s="233"/>
      <c r="AX32" s="233"/>
      <c r="AY32" s="233"/>
      <c r="AZ32" s="233"/>
      <c r="BA32" s="233"/>
      <c r="BB32" s="233"/>
      <c r="BC32" s="233"/>
      <c r="BD32" s="233"/>
      <c r="BE32" s="233"/>
      <c r="BF32" s="233"/>
      <c r="BG32" s="233"/>
      <c r="BH32" s="233"/>
      <c r="BI32" s="233"/>
      <c r="BJ32" s="233"/>
      <c r="BK32" s="233"/>
      <c r="BL32" s="233"/>
      <c r="BM32" s="233"/>
      <c r="BN32" s="233">
        <f>'комплекты фурнитуры'!$C$84</f>
        <v>390</v>
      </c>
      <c r="BO32" s="233"/>
      <c r="BP32" s="234">
        <f>Прайс[[#This Row],[КФ  крепления профиля Gola]]+Прайс[[#This Row],[КФ петли вклад. 95 гр. с крестообр. планкой]]*2+Прайс[[#This Row],[KFPr-SB-SPL]]</f>
        <v>3020</v>
      </c>
      <c r="BQ32" s="234">
        <f>Прайс[[#This Row],[КФ  крепления профиля Gola]]+Прайс[[#This Row],[КФ петли вклад. 95 гр. с крестообр. планкой]]*2+Прайс[[#This Row],[KFPr-SB-SPL]]</f>
        <v>3020</v>
      </c>
      <c r="BR32" s="234">
        <f>Прайс[[#This Row],[КФ  крепления профиля Gola]]+Прайс[[#This Row],[КФ петли вклад. 95 гр. с крестообр. планкой]]*2+Прайс[[#This Row],[KFPr-SB-SPL]]</f>
        <v>3020</v>
      </c>
      <c r="BS32" s="133">
        <v>300</v>
      </c>
      <c r="BT32" s="133">
        <v>720</v>
      </c>
      <c r="BU32" s="133">
        <v>315</v>
      </c>
      <c r="BV32" s="236">
        <v>1.08</v>
      </c>
      <c r="BW32" s="236">
        <v>1.0649999999999999</v>
      </c>
      <c r="BX32" s="235">
        <v>1.3</v>
      </c>
      <c r="BY32" s="133">
        <v>0</v>
      </c>
      <c r="BZ32" s="133">
        <v>2</v>
      </c>
      <c r="CA32" s="133" t="s">
        <v>10</v>
      </c>
      <c r="CB32" s="235" t="s">
        <v>470</v>
      </c>
      <c r="CC32" s="133">
        <v>0</v>
      </c>
      <c r="CD32" s="133" t="s">
        <v>10</v>
      </c>
      <c r="CE32" s="133">
        <v>4827.6000000000004</v>
      </c>
      <c r="CF32" s="133"/>
      <c r="CG32" s="133"/>
      <c r="CH32" s="133">
        <v>1</v>
      </c>
      <c r="CI32" s="133">
        <v>0</v>
      </c>
      <c r="CJ32" s="133">
        <v>0</v>
      </c>
      <c r="CK32" s="133"/>
      <c r="CL32" s="133"/>
      <c r="CM32" s="133"/>
      <c r="CN32" s="133"/>
      <c r="CO32" s="133" t="s">
        <v>10</v>
      </c>
      <c r="CP32" s="133">
        <f>IF(Прайс[[#This Row],[Наличие подсветки на нижнем горизонте]]="Нет",0,'комплекты фурнитуры'!$C$95)</f>
        <v>0</v>
      </c>
      <c r="CQ32" s="133"/>
      <c r="CR32" s="133">
        <f>'комплекты фурнитуры'!$C$54</f>
        <v>790</v>
      </c>
      <c r="CS32" s="133"/>
      <c r="CT32" s="133"/>
      <c r="CU32" s="133">
        <f>Прайс[[#This Row],[КФ петли JET угловая 180 гр.]]*2+Прайс[[#This Row],[КФ  крепления профиля Gola]]</f>
        <v>1970</v>
      </c>
    </row>
    <row r="33" spans="1:99" s="134" customFormat="1" ht="15" customHeight="1" x14ac:dyDescent="0.25">
      <c r="A33" s="285" t="s">
        <v>27</v>
      </c>
      <c r="B33" s="132" t="s">
        <v>6</v>
      </c>
      <c r="C33" s="132" t="s">
        <v>818</v>
      </c>
      <c r="D33" s="132" t="s">
        <v>73</v>
      </c>
      <c r="E33" s="132" t="s">
        <v>10</v>
      </c>
      <c r="F33" s="132" t="s">
        <v>91</v>
      </c>
      <c r="G33" s="286">
        <v>240</v>
      </c>
      <c r="H33" s="286">
        <v>2400</v>
      </c>
      <c r="I33" s="286">
        <v>50</v>
      </c>
      <c r="J33" s="286">
        <v>100</v>
      </c>
      <c r="K33" s="286">
        <v>315</v>
      </c>
      <c r="L33" s="286">
        <v>700</v>
      </c>
      <c r="M33" s="132"/>
      <c r="N33" s="231"/>
      <c r="O33" s="232">
        <v>1940</v>
      </c>
      <c r="P33" s="232"/>
      <c r="Q33" s="232"/>
      <c r="R33" s="132"/>
      <c r="S33" s="132"/>
      <c r="T33" s="132"/>
      <c r="U33" s="132"/>
      <c r="V33" s="132"/>
      <c r="W33" s="132"/>
      <c r="X33" s="132"/>
      <c r="Y33" s="132"/>
      <c r="Z33" s="132"/>
      <c r="AA33" s="132"/>
      <c r="AB33" s="132"/>
      <c r="AC33" s="132"/>
      <c r="AD33" s="132">
        <f>'комплекты фурнитуры'!$C$18</f>
        <v>600</v>
      </c>
      <c r="AE33" s="132"/>
      <c r="AF33" s="132"/>
      <c r="AG33" s="132"/>
      <c r="AH33" s="233">
        <f>SUM(Прайс[[#This Row],[КФ НСТ11]:[KFPr-SB-ZPG]])</f>
        <v>600</v>
      </c>
      <c r="AI33" s="233"/>
      <c r="AJ33" s="132"/>
      <c r="AK33" s="132"/>
      <c r="AL33" s="132"/>
      <c r="AM33" s="233"/>
      <c r="AN33" s="233"/>
      <c r="AO33" s="233"/>
      <c r="AP33" s="233"/>
      <c r="AQ33" s="233"/>
      <c r="AR33" s="233"/>
      <c r="AS33" s="233"/>
      <c r="AT33" s="233"/>
      <c r="AU33" s="233"/>
      <c r="AV33" s="233"/>
      <c r="AW33" s="233"/>
      <c r="AX33" s="233"/>
      <c r="AY33" s="233"/>
      <c r="AZ33" s="233"/>
      <c r="BA33" s="233"/>
      <c r="BB33" s="233"/>
      <c r="BC33" s="233"/>
      <c r="BD33" s="233"/>
      <c r="BE33" s="233"/>
      <c r="BF33" s="233"/>
      <c r="BG33" s="233"/>
      <c r="BH33" s="233"/>
      <c r="BI33" s="233"/>
      <c r="BJ33" s="233"/>
      <c r="BK33" s="233"/>
      <c r="BL33" s="233"/>
      <c r="BM33" s="233"/>
      <c r="BN33" s="233"/>
      <c r="BO33" s="233"/>
      <c r="BP33" s="234">
        <v>0</v>
      </c>
      <c r="BQ33" s="235">
        <v>0</v>
      </c>
      <c r="BR33" s="235">
        <v>0</v>
      </c>
      <c r="BS33" s="133">
        <v>100</v>
      </c>
      <c r="BT33" s="133">
        <v>720</v>
      </c>
      <c r="BU33" s="133">
        <v>560</v>
      </c>
      <c r="BV33" s="236">
        <v>1.08</v>
      </c>
      <c r="BW33" s="236">
        <v>1.0649999999999999</v>
      </c>
      <c r="BX33" s="235">
        <v>1.3</v>
      </c>
      <c r="BY33" s="133">
        <v>0</v>
      </c>
      <c r="BZ33" s="133">
        <v>0</v>
      </c>
      <c r="CA33" s="133" t="s">
        <v>10</v>
      </c>
      <c r="CB33" s="235" t="s">
        <v>469</v>
      </c>
      <c r="CC33" s="133">
        <v>0</v>
      </c>
      <c r="CD33" s="133" t="s">
        <v>10</v>
      </c>
      <c r="CE33" s="133">
        <v>2560</v>
      </c>
      <c r="CF33" s="133"/>
      <c r="CG33" s="133"/>
      <c r="CH33" s="133">
        <v>1</v>
      </c>
      <c r="CI33" s="133">
        <v>0</v>
      </c>
      <c r="CJ33" s="133">
        <v>0</v>
      </c>
      <c r="CK33" s="133"/>
      <c r="CL33" s="133"/>
      <c r="CM33" s="133"/>
      <c r="CN33" s="133"/>
      <c r="CO33" s="133" t="s">
        <v>10</v>
      </c>
      <c r="CP33" s="133">
        <f>IF(Прайс[[#This Row],[Наличие подсветки на нижнем горизонте]]="Нет",0,'комплекты фурнитуры'!$C$95)</f>
        <v>0</v>
      </c>
      <c r="CQ33" s="133"/>
      <c r="CR33" s="133"/>
      <c r="CS33" s="133"/>
      <c r="CT33" s="133"/>
      <c r="CU33" s="133">
        <v>0</v>
      </c>
    </row>
    <row r="34" spans="1:99" s="134" customFormat="1" ht="15" customHeight="1" x14ac:dyDescent="0.25">
      <c r="A34" s="285" t="s">
        <v>2</v>
      </c>
      <c r="B34" s="132" t="s">
        <v>7</v>
      </c>
      <c r="C34" s="132" t="s">
        <v>750</v>
      </c>
      <c r="D34" s="132" t="s">
        <v>8</v>
      </c>
      <c r="E34" s="132" t="s">
        <v>10</v>
      </c>
      <c r="F34" s="132" t="s">
        <v>87</v>
      </c>
      <c r="G34" s="286">
        <v>240</v>
      </c>
      <c r="H34" s="286">
        <v>1250</v>
      </c>
      <c r="I34" s="286">
        <v>150</v>
      </c>
      <c r="J34" s="286">
        <v>900</v>
      </c>
      <c r="K34" s="286">
        <v>250</v>
      </c>
      <c r="L34" s="286">
        <v>560</v>
      </c>
      <c r="M34" s="132"/>
      <c r="N34" s="231"/>
      <c r="O34" s="232">
        <v>1780</v>
      </c>
      <c r="P34" s="232"/>
      <c r="Q34" s="232"/>
      <c r="R34" s="132">
        <f>'комплекты фурнитуры'!$C$3</f>
        <v>550</v>
      </c>
      <c r="S34" s="132"/>
      <c r="T34" s="132"/>
      <c r="U34" s="132"/>
      <c r="V34" s="132"/>
      <c r="W34" s="132"/>
      <c r="X34" s="132"/>
      <c r="Y34" s="132"/>
      <c r="Z34" s="132"/>
      <c r="AA34" s="132"/>
      <c r="AB34" s="132"/>
      <c r="AC34" s="132"/>
      <c r="AD34" s="132"/>
      <c r="AE34" s="132"/>
      <c r="AF34" s="132">
        <f>'комплекты фурнитуры'!$C$76</f>
        <v>210</v>
      </c>
      <c r="AG34" s="132">
        <f>'комплекты фурнитуры'!$C$77</f>
        <v>30</v>
      </c>
      <c r="AH34" s="233">
        <f>SUM(Прайс[[#This Row],[КФ НСТ11]:[KFPr-SB-ZPG]])</f>
        <v>790</v>
      </c>
      <c r="AI34" s="233"/>
      <c r="AJ34" s="132"/>
      <c r="AK34" s="132"/>
      <c r="AL34" s="132"/>
      <c r="AM34" s="233"/>
      <c r="AN34" s="233"/>
      <c r="AO34" s="233"/>
      <c r="AP34" s="233"/>
      <c r="AQ34" s="233"/>
      <c r="AR34" s="233"/>
      <c r="AS34" s="233"/>
      <c r="AT34" s="233"/>
      <c r="AU34" s="233"/>
      <c r="AV34" s="233"/>
      <c r="AW34" s="233"/>
      <c r="AX34" s="233"/>
      <c r="AY34" s="233"/>
      <c r="AZ34" s="233"/>
      <c r="BA34" s="233"/>
      <c r="BB34" s="233"/>
      <c r="BC34" s="233"/>
      <c r="BD34" s="233"/>
      <c r="BE34" s="233"/>
      <c r="BF34" s="233"/>
      <c r="BG34" s="233"/>
      <c r="BH34" s="233"/>
      <c r="BI34" s="233"/>
      <c r="BJ34" s="233"/>
      <c r="BK34" s="233"/>
      <c r="BL34" s="233"/>
      <c r="BM34" s="233"/>
      <c r="BN34" s="233"/>
      <c r="BO34" s="233"/>
      <c r="BP34" s="234">
        <v>0</v>
      </c>
      <c r="BQ34" s="235">
        <v>0</v>
      </c>
      <c r="BR34" s="235">
        <v>0</v>
      </c>
      <c r="BS34" s="133">
        <v>300</v>
      </c>
      <c r="BT34" s="133">
        <v>720</v>
      </c>
      <c r="BU34" s="133">
        <f>IF(OR(Прайс[[#This Row],[Тип]]="Нижний",Прайс[[#This Row],[Тип]]="Пенал"),"560",IF(Прайс[[#This Row],[Тип]]="Верхний",315,0))</f>
        <v>315</v>
      </c>
      <c r="BV34" s="236">
        <v>1.08</v>
      </c>
      <c r="BW34" s="236">
        <v>1.0649999999999999</v>
      </c>
      <c r="BX34" s="235">
        <v>1.3</v>
      </c>
      <c r="BY34" s="133">
        <v>0</v>
      </c>
      <c r="BZ34" s="133">
        <v>3</v>
      </c>
      <c r="CA34" s="133" t="s">
        <v>10</v>
      </c>
      <c r="CB34" s="235" t="s">
        <v>469</v>
      </c>
      <c r="CC34" s="133">
        <v>1</v>
      </c>
      <c r="CD34" s="133" t="s">
        <v>71</v>
      </c>
      <c r="CE34" s="133">
        <v>2310</v>
      </c>
      <c r="CF34" s="133"/>
      <c r="CG34" s="133"/>
      <c r="CH34" s="133">
        <v>0</v>
      </c>
      <c r="CI34" s="133">
        <v>0</v>
      </c>
      <c r="CJ34" s="133">
        <v>0</v>
      </c>
      <c r="CK34" s="133"/>
      <c r="CL34" s="133"/>
      <c r="CM34" s="133"/>
      <c r="CN34" s="133"/>
      <c r="CO34" s="133" t="s">
        <v>71</v>
      </c>
      <c r="CP34" s="133">
        <f>IF(Прайс[[#This Row],[Наличие подсветки на нижнем горизонте]]="Нет",0,'комплекты фурнитуры'!$C$95)</f>
        <v>400</v>
      </c>
      <c r="CQ34" s="133"/>
      <c r="CR34" s="133"/>
      <c r="CS34" s="133"/>
      <c r="CT34" s="133"/>
      <c r="CU34" s="133">
        <v>0</v>
      </c>
    </row>
    <row r="35" spans="1:99" s="134" customFormat="1" ht="15" customHeight="1" x14ac:dyDescent="0.25">
      <c r="A35" s="285" t="s">
        <v>77</v>
      </c>
      <c r="B35" s="132" t="s">
        <v>7</v>
      </c>
      <c r="C35" s="132" t="s">
        <v>751</v>
      </c>
      <c r="D35" s="132" t="s">
        <v>73</v>
      </c>
      <c r="E35" s="132" t="s">
        <v>10</v>
      </c>
      <c r="F35" s="132" t="s">
        <v>87</v>
      </c>
      <c r="G35" s="286">
        <v>360</v>
      </c>
      <c r="H35" s="286">
        <v>1250</v>
      </c>
      <c r="I35" s="286">
        <v>150</v>
      </c>
      <c r="J35" s="286">
        <v>600</v>
      </c>
      <c r="K35" s="286">
        <v>250</v>
      </c>
      <c r="L35" s="286">
        <v>560</v>
      </c>
      <c r="M35" s="132"/>
      <c r="N35" s="231"/>
      <c r="O35" s="232">
        <v>1780</v>
      </c>
      <c r="P35" s="232"/>
      <c r="Q35" s="232">
        <v>540</v>
      </c>
      <c r="R35" s="132"/>
      <c r="S35" s="132"/>
      <c r="T35" s="132"/>
      <c r="U35" s="132"/>
      <c r="V35" s="132"/>
      <c r="W35" s="132"/>
      <c r="X35" s="132"/>
      <c r="Y35" s="132"/>
      <c r="Z35" s="132"/>
      <c r="AA35" s="132"/>
      <c r="AB35" s="132"/>
      <c r="AC35" s="132"/>
      <c r="AD35" s="132"/>
      <c r="AE35" s="132"/>
      <c r="AF35" s="132">
        <f>'комплекты фурнитуры'!$C$76</f>
        <v>210</v>
      </c>
      <c r="AG35" s="132">
        <f>'комплекты фурнитуры'!$C$77</f>
        <v>30</v>
      </c>
      <c r="AH35" s="233">
        <f>SUM(Прайс[[#This Row],[КФ НСТ11]:[KFPr-SB-ZPG]])</f>
        <v>780</v>
      </c>
      <c r="AI35" s="233"/>
      <c r="AJ35" s="132"/>
      <c r="AK35" s="132"/>
      <c r="AL35" s="132"/>
      <c r="AM35" s="233">
        <f>'комплекты фурнитуры'!$C$66</f>
        <v>620</v>
      </c>
      <c r="AN35" s="233">
        <f>'комплекты фурнитуры'!$C$67</f>
        <v>130</v>
      </c>
      <c r="AO35" s="233"/>
      <c r="AP35" s="233"/>
      <c r="AQ35" s="233"/>
      <c r="AR35" s="233"/>
      <c r="AS35" s="233"/>
      <c r="AT35" s="233"/>
      <c r="AU35" s="233"/>
      <c r="AV35" s="233"/>
      <c r="AW35" s="233"/>
      <c r="AX35" s="233"/>
      <c r="AY35" s="233"/>
      <c r="AZ35" s="233"/>
      <c r="BA35" s="233"/>
      <c r="BB35" s="233"/>
      <c r="BC35" s="233"/>
      <c r="BD35" s="233"/>
      <c r="BE35" s="233"/>
      <c r="BF35" s="233"/>
      <c r="BG35" s="233"/>
      <c r="BH35" s="233"/>
      <c r="BI35" s="233"/>
      <c r="BJ35" s="233"/>
      <c r="BK35" s="233"/>
      <c r="BL35" s="233"/>
      <c r="BM35" s="233"/>
      <c r="BN35" s="233"/>
      <c r="BO35" s="233"/>
      <c r="BP35" s="234">
        <f>Прайс[[#This Row],[КФ петли SENS накл.110 гр. с крестообр. Планкой]]*2</f>
        <v>1240</v>
      </c>
      <c r="BQ35" s="235">
        <f>Прайс[[#This Row],[KFP-SB-N110]]*2</f>
        <v>260</v>
      </c>
      <c r="BR35" s="235">
        <f>Прайс[[#This Row],[KFP-SB-N110]]*2</f>
        <v>260</v>
      </c>
      <c r="BS35" s="133">
        <v>300</v>
      </c>
      <c r="BT35" s="133">
        <v>720</v>
      </c>
      <c r="BU35" s="133">
        <f>IF(OR(Прайс[[#This Row],[Тип]]="Нижний",Прайс[[#This Row],[Тип]]="Пенал"),"560",IF(Прайс[[#This Row],[Тип]]="Верхний",315,0))</f>
        <v>315</v>
      </c>
      <c r="BV35" s="236">
        <v>1.08</v>
      </c>
      <c r="BW35" s="236">
        <v>1.0649999999999999</v>
      </c>
      <c r="BX35" s="235">
        <v>1.3</v>
      </c>
      <c r="BY35" s="133">
        <v>0</v>
      </c>
      <c r="BZ35" s="133">
        <v>3</v>
      </c>
      <c r="CA35" s="133" t="s">
        <v>71</v>
      </c>
      <c r="CB35" s="235" t="s">
        <v>469</v>
      </c>
      <c r="CC35" s="133">
        <v>1</v>
      </c>
      <c r="CD35" s="133" t="s">
        <v>71</v>
      </c>
      <c r="CE35" s="133">
        <v>2310</v>
      </c>
      <c r="CF35" s="133"/>
      <c r="CG35" s="133"/>
      <c r="CH35" s="133">
        <v>1</v>
      </c>
      <c r="CI35" s="133">
        <v>0</v>
      </c>
      <c r="CJ35" s="133">
        <v>0</v>
      </c>
      <c r="CK35" s="133"/>
      <c r="CL35" s="133"/>
      <c r="CM35" s="133"/>
      <c r="CN35" s="133"/>
      <c r="CO35" s="133" t="s">
        <v>71</v>
      </c>
      <c r="CP35" s="133">
        <f>IF(Прайс[[#This Row],[Наличие подсветки на нижнем горизонте]]="Нет",0,'комплекты фурнитуры'!$C$95)</f>
        <v>400</v>
      </c>
      <c r="CQ35" s="133">
        <f>'комплекты фурнитуры'!$C$53</f>
        <v>340</v>
      </c>
      <c r="CR35" s="133"/>
      <c r="CS35" s="133"/>
      <c r="CT35" s="133"/>
      <c r="CU35" s="133">
        <f>Прайс[[#This Row],[КФ петли JET накл. 105 гр.]]*2</f>
        <v>680</v>
      </c>
    </row>
    <row r="36" spans="1:99" s="134" customFormat="1" ht="15" customHeight="1" x14ac:dyDescent="0.25">
      <c r="A36" s="285" t="s">
        <v>78</v>
      </c>
      <c r="B36" s="132" t="s">
        <v>7</v>
      </c>
      <c r="C36" s="132" t="s">
        <v>752</v>
      </c>
      <c r="D36" s="132" t="s">
        <v>73</v>
      </c>
      <c r="E36" s="132" t="s">
        <v>10</v>
      </c>
      <c r="F36" s="132" t="s">
        <v>99</v>
      </c>
      <c r="G36" s="286">
        <v>800</v>
      </c>
      <c r="H36" s="286">
        <v>960</v>
      </c>
      <c r="I36" s="286">
        <v>450</v>
      </c>
      <c r="J36" s="286">
        <v>600</v>
      </c>
      <c r="K36" s="286">
        <v>350</v>
      </c>
      <c r="L36" s="286">
        <v>500</v>
      </c>
      <c r="M36" s="132"/>
      <c r="N36" s="231"/>
      <c r="O36" s="232">
        <v>1780</v>
      </c>
      <c r="P36" s="232">
        <v>740</v>
      </c>
      <c r="Q36" s="232"/>
      <c r="R36" s="132"/>
      <c r="S36" s="132"/>
      <c r="T36" s="132"/>
      <c r="U36" s="132"/>
      <c r="V36" s="132"/>
      <c r="W36" s="132"/>
      <c r="X36" s="132"/>
      <c r="Y36" s="132"/>
      <c r="Z36" s="132"/>
      <c r="AA36" s="132"/>
      <c r="AB36" s="132"/>
      <c r="AC36" s="132"/>
      <c r="AD36" s="132"/>
      <c r="AE36" s="132"/>
      <c r="AF36" s="132">
        <f>'комплекты фурнитуры'!$C$76</f>
        <v>210</v>
      </c>
      <c r="AG36" s="132">
        <f>'комплекты фурнитуры'!$C$77</f>
        <v>30</v>
      </c>
      <c r="AH36" s="233">
        <f>SUM(Прайс[[#This Row],[КФ НСТ11]:[KFPr-SB-ZPG]])</f>
        <v>980</v>
      </c>
      <c r="AI36" s="233"/>
      <c r="AJ36" s="132"/>
      <c r="AK36" s="132"/>
      <c r="AL36" s="132"/>
      <c r="AM36" s="233">
        <f>'комплекты фурнитуры'!$C$66</f>
        <v>620</v>
      </c>
      <c r="AN36" s="233">
        <f>'комплекты фурнитуры'!$C$67</f>
        <v>130</v>
      </c>
      <c r="AO36" s="233"/>
      <c r="AP36" s="233"/>
      <c r="AQ36" s="233"/>
      <c r="AR36" s="233"/>
      <c r="AS36" s="233"/>
      <c r="AT36" s="233"/>
      <c r="AU36" s="233"/>
      <c r="AV36" s="233"/>
      <c r="AW36" s="233"/>
      <c r="AX36" s="233"/>
      <c r="AY36" s="233"/>
      <c r="AZ36" s="233"/>
      <c r="BA36" s="233"/>
      <c r="BB36" s="233"/>
      <c r="BC36" s="233"/>
      <c r="BD36" s="233"/>
      <c r="BE36" s="233"/>
      <c r="BF36" s="233"/>
      <c r="BG36" s="233"/>
      <c r="BH36" s="233"/>
      <c r="BI36" s="233"/>
      <c r="BJ36" s="233"/>
      <c r="BK36" s="233"/>
      <c r="BL36" s="233"/>
      <c r="BM36" s="233"/>
      <c r="BN36" s="233"/>
      <c r="BO36" s="233"/>
      <c r="BP36" s="234">
        <f>Прайс[[#This Row],[КФ петли SENS накл.110 гр. с крестообр. Планкой]]*2</f>
        <v>1240</v>
      </c>
      <c r="BQ36" s="235">
        <f>Прайс[[#This Row],[KFP-SB-N110]]*2</f>
        <v>260</v>
      </c>
      <c r="BR36" s="235">
        <f>Прайс[[#This Row],[KFP-SB-N110]]*2</f>
        <v>260</v>
      </c>
      <c r="BS36" s="133">
        <v>300</v>
      </c>
      <c r="BT36" s="133">
        <v>720</v>
      </c>
      <c r="BU36" s="133">
        <f>IF(OR(Прайс[[#This Row],[Тип]]="Нижний",Прайс[[#This Row],[Тип]]="Пенал"),"560",IF(Прайс[[#This Row],[Тип]]="Верхний",315,0))</f>
        <v>315</v>
      </c>
      <c r="BV36" s="236">
        <v>1.08</v>
      </c>
      <c r="BW36" s="236">
        <v>1.0649999999999999</v>
      </c>
      <c r="BX36" s="235">
        <v>1.03</v>
      </c>
      <c r="BY36" s="133">
        <v>1</v>
      </c>
      <c r="BZ36" s="133">
        <v>1</v>
      </c>
      <c r="CA36" s="133" t="s">
        <v>71</v>
      </c>
      <c r="CB36" s="235" t="s">
        <v>469</v>
      </c>
      <c r="CC36" s="133">
        <v>1</v>
      </c>
      <c r="CD36" s="133" t="s">
        <v>71</v>
      </c>
      <c r="CE36" s="133">
        <v>2310</v>
      </c>
      <c r="CF36" s="133"/>
      <c r="CG36" s="133"/>
      <c r="CH36" s="133">
        <v>1</v>
      </c>
      <c r="CI36" s="133">
        <v>0</v>
      </c>
      <c r="CJ36" s="133">
        <v>0</v>
      </c>
      <c r="CK36" s="133"/>
      <c r="CL36" s="133"/>
      <c r="CM36" s="133"/>
      <c r="CN36" s="133"/>
      <c r="CO36" s="133" t="s">
        <v>10</v>
      </c>
      <c r="CP36" s="133">
        <f>IF(Прайс[[#This Row],[Наличие подсветки на нижнем горизонте]]="Нет",0,'комплекты фурнитуры'!$C$95)</f>
        <v>0</v>
      </c>
      <c r="CQ36" s="133">
        <f>'комплекты фурнитуры'!$C$53</f>
        <v>340</v>
      </c>
      <c r="CR36" s="133"/>
      <c r="CS36" s="133"/>
      <c r="CT36" s="133"/>
      <c r="CU36" s="133">
        <f>Прайс[[#This Row],[КФ петли JET накл. 105 гр.]]*2</f>
        <v>680</v>
      </c>
    </row>
    <row r="37" spans="1:99" s="134" customFormat="1" ht="15" customHeight="1" x14ac:dyDescent="0.25">
      <c r="A37" s="285" t="s">
        <v>79</v>
      </c>
      <c r="B37" s="132" t="s">
        <v>7</v>
      </c>
      <c r="C37" s="132" t="s">
        <v>753</v>
      </c>
      <c r="D37" s="132" t="s">
        <v>73</v>
      </c>
      <c r="E37" s="132" t="s">
        <v>10</v>
      </c>
      <c r="F37" s="132" t="s">
        <v>92</v>
      </c>
      <c r="G37" s="286">
        <v>240</v>
      </c>
      <c r="H37" s="286">
        <v>600</v>
      </c>
      <c r="I37" s="286">
        <v>350</v>
      </c>
      <c r="J37" s="286">
        <v>900</v>
      </c>
      <c r="K37" s="286">
        <v>250</v>
      </c>
      <c r="L37" s="286">
        <v>560</v>
      </c>
      <c r="M37" s="132"/>
      <c r="N37" s="231" t="s">
        <v>59</v>
      </c>
      <c r="O37" s="232">
        <v>1780</v>
      </c>
      <c r="P37" s="232"/>
      <c r="Q37" s="232"/>
      <c r="R37" s="132">
        <f>'комплекты фурнитуры'!$C$3</f>
        <v>550</v>
      </c>
      <c r="S37" s="132"/>
      <c r="T37" s="132"/>
      <c r="U37" s="132"/>
      <c r="V37" s="132"/>
      <c r="W37" s="132"/>
      <c r="X37" s="132"/>
      <c r="Y37" s="132"/>
      <c r="Z37" s="132"/>
      <c r="AA37" s="132"/>
      <c r="AB37" s="132"/>
      <c r="AC37" s="132"/>
      <c r="AD37" s="132"/>
      <c r="AE37" s="132"/>
      <c r="AF37" s="132">
        <f>'комплекты фурнитуры'!$C$76</f>
        <v>210</v>
      </c>
      <c r="AG37" s="132">
        <f>'комплекты фурнитуры'!$C$77</f>
        <v>30</v>
      </c>
      <c r="AH37" s="233">
        <f>SUM(Прайс[[#This Row],[КФ НСТ11]:[KFPr-SB-ZPG]])</f>
        <v>790</v>
      </c>
      <c r="AI37" s="233"/>
      <c r="AJ37" s="132"/>
      <c r="AK37" s="132"/>
      <c r="AL37" s="132"/>
      <c r="AM37" s="233"/>
      <c r="AN37" s="233">
        <f>'комплекты фурнитуры'!$C$67</f>
        <v>130</v>
      </c>
      <c r="AO37" s="233"/>
      <c r="AP37" s="233"/>
      <c r="AQ37" s="233"/>
      <c r="AR37" s="233"/>
      <c r="AS37" s="233"/>
      <c r="AT37" s="233"/>
      <c r="AU37" s="233"/>
      <c r="AV37" s="233"/>
      <c r="AW37" s="233">
        <f>'комплекты фурнитуры'!$C$71</f>
        <v>6080</v>
      </c>
      <c r="AX37" s="233">
        <f>'комплекты фурнитуры'!$C$72</f>
        <v>6940</v>
      </c>
      <c r="AY37" s="233">
        <f>'комплекты фурнитуры'!$C$74</f>
        <v>2290</v>
      </c>
      <c r="AZ37" s="233"/>
      <c r="BA37" s="233"/>
      <c r="BB37" s="233"/>
      <c r="BC37" s="233"/>
      <c r="BD37" s="233"/>
      <c r="BE37" s="233"/>
      <c r="BF37" s="233"/>
      <c r="BG37" s="233"/>
      <c r="BH37" s="233"/>
      <c r="BI37" s="233"/>
      <c r="BJ37" s="233"/>
      <c r="BK37" s="233"/>
      <c r="BL37" s="233"/>
      <c r="BM37" s="233"/>
      <c r="BN37" s="233"/>
      <c r="BO37" s="233"/>
      <c r="BP37" s="234">
        <f>Прайс[[#This Row],[KFP-SP-PPGK]]</f>
        <v>6080</v>
      </c>
      <c r="BQ37" s="235">
        <f>Прайс[[#This Row],[KFP-SP-PPA]]+Прайс[[#This Row],[KFP-SB-N110]]*2</f>
        <v>2550</v>
      </c>
      <c r="BR37" s="235">
        <f>Прайс[[#This Row],[KFP-SP-PPA]]+Прайс[[#This Row],[KFP-SB-N110]]*2</f>
        <v>2550</v>
      </c>
      <c r="BS37" s="133">
        <v>300</v>
      </c>
      <c r="BT37" s="133">
        <v>720</v>
      </c>
      <c r="BU37" s="133">
        <f>IF(OR(Прайс[[#This Row],[Тип]]="Нижний",Прайс[[#This Row],[Тип]]="Пенал"),"560",IF(Прайс[[#This Row],[Тип]]="Верхний",315,0))</f>
        <v>315</v>
      </c>
      <c r="BV37" s="236">
        <v>1.08</v>
      </c>
      <c r="BW37" s="236">
        <v>1.0649999999999999</v>
      </c>
      <c r="BX37" s="235">
        <v>1.3</v>
      </c>
      <c r="BY37" s="133">
        <v>0</v>
      </c>
      <c r="BZ37" s="133">
        <v>0</v>
      </c>
      <c r="CA37" s="133" t="s">
        <v>71</v>
      </c>
      <c r="CB37" s="235" t="s">
        <v>469</v>
      </c>
      <c r="CC37" s="133">
        <v>0</v>
      </c>
      <c r="CD37" s="133" t="s">
        <v>10</v>
      </c>
      <c r="CE37" s="133">
        <v>2310</v>
      </c>
      <c r="CF37" s="133"/>
      <c r="CG37" s="133"/>
      <c r="CH37" s="133">
        <v>1</v>
      </c>
      <c r="CI37" s="133">
        <v>0</v>
      </c>
      <c r="CJ37" s="133">
        <v>0</v>
      </c>
      <c r="CK37" s="133"/>
      <c r="CL37" s="133"/>
      <c r="CM37" s="133"/>
      <c r="CN37" s="133"/>
      <c r="CO37" s="133" t="s">
        <v>71</v>
      </c>
      <c r="CP37" s="133">
        <f>IF(Прайс[[#This Row],[Наличие подсветки на нижнем горизонте]]="Нет",0,'комплекты фурнитуры'!$C$95)</f>
        <v>400</v>
      </c>
      <c r="CQ37" s="133"/>
      <c r="CR37" s="133"/>
      <c r="CS37" s="133"/>
      <c r="CT37" s="133"/>
      <c r="CU37" s="235">
        <f>Прайс[[#This Row],[Комплектация №2]]</f>
        <v>6080</v>
      </c>
    </row>
    <row r="38" spans="1:99" s="134" customFormat="1" ht="15" customHeight="1" x14ac:dyDescent="0.25">
      <c r="A38" s="285" t="s">
        <v>80</v>
      </c>
      <c r="B38" s="132" t="s">
        <v>7</v>
      </c>
      <c r="C38" s="132" t="s">
        <v>754</v>
      </c>
      <c r="D38" s="132" t="s">
        <v>73</v>
      </c>
      <c r="E38" s="132" t="s">
        <v>10</v>
      </c>
      <c r="F38" s="132" t="s">
        <v>99</v>
      </c>
      <c r="G38" s="286">
        <v>600</v>
      </c>
      <c r="H38" s="286">
        <v>800</v>
      </c>
      <c r="I38" s="286">
        <v>450</v>
      </c>
      <c r="J38" s="286">
        <v>600</v>
      </c>
      <c r="K38" s="286">
        <v>350</v>
      </c>
      <c r="L38" s="286">
        <v>500</v>
      </c>
      <c r="M38" s="132"/>
      <c r="N38" s="231"/>
      <c r="O38" s="232">
        <v>2340</v>
      </c>
      <c r="P38" s="232"/>
      <c r="Q38" s="232"/>
      <c r="R38" s="132"/>
      <c r="S38" s="132"/>
      <c r="T38" s="132"/>
      <c r="U38" s="132"/>
      <c r="V38" s="132"/>
      <c r="W38" s="132"/>
      <c r="X38" s="132"/>
      <c r="Y38" s="132">
        <f>'комплекты фурнитуры'!$C$13</f>
        <v>740</v>
      </c>
      <c r="Z38" s="132"/>
      <c r="AA38" s="132"/>
      <c r="AB38" s="132"/>
      <c r="AC38" s="132"/>
      <c r="AD38" s="132"/>
      <c r="AE38" s="132"/>
      <c r="AF38" s="132">
        <f>'комплекты фурнитуры'!$C$76</f>
        <v>210</v>
      </c>
      <c r="AG38" s="132">
        <f>'комплекты фурнитуры'!$C$77</f>
        <v>30</v>
      </c>
      <c r="AH38" s="233">
        <f>SUM(Прайс[[#This Row],[КФ НСТ11]:[KFPr-SB-ZPG]])</f>
        <v>980</v>
      </c>
      <c r="AI38" s="233"/>
      <c r="AJ38" s="132"/>
      <c r="AK38" s="132"/>
      <c r="AL38" s="132"/>
      <c r="AM38" s="233"/>
      <c r="AN38" s="233">
        <f>'комплекты фурнитуры'!$C$67</f>
        <v>130</v>
      </c>
      <c r="AO38" s="233"/>
      <c r="AP38" s="233"/>
      <c r="AQ38" s="233"/>
      <c r="AR38" s="233"/>
      <c r="AS38" s="233"/>
      <c r="AT38" s="233"/>
      <c r="AU38" s="233"/>
      <c r="AV38" s="233"/>
      <c r="AW38" s="233">
        <f>'комплекты фурнитуры'!$C$71</f>
        <v>6080</v>
      </c>
      <c r="AX38" s="233"/>
      <c r="AY38" s="233">
        <f>'комплекты фурнитуры'!$C$74</f>
        <v>2290</v>
      </c>
      <c r="AZ38" s="233"/>
      <c r="BA38" s="233"/>
      <c r="BB38" s="233"/>
      <c r="BC38" s="233"/>
      <c r="BD38" s="233"/>
      <c r="BE38" s="233"/>
      <c r="BF38" s="233"/>
      <c r="BG38" s="233"/>
      <c r="BH38" s="233"/>
      <c r="BI38" s="233"/>
      <c r="BJ38" s="233"/>
      <c r="BK38" s="233"/>
      <c r="BL38" s="233"/>
      <c r="BM38" s="233"/>
      <c r="BN38" s="233"/>
      <c r="BO38" s="233"/>
      <c r="BP38" s="234">
        <f>Прайс[[#This Row],[KFP-SP-PPGK]]</f>
        <v>6080</v>
      </c>
      <c r="BQ38" s="235">
        <f>Прайс[[#This Row],[KFP-SP-PPA]]+Прайс[[#This Row],[KFP-SB-N110]]*2</f>
        <v>2550</v>
      </c>
      <c r="BR38" s="235">
        <v>0</v>
      </c>
      <c r="BS38" s="133">
        <v>600</v>
      </c>
      <c r="BT38" s="133">
        <v>720</v>
      </c>
      <c r="BU38" s="133">
        <v>350</v>
      </c>
      <c r="BV38" s="236">
        <v>1.08</v>
      </c>
      <c r="BW38" s="236">
        <v>1.0649999999999999</v>
      </c>
      <c r="BX38" s="235">
        <v>1.03</v>
      </c>
      <c r="BY38" s="133">
        <v>0</v>
      </c>
      <c r="BZ38" s="133">
        <v>0</v>
      </c>
      <c r="CA38" s="133" t="s">
        <v>10</v>
      </c>
      <c r="CB38" s="235" t="s">
        <v>471</v>
      </c>
      <c r="CC38" s="133">
        <v>0</v>
      </c>
      <c r="CD38" s="133" t="s">
        <v>10</v>
      </c>
      <c r="CE38" s="133">
        <v>3280</v>
      </c>
      <c r="CF38" s="133"/>
      <c r="CG38" s="133"/>
      <c r="CH38" s="133">
        <v>1</v>
      </c>
      <c r="CI38" s="133">
        <v>0</v>
      </c>
      <c r="CJ38" s="133">
        <v>0</v>
      </c>
      <c r="CK38" s="133"/>
      <c r="CL38" s="133"/>
      <c r="CM38" s="133"/>
      <c r="CN38" s="133"/>
      <c r="CO38" s="133" t="s">
        <v>10</v>
      </c>
      <c r="CP38" s="133">
        <f>IF(Прайс[[#This Row],[Наличие подсветки на нижнем горизонте]]="Нет",0,'комплекты фурнитуры'!$C$95)</f>
        <v>0</v>
      </c>
      <c r="CQ38" s="133"/>
      <c r="CR38" s="133"/>
      <c r="CS38" s="133"/>
      <c r="CT38" s="133"/>
      <c r="CU38" s="235">
        <f>Прайс[[#This Row],[Комплектация №2]]</f>
        <v>6080</v>
      </c>
    </row>
    <row r="39" spans="1:99" s="134" customFormat="1" ht="15" customHeight="1" x14ac:dyDescent="0.25">
      <c r="A39" s="285" t="s">
        <v>81</v>
      </c>
      <c r="B39" s="132" t="s">
        <v>7</v>
      </c>
      <c r="C39" s="132" t="s">
        <v>755</v>
      </c>
      <c r="D39" s="132" t="s">
        <v>73</v>
      </c>
      <c r="E39" s="132" t="s">
        <v>10</v>
      </c>
      <c r="F39" s="132" t="s">
        <v>87</v>
      </c>
      <c r="G39" s="286">
        <v>360</v>
      </c>
      <c r="H39" s="286">
        <v>1250</v>
      </c>
      <c r="I39" s="286">
        <v>400</v>
      </c>
      <c r="J39" s="286">
        <v>900</v>
      </c>
      <c r="K39" s="286">
        <v>250</v>
      </c>
      <c r="L39" s="286">
        <v>560</v>
      </c>
      <c r="M39" s="132"/>
      <c r="N39" s="231"/>
      <c r="O39" s="232">
        <v>1780</v>
      </c>
      <c r="P39" s="232"/>
      <c r="Q39" s="232">
        <v>540</v>
      </c>
      <c r="R39" s="132"/>
      <c r="S39" s="132"/>
      <c r="T39" s="132"/>
      <c r="U39" s="132"/>
      <c r="V39" s="132"/>
      <c r="W39" s="132"/>
      <c r="X39" s="132"/>
      <c r="Y39" s="132"/>
      <c r="Z39" s="132"/>
      <c r="AA39" s="132"/>
      <c r="AB39" s="132"/>
      <c r="AC39" s="132"/>
      <c r="AD39" s="132"/>
      <c r="AE39" s="132"/>
      <c r="AF39" s="132">
        <f>'комплекты фурнитуры'!$C$76</f>
        <v>210</v>
      </c>
      <c r="AG39" s="132">
        <f>'комплекты фурнитуры'!$C$77</f>
        <v>30</v>
      </c>
      <c r="AH39" s="233">
        <f>SUM(Прайс[[#This Row],[КФ НСТ11]:[KFPr-SB-ZPG]])</f>
        <v>780</v>
      </c>
      <c r="AI39" s="233"/>
      <c r="AJ39" s="132"/>
      <c r="AK39" s="132"/>
      <c r="AL39" s="132"/>
      <c r="AM39" s="233">
        <f>'комплекты фурнитуры'!$C$66</f>
        <v>620</v>
      </c>
      <c r="AN39" s="233">
        <f>'комплекты фурнитуры'!$C$67</f>
        <v>130</v>
      </c>
      <c r="AO39" s="233"/>
      <c r="AP39" s="233"/>
      <c r="AQ39" s="233"/>
      <c r="AR39" s="233"/>
      <c r="AS39" s="233"/>
      <c r="AT39" s="233"/>
      <c r="AU39" s="233"/>
      <c r="AV39" s="233"/>
      <c r="AW39" s="233"/>
      <c r="AX39" s="233"/>
      <c r="AY39" s="233"/>
      <c r="AZ39" s="233"/>
      <c r="BA39" s="233"/>
      <c r="BB39" s="233"/>
      <c r="BC39" s="233"/>
      <c r="BD39" s="233"/>
      <c r="BE39" s="233"/>
      <c r="BF39" s="233"/>
      <c r="BG39" s="233"/>
      <c r="BH39" s="233"/>
      <c r="BI39" s="233"/>
      <c r="BJ39" s="233"/>
      <c r="BK39" s="233"/>
      <c r="BL39" s="233"/>
      <c r="BM39" s="233"/>
      <c r="BN39" s="233"/>
      <c r="BO39" s="233"/>
      <c r="BP39" s="234">
        <f>Прайс[[#This Row],[КФ петли SENS накл.110 гр. с крестообр. Планкой]]*4</f>
        <v>2480</v>
      </c>
      <c r="BQ39" s="235">
        <f>Прайс[[#This Row],[KFP-SB-N110]]*4</f>
        <v>520</v>
      </c>
      <c r="BR39" s="235">
        <f>Прайс[[#This Row],[KFP-SB-N110]]*4</f>
        <v>520</v>
      </c>
      <c r="BS39" s="133">
        <v>300</v>
      </c>
      <c r="BT39" s="133">
        <v>720</v>
      </c>
      <c r="BU39" s="133">
        <f>IF(OR(Прайс[[#This Row],[Тип]]="Нижний",Прайс[[#This Row],[Тип]]="Пенал"),"560",IF(Прайс[[#This Row],[Тип]]="Верхний",315,0))</f>
        <v>315</v>
      </c>
      <c r="BV39" s="236">
        <v>1.08</v>
      </c>
      <c r="BW39" s="236">
        <v>1.0649999999999999</v>
      </c>
      <c r="BX39" s="235">
        <v>1.3</v>
      </c>
      <c r="BY39" s="133">
        <v>0</v>
      </c>
      <c r="BZ39" s="133">
        <v>3</v>
      </c>
      <c r="CA39" s="133" t="s">
        <v>71</v>
      </c>
      <c r="CB39" s="235" t="s">
        <v>469</v>
      </c>
      <c r="CC39" s="133">
        <v>0</v>
      </c>
      <c r="CD39" s="133" t="s">
        <v>71</v>
      </c>
      <c r="CE39" s="133">
        <v>2310</v>
      </c>
      <c r="CF39" s="133"/>
      <c r="CG39" s="133"/>
      <c r="CH39" s="133">
        <v>2</v>
      </c>
      <c r="CI39" s="133">
        <v>0</v>
      </c>
      <c r="CJ39" s="133">
        <v>0</v>
      </c>
      <c r="CK39" s="133"/>
      <c r="CL39" s="133"/>
      <c r="CM39" s="133"/>
      <c r="CN39" s="133"/>
      <c r="CO39" s="133" t="s">
        <v>71</v>
      </c>
      <c r="CP39" s="133">
        <f>IF(Прайс[[#This Row],[Наличие подсветки на нижнем горизонте]]="Нет",0,'комплекты фурнитуры'!$C$95)</f>
        <v>400</v>
      </c>
      <c r="CQ39" s="133">
        <f>'комплекты фурнитуры'!$C$53</f>
        <v>340</v>
      </c>
      <c r="CR39" s="133"/>
      <c r="CS39" s="133"/>
      <c r="CT39" s="133"/>
      <c r="CU39" s="133">
        <f>Прайс[[#This Row],[КФ петли JET накл. 105 гр.]]*4</f>
        <v>1360</v>
      </c>
    </row>
    <row r="40" spans="1:99" s="134" customFormat="1" ht="15" customHeight="1" x14ac:dyDescent="0.25">
      <c r="A40" s="285" t="s">
        <v>28</v>
      </c>
      <c r="B40" s="132" t="s">
        <v>7</v>
      </c>
      <c r="C40" s="132" t="s">
        <v>756</v>
      </c>
      <c r="D40" s="132" t="s">
        <v>73</v>
      </c>
      <c r="E40" s="132" t="s">
        <v>10</v>
      </c>
      <c r="F40" s="132" t="s">
        <v>92</v>
      </c>
      <c r="G40" s="286">
        <v>720</v>
      </c>
      <c r="H40" s="286">
        <v>720</v>
      </c>
      <c r="I40" s="286">
        <v>400</v>
      </c>
      <c r="J40" s="286">
        <v>900</v>
      </c>
      <c r="K40" s="286">
        <v>300</v>
      </c>
      <c r="L40" s="286">
        <v>400</v>
      </c>
      <c r="M40" s="132"/>
      <c r="N40" s="231" t="s">
        <v>60</v>
      </c>
      <c r="O40" s="232">
        <v>1780</v>
      </c>
      <c r="P40" s="232"/>
      <c r="Q40" s="232"/>
      <c r="R40" s="132">
        <f>'комплекты фурнитуры'!$C$3</f>
        <v>550</v>
      </c>
      <c r="S40" s="132"/>
      <c r="T40" s="132"/>
      <c r="U40" s="132"/>
      <c r="V40" s="132"/>
      <c r="W40" s="132"/>
      <c r="X40" s="132"/>
      <c r="Y40" s="132"/>
      <c r="Z40" s="132"/>
      <c r="AA40" s="132"/>
      <c r="AB40" s="132"/>
      <c r="AC40" s="132"/>
      <c r="AD40" s="132"/>
      <c r="AE40" s="132"/>
      <c r="AF40" s="132">
        <f>'комплекты фурнитуры'!$C$76</f>
        <v>210</v>
      </c>
      <c r="AG40" s="132">
        <f>'комплекты фурнитуры'!$C$77</f>
        <v>30</v>
      </c>
      <c r="AH40" s="233">
        <f>SUM(Прайс[[#This Row],[КФ НСТ11]:[KFPr-SB-ZPG]])</f>
        <v>790</v>
      </c>
      <c r="AI40" s="233"/>
      <c r="AJ40" s="132"/>
      <c r="AK40" s="132"/>
      <c r="AL40" s="132"/>
      <c r="AM40" s="233"/>
      <c r="AN40" s="233"/>
      <c r="AO40" s="233"/>
      <c r="AP40" s="233"/>
      <c r="AQ40" s="233"/>
      <c r="AR40" s="233"/>
      <c r="AS40" s="233"/>
      <c r="AT40" s="233"/>
      <c r="AU40" s="233"/>
      <c r="AV40" s="233"/>
      <c r="AW40" s="233"/>
      <c r="AX40" s="233"/>
      <c r="AY40" s="233"/>
      <c r="AZ40" s="233">
        <f>'комплекты фурнитуры'!$C$73</f>
        <v>13990</v>
      </c>
      <c r="BA40" s="233"/>
      <c r="BB40" s="233"/>
      <c r="BC40" s="233"/>
      <c r="BD40" s="233"/>
      <c r="BE40" s="233"/>
      <c r="BF40" s="233"/>
      <c r="BG40" s="233"/>
      <c r="BH40" s="233"/>
      <c r="BI40" s="233"/>
      <c r="BJ40" s="233"/>
      <c r="BK40" s="233"/>
      <c r="BL40" s="233"/>
      <c r="BM40" s="233"/>
      <c r="BN40" s="233"/>
      <c r="BO40" s="233"/>
      <c r="BP40" s="234">
        <f>Прайс[[#This Row],[KFP-SB-PPHF_W]]</f>
        <v>13990</v>
      </c>
      <c r="BQ40" s="234">
        <f>Прайс[[#This Row],[KFP-SB-PPHF_W]]</f>
        <v>13990</v>
      </c>
      <c r="BR40" s="234">
        <f>Прайс[[#This Row],[KFP-SB-PPHF_W]]</f>
        <v>13990</v>
      </c>
      <c r="BS40" s="133">
        <v>300</v>
      </c>
      <c r="BT40" s="133">
        <v>720</v>
      </c>
      <c r="BU40" s="133">
        <f>IF(OR(Прайс[[#This Row],[Тип]]="Нижний",Прайс[[#This Row],[Тип]]="Пенал"),"560",IF(Прайс[[#This Row],[Тип]]="Верхний",315,0))</f>
        <v>315</v>
      </c>
      <c r="BV40" s="236">
        <v>1.08</v>
      </c>
      <c r="BW40" s="236">
        <v>1.0649999999999999</v>
      </c>
      <c r="BX40" s="235">
        <v>1.3</v>
      </c>
      <c r="BY40" s="133">
        <v>1</v>
      </c>
      <c r="BZ40" s="133">
        <v>1</v>
      </c>
      <c r="CA40" s="133" t="s">
        <v>10</v>
      </c>
      <c r="CB40" s="235" t="s">
        <v>470</v>
      </c>
      <c r="CC40" s="133">
        <v>1</v>
      </c>
      <c r="CD40" s="133" t="s">
        <v>71</v>
      </c>
      <c r="CE40" s="133">
        <v>2310</v>
      </c>
      <c r="CF40" s="133"/>
      <c r="CG40" s="133"/>
      <c r="CH40" s="133">
        <v>2</v>
      </c>
      <c r="CI40" s="133">
        <v>0</v>
      </c>
      <c r="CJ40" s="133">
        <v>0</v>
      </c>
      <c r="CK40" s="133"/>
      <c r="CL40" s="133"/>
      <c r="CM40" s="133"/>
      <c r="CN40" s="133"/>
      <c r="CO40" s="133" t="s">
        <v>71</v>
      </c>
      <c r="CP40" s="133">
        <f>IF(Прайс[[#This Row],[Наличие подсветки на нижнем горизонте]]="Нет",0,'комплекты фурнитуры'!$C$95)</f>
        <v>400</v>
      </c>
      <c r="CQ40" s="133"/>
      <c r="CR40" s="133"/>
      <c r="CS40" s="133"/>
      <c r="CT40" s="133"/>
      <c r="CU40" s="235">
        <f>Прайс[[#This Row],[Комплектация №2]]</f>
        <v>13990</v>
      </c>
    </row>
    <row r="41" spans="1:99" s="323" customFormat="1" ht="15" customHeight="1" x14ac:dyDescent="0.25">
      <c r="A41" s="328" t="s">
        <v>467</v>
      </c>
      <c r="B41" s="313" t="s">
        <v>7</v>
      </c>
      <c r="C41" s="313" t="s">
        <v>757</v>
      </c>
      <c r="D41" s="313" t="s">
        <v>69</v>
      </c>
      <c r="E41" s="313" t="s">
        <v>10</v>
      </c>
      <c r="F41" s="313" t="s">
        <v>87</v>
      </c>
      <c r="G41" s="314">
        <v>360</v>
      </c>
      <c r="H41" s="314">
        <v>1250</v>
      </c>
      <c r="I41" s="314">
        <v>595</v>
      </c>
      <c r="J41" s="314">
        <v>1000</v>
      </c>
      <c r="K41" s="314">
        <v>315</v>
      </c>
      <c r="L41" s="314">
        <v>560</v>
      </c>
      <c r="M41" s="313"/>
      <c r="N41" s="315"/>
      <c r="O41" s="316">
        <v>2960</v>
      </c>
      <c r="P41" s="316"/>
      <c r="Q41" s="316"/>
      <c r="R41" s="313"/>
      <c r="S41" s="313"/>
      <c r="T41" s="313"/>
      <c r="U41" s="313"/>
      <c r="V41" s="313"/>
      <c r="W41" s="313"/>
      <c r="X41" s="313"/>
      <c r="Y41" s="313"/>
      <c r="Z41" s="313"/>
      <c r="AA41" s="313">
        <f>'комплекты фурнитуры'!$C$15</f>
        <v>1130</v>
      </c>
      <c r="AB41" s="313"/>
      <c r="AC41" s="313"/>
      <c r="AD41" s="313"/>
      <c r="AE41" s="313"/>
      <c r="AF41" s="313">
        <f>'комплекты фурнитуры'!$C$76</f>
        <v>210</v>
      </c>
      <c r="AG41" s="313">
        <f>'комплекты фурнитуры'!$C$77</f>
        <v>30</v>
      </c>
      <c r="AH41" s="317">
        <f>SUM(Прайс[[#This Row],[КФ НСТ11]:[KFPr-SB-ZPG]])</f>
        <v>1370</v>
      </c>
      <c r="AI41" s="317"/>
      <c r="AJ41" s="313">
        <f>'комплекты фурнитуры'!$C$82</f>
        <v>30</v>
      </c>
      <c r="AK41" s="313">
        <f>'комплекты фурнитуры'!$C$94</f>
        <v>20</v>
      </c>
      <c r="AL41" s="313"/>
      <c r="AM41" s="317"/>
      <c r="AN41" s="317"/>
      <c r="AO41" s="317">
        <f>'комплекты фурнитуры'!$C$60</f>
        <v>1300</v>
      </c>
      <c r="AP41" s="317">
        <f>'комплекты фурнитуры'!$C$62</f>
        <v>480</v>
      </c>
      <c r="AQ41" s="317"/>
      <c r="AR41" s="317"/>
      <c r="AS41" s="317"/>
      <c r="AT41" s="317"/>
      <c r="AU41" s="317"/>
      <c r="AV41" s="317"/>
      <c r="AW41" s="317"/>
      <c r="AX41" s="317"/>
      <c r="AY41" s="317"/>
      <c r="AZ41" s="317"/>
      <c r="BA41" s="317"/>
      <c r="BB41" s="317"/>
      <c r="BC41" s="317"/>
      <c r="BD41" s="317"/>
      <c r="BE41" s="317"/>
      <c r="BF41" s="317"/>
      <c r="BG41" s="317"/>
      <c r="BH41" s="317"/>
      <c r="BI41" s="317"/>
      <c r="BJ41" s="317"/>
      <c r="BK41" s="317"/>
      <c r="BL41" s="317"/>
      <c r="BM41" s="317"/>
      <c r="BN41" s="317"/>
      <c r="BO41" s="317"/>
      <c r="BP41" s="318">
        <f>Прайс[[#This Row],[KFPr-SB-SPL]]+Прайс[[#This Row],[KFPr-SB-SMRZ_16мм]]+Прайс[[#This Row],[КФ петли вклад. 95 гр. с крестообр. планкой]]*2</f>
        <v>2650</v>
      </c>
      <c r="BQ41" s="319">
        <f>Прайс[[#This Row],[KFPr-SB-SPL]]+Прайс[[#This Row],[KFPr-SB-SMRZ_16мм]]+Прайс[[#This Row],[KFP-SB-PY94]]*2</f>
        <v>1010</v>
      </c>
      <c r="BR41" s="319">
        <f>Прайс[[#This Row],[KFPr-SB-SPL]]+Прайс[[#This Row],[KFPr-SB-SMRZ_16мм]]+Прайс[[#This Row],[KFP-SB-PY94]]*2</f>
        <v>1010</v>
      </c>
      <c r="BS41" s="321">
        <v>600</v>
      </c>
      <c r="BT41" s="321">
        <v>720</v>
      </c>
      <c r="BU41" s="321">
        <v>560</v>
      </c>
      <c r="BV41" s="322">
        <v>1.08</v>
      </c>
      <c r="BW41" s="322">
        <v>1.0649999999999999</v>
      </c>
      <c r="BX41" s="319">
        <v>0</v>
      </c>
      <c r="BY41" s="321">
        <v>0</v>
      </c>
      <c r="BZ41" s="321">
        <v>2</v>
      </c>
      <c r="CA41" s="321" t="s">
        <v>71</v>
      </c>
      <c r="CB41" s="319" t="s">
        <v>469</v>
      </c>
      <c r="CC41" s="321">
        <v>1</v>
      </c>
      <c r="CD41" s="321" t="s">
        <v>71</v>
      </c>
      <c r="CE41" s="321">
        <v>3880</v>
      </c>
      <c r="CF41" s="321"/>
      <c r="CG41" s="321"/>
      <c r="CH41" s="321">
        <v>1</v>
      </c>
      <c r="CI41" s="321">
        <v>0</v>
      </c>
      <c r="CJ41" s="321">
        <v>0</v>
      </c>
      <c r="CK41" s="321"/>
      <c r="CL41" s="321"/>
      <c r="CM41" s="321"/>
      <c r="CN41" s="321"/>
      <c r="CO41" s="321" t="s">
        <v>71</v>
      </c>
      <c r="CP41" s="321">
        <f>IF(Прайс[[#This Row],[Наличие подсветки на нижнем горизонте]]="Нет",0,'комплекты фурнитуры'!$C$95)</f>
        <v>400</v>
      </c>
      <c r="CQ41" s="321"/>
      <c r="CR41" s="321">
        <f>'комплекты фурнитуры'!$C$54</f>
        <v>790</v>
      </c>
      <c r="CS41" s="321"/>
      <c r="CT41" s="321"/>
      <c r="CU41" s="321">
        <f>Прайс[[#This Row],[КФ петли JET угловая 180 гр.]]*2</f>
        <v>1580</v>
      </c>
    </row>
    <row r="42" spans="1:99" s="134" customFormat="1" ht="15" customHeight="1" x14ac:dyDescent="0.25">
      <c r="A42" s="297" t="s">
        <v>29</v>
      </c>
      <c r="B42" s="132" t="s">
        <v>7</v>
      </c>
      <c r="C42" s="132" t="s">
        <v>758</v>
      </c>
      <c r="D42" s="132" t="s">
        <v>73</v>
      </c>
      <c r="E42" s="132" t="s">
        <v>10</v>
      </c>
      <c r="F42" s="132" t="s">
        <v>93</v>
      </c>
      <c r="G42" s="286">
        <v>440</v>
      </c>
      <c r="H42" s="286">
        <v>1210</v>
      </c>
      <c r="I42" s="286">
        <v>500</v>
      </c>
      <c r="J42" s="286">
        <v>600</v>
      </c>
      <c r="K42" s="286">
        <v>300</v>
      </c>
      <c r="L42" s="286">
        <v>400</v>
      </c>
      <c r="M42" s="132"/>
      <c r="N42" s="231"/>
      <c r="O42" s="232">
        <v>2860</v>
      </c>
      <c r="P42" s="232"/>
      <c r="Q42" s="232"/>
      <c r="R42" s="132"/>
      <c r="S42" s="132"/>
      <c r="T42" s="132"/>
      <c r="U42" s="132"/>
      <c r="V42" s="132"/>
      <c r="W42" s="132"/>
      <c r="X42" s="132"/>
      <c r="Y42" s="132"/>
      <c r="Z42" s="132"/>
      <c r="AA42" s="132"/>
      <c r="AB42" s="132"/>
      <c r="AC42" s="132">
        <f>'комплекты фурнитуры'!$C$17</f>
        <v>760</v>
      </c>
      <c r="AD42" s="132"/>
      <c r="AE42" s="132"/>
      <c r="AF42" s="132">
        <f>'комплекты фурнитуры'!$C$76</f>
        <v>210</v>
      </c>
      <c r="AG42" s="132">
        <f>'комплекты фурнитуры'!$C$77</f>
        <v>30</v>
      </c>
      <c r="AH42" s="233">
        <f>SUM(Прайс[[#This Row],[КФ НСТ11]:[KFPr-SB-ZPG]])</f>
        <v>1000</v>
      </c>
      <c r="AI42" s="233"/>
      <c r="AJ42" s="132"/>
      <c r="AK42" s="132"/>
      <c r="AL42" s="132"/>
      <c r="AM42" s="233">
        <f>'комплекты фурнитуры'!$C$66</f>
        <v>620</v>
      </c>
      <c r="AN42" s="233">
        <f>'комплекты фурнитуры'!$C$67</f>
        <v>130</v>
      </c>
      <c r="AO42" s="233"/>
      <c r="AP42" s="233"/>
      <c r="AQ42" s="233"/>
      <c r="AR42" s="233"/>
      <c r="AS42" s="233"/>
      <c r="AT42" s="233"/>
      <c r="AU42" s="233"/>
      <c r="AV42" s="233"/>
      <c r="AW42" s="233"/>
      <c r="AX42" s="233"/>
      <c r="AY42" s="233"/>
      <c r="AZ42" s="233"/>
      <c r="BA42" s="233"/>
      <c r="BB42" s="233"/>
      <c r="BC42" s="233"/>
      <c r="BD42" s="233"/>
      <c r="BE42" s="233"/>
      <c r="BF42" s="233"/>
      <c r="BG42" s="233"/>
      <c r="BH42" s="233"/>
      <c r="BI42" s="233"/>
      <c r="BJ42" s="233"/>
      <c r="BK42" s="233"/>
      <c r="BL42" s="233"/>
      <c r="BM42" s="233"/>
      <c r="BN42" s="233"/>
      <c r="BO42" s="233"/>
      <c r="BP42" s="234">
        <f>Прайс[[#This Row],[КФ петли SENS накл.110 гр. с крестообр. Планкой]]*2</f>
        <v>1240</v>
      </c>
      <c r="BQ42" s="235">
        <f>Прайс[[#This Row],[KFP-SB-N110]]*2</f>
        <v>260</v>
      </c>
      <c r="BR42" s="235">
        <f>Прайс[[#This Row],[KFP-SB-N110]]*2</f>
        <v>260</v>
      </c>
      <c r="BS42" s="133">
        <v>500</v>
      </c>
      <c r="BT42" s="133">
        <v>680</v>
      </c>
      <c r="BU42" s="133">
        <f>IF(OR(Прайс[[#This Row],[Тип]]="Нижний",Прайс[[#This Row],[Тип]]="Пенал"),"560",IF(Прайс[[#This Row],[Тип]]="Верхний",315,0))</f>
        <v>315</v>
      </c>
      <c r="BV42" s="236">
        <v>1.095</v>
      </c>
      <c r="BW42" s="236">
        <v>1.0649999999999999</v>
      </c>
      <c r="BX42" s="235">
        <v>1.3</v>
      </c>
      <c r="BY42" s="133">
        <v>1</v>
      </c>
      <c r="BZ42" s="133">
        <v>2</v>
      </c>
      <c r="CA42" s="133" t="s">
        <v>71</v>
      </c>
      <c r="CB42" s="235" t="s">
        <v>469</v>
      </c>
      <c r="CC42" s="133">
        <v>1</v>
      </c>
      <c r="CD42" s="133" t="s">
        <v>10</v>
      </c>
      <c r="CE42" s="133">
        <v>3920</v>
      </c>
      <c r="CF42" s="133"/>
      <c r="CG42" s="133"/>
      <c r="CH42" s="133">
        <v>1</v>
      </c>
      <c r="CI42" s="133">
        <v>0</v>
      </c>
      <c r="CJ42" s="133">
        <v>0</v>
      </c>
      <c r="CK42" s="133"/>
      <c r="CL42" s="133"/>
      <c r="CM42" s="133"/>
      <c r="CN42" s="133"/>
      <c r="CO42" s="133" t="s">
        <v>10</v>
      </c>
      <c r="CP42" s="133">
        <f>IF(Прайс[[#This Row],[Наличие подсветки на нижнем горизонте]]="Нет",0,'комплекты фурнитуры'!$C$95)</f>
        <v>0</v>
      </c>
      <c r="CQ42" s="133">
        <f>'комплекты фурнитуры'!$C$53</f>
        <v>340</v>
      </c>
      <c r="CR42" s="133"/>
      <c r="CS42" s="133"/>
      <c r="CT42" s="133"/>
      <c r="CU42" s="133">
        <f>Прайс[[#This Row],[КФ петли JET накл. 105 гр.]]*2</f>
        <v>680</v>
      </c>
    </row>
    <row r="43" spans="1:99" s="134" customFormat="1" ht="15" customHeight="1" x14ac:dyDescent="0.25">
      <c r="A43" s="297" t="s">
        <v>30</v>
      </c>
      <c r="B43" s="132" t="s">
        <v>7</v>
      </c>
      <c r="C43" s="132" t="s">
        <v>759</v>
      </c>
      <c r="D43" s="132" t="s">
        <v>73</v>
      </c>
      <c r="E43" s="132" t="s">
        <v>10</v>
      </c>
      <c r="F43" s="132" t="s">
        <v>93</v>
      </c>
      <c r="G43" s="286">
        <v>440</v>
      </c>
      <c r="H43" s="286">
        <v>1210</v>
      </c>
      <c r="I43" s="286">
        <v>600</v>
      </c>
      <c r="J43" s="286">
        <v>900</v>
      </c>
      <c r="K43" s="286">
        <v>300</v>
      </c>
      <c r="L43" s="286">
        <v>400</v>
      </c>
      <c r="M43" s="132"/>
      <c r="N43" s="231"/>
      <c r="O43" s="232">
        <v>2860</v>
      </c>
      <c r="P43" s="232"/>
      <c r="Q43" s="232"/>
      <c r="R43" s="132"/>
      <c r="S43" s="132"/>
      <c r="T43" s="132"/>
      <c r="U43" s="132"/>
      <c r="V43" s="132"/>
      <c r="W43" s="132"/>
      <c r="X43" s="132"/>
      <c r="Y43" s="132"/>
      <c r="Z43" s="132"/>
      <c r="AA43" s="132"/>
      <c r="AB43" s="132"/>
      <c r="AC43" s="132">
        <f>'комплекты фурнитуры'!$C$17</f>
        <v>760</v>
      </c>
      <c r="AD43" s="132"/>
      <c r="AE43" s="132"/>
      <c r="AF43" s="132">
        <f>'комплекты фурнитуры'!$C$76</f>
        <v>210</v>
      </c>
      <c r="AG43" s="132">
        <f>'комплекты фурнитуры'!$C$77</f>
        <v>30</v>
      </c>
      <c r="AH43" s="233">
        <f>SUM(Прайс[[#This Row],[КФ НСТ11]:[KFPr-SB-ZPG]])</f>
        <v>1000</v>
      </c>
      <c r="AI43" s="233"/>
      <c r="AJ43" s="132"/>
      <c r="AK43" s="132"/>
      <c r="AL43" s="132"/>
      <c r="AM43" s="233">
        <f>'комплекты фурнитуры'!$C$66</f>
        <v>620</v>
      </c>
      <c r="AN43" s="233">
        <f>'комплекты фурнитуры'!$C$67</f>
        <v>130</v>
      </c>
      <c r="AO43" s="233"/>
      <c r="AP43" s="233"/>
      <c r="AQ43" s="233"/>
      <c r="AR43" s="233"/>
      <c r="AS43" s="233"/>
      <c r="AT43" s="233"/>
      <c r="AU43" s="233"/>
      <c r="AV43" s="233"/>
      <c r="AW43" s="233"/>
      <c r="AX43" s="233"/>
      <c r="AY43" s="233"/>
      <c r="AZ43" s="233"/>
      <c r="BA43" s="233"/>
      <c r="BB43" s="233"/>
      <c r="BC43" s="233"/>
      <c r="BD43" s="233"/>
      <c r="BE43" s="233"/>
      <c r="BF43" s="233"/>
      <c r="BG43" s="233"/>
      <c r="BH43" s="233"/>
      <c r="BI43" s="233"/>
      <c r="BJ43" s="233"/>
      <c r="BK43" s="233"/>
      <c r="BL43" s="233"/>
      <c r="BM43" s="233"/>
      <c r="BN43" s="233"/>
      <c r="BO43" s="233"/>
      <c r="BP43" s="234">
        <f>Прайс[[#This Row],[КФ петли SENS накл.110 гр. с крестообр. Планкой]]*4</f>
        <v>2480</v>
      </c>
      <c r="BQ43" s="235">
        <f>Прайс[[#This Row],[KFP-SB-N110]]*4</f>
        <v>520</v>
      </c>
      <c r="BR43" s="235">
        <f>Прайс[[#This Row],[KFP-SB-N110]]*4</f>
        <v>520</v>
      </c>
      <c r="BS43" s="133">
        <v>500</v>
      </c>
      <c r="BT43" s="133">
        <v>680</v>
      </c>
      <c r="BU43" s="133">
        <f>IF(OR(Прайс[[#This Row],[Тип]]="Нижний",Прайс[[#This Row],[Тип]]="Пенал"),"560",IF(Прайс[[#This Row],[Тип]]="Верхний",315,0))</f>
        <v>315</v>
      </c>
      <c r="BV43" s="236">
        <v>1.095</v>
      </c>
      <c r="BW43" s="236">
        <v>1.0649999999999999</v>
      </c>
      <c r="BX43" s="235">
        <v>1.3</v>
      </c>
      <c r="BY43" s="133">
        <v>1</v>
      </c>
      <c r="BZ43" s="133">
        <v>2</v>
      </c>
      <c r="CA43" s="133" t="s">
        <v>71</v>
      </c>
      <c r="CB43" s="235" t="s">
        <v>469</v>
      </c>
      <c r="CC43" s="133">
        <v>1</v>
      </c>
      <c r="CD43" s="133" t="s">
        <v>10</v>
      </c>
      <c r="CE43" s="133">
        <v>3920</v>
      </c>
      <c r="CF43" s="133"/>
      <c r="CG43" s="133"/>
      <c r="CH43" s="133">
        <v>2</v>
      </c>
      <c r="CI43" s="133">
        <v>0</v>
      </c>
      <c r="CJ43" s="133">
        <v>0</v>
      </c>
      <c r="CK43" s="133"/>
      <c r="CL43" s="133"/>
      <c r="CM43" s="133"/>
      <c r="CN43" s="133"/>
      <c r="CO43" s="133" t="s">
        <v>10</v>
      </c>
      <c r="CP43" s="133">
        <f>IF(Прайс[[#This Row],[Наличие подсветки на нижнем горизонте]]="Нет",0,'комплекты фурнитуры'!$C$95)</f>
        <v>0</v>
      </c>
      <c r="CQ43" s="133">
        <f>'комплекты фурнитуры'!$C$53</f>
        <v>340</v>
      </c>
      <c r="CR43" s="133"/>
      <c r="CS43" s="133"/>
      <c r="CT43" s="133"/>
      <c r="CU43" s="133">
        <f>Прайс[[#This Row],[КФ петли JET накл. 105 гр.]]*4</f>
        <v>1360</v>
      </c>
    </row>
    <row r="44" spans="1:99" s="134" customFormat="1" ht="15" customHeight="1" x14ac:dyDescent="0.25">
      <c r="A44" s="285" t="s">
        <v>31</v>
      </c>
      <c r="B44" s="132" t="s">
        <v>7</v>
      </c>
      <c r="C44" s="132" t="s">
        <v>760</v>
      </c>
      <c r="D44" s="132" t="s">
        <v>74</v>
      </c>
      <c r="E44" s="132" t="s">
        <v>10</v>
      </c>
      <c r="F44" s="132" t="s">
        <v>87</v>
      </c>
      <c r="G44" s="286">
        <v>360</v>
      </c>
      <c r="H44" s="286">
        <v>1250</v>
      </c>
      <c r="I44" s="286">
        <v>600</v>
      </c>
      <c r="J44" s="286">
        <v>600</v>
      </c>
      <c r="K44" s="286">
        <v>600</v>
      </c>
      <c r="L44" s="286">
        <v>600</v>
      </c>
      <c r="M44" s="132"/>
      <c r="N44" s="231" t="s">
        <v>53</v>
      </c>
      <c r="O44" s="232">
        <v>2820</v>
      </c>
      <c r="P44" s="232"/>
      <c r="Q44" s="232"/>
      <c r="R44" s="132"/>
      <c r="S44" s="132"/>
      <c r="T44" s="132"/>
      <c r="U44" s="132"/>
      <c r="V44" s="132"/>
      <c r="W44" s="132"/>
      <c r="X44" s="132"/>
      <c r="Y44" s="132">
        <f>'комплекты фурнитуры'!$C$13</f>
        <v>740</v>
      </c>
      <c r="Z44" s="132"/>
      <c r="AA44" s="132"/>
      <c r="AB44" s="132"/>
      <c r="AC44" s="132"/>
      <c r="AD44" s="132"/>
      <c r="AE44" s="132"/>
      <c r="AF44" s="132">
        <f>'комплекты фурнитуры'!$C$76</f>
        <v>210</v>
      </c>
      <c r="AG44" s="132">
        <f>'комплекты фурнитуры'!$C$77</f>
        <v>30</v>
      </c>
      <c r="AH44" s="233">
        <f>SUM(Прайс[[#This Row],[КФ НСТ11]:[KFPr-SB-ZPG]])</f>
        <v>980</v>
      </c>
      <c r="AI44" s="233"/>
      <c r="AJ44" s="132"/>
      <c r="AK44" s="132"/>
      <c r="AL44" s="132"/>
      <c r="AM44" s="233"/>
      <c r="AN44" s="233"/>
      <c r="AO44" s="233"/>
      <c r="AP44" s="233"/>
      <c r="AQ44" s="233">
        <f>'комплекты фурнитуры'!$C$58</f>
        <v>1560</v>
      </c>
      <c r="AR44" s="233">
        <f>'комплекты фурнитуры'!$C$59</f>
        <v>190</v>
      </c>
      <c r="AS44" s="233"/>
      <c r="AT44" s="233"/>
      <c r="AU44" s="233"/>
      <c r="AV44" s="233"/>
      <c r="AW44" s="233"/>
      <c r="AX44" s="233"/>
      <c r="AY44" s="233"/>
      <c r="AZ44" s="233"/>
      <c r="BA44" s="233"/>
      <c r="BB44" s="233"/>
      <c r="BC44" s="233"/>
      <c r="BD44" s="233"/>
      <c r="BE44" s="233"/>
      <c r="BF44" s="233"/>
      <c r="BG44" s="233"/>
      <c r="BH44" s="233"/>
      <c r="BI44" s="233"/>
      <c r="BJ44" s="233"/>
      <c r="BK44" s="233"/>
      <c r="BL44" s="233"/>
      <c r="BM44" s="233"/>
      <c r="BN44" s="233"/>
      <c r="BO44" s="233"/>
      <c r="BP44" s="234">
        <f>Прайс[[#This Row],[КKFP-SB-GT45]]*2</f>
        <v>3120</v>
      </c>
      <c r="BQ44" s="235">
        <f>Прайс[[#This Row],[KFP-SB-N45]]*2</f>
        <v>380</v>
      </c>
      <c r="BR44" s="235">
        <f>Прайс[[#This Row],[KFP-SB-N45]]*2</f>
        <v>380</v>
      </c>
      <c r="BS44" s="133">
        <v>600</v>
      </c>
      <c r="BT44" s="133">
        <v>720</v>
      </c>
      <c r="BU44" s="133">
        <v>600</v>
      </c>
      <c r="BV44" s="236">
        <v>1.08</v>
      </c>
      <c r="BW44" s="236">
        <v>1.0649999999999999</v>
      </c>
      <c r="BX44" s="235">
        <v>0</v>
      </c>
      <c r="BY44" s="133">
        <v>0</v>
      </c>
      <c r="BZ44" s="133">
        <v>3</v>
      </c>
      <c r="CA44" s="133" t="s">
        <v>71</v>
      </c>
      <c r="CB44" s="235" t="s">
        <v>469</v>
      </c>
      <c r="CC44" s="133">
        <v>1</v>
      </c>
      <c r="CD44" s="133" t="s">
        <v>10</v>
      </c>
      <c r="CE44" s="133">
        <v>3800</v>
      </c>
      <c r="CF44" s="133"/>
      <c r="CG44" s="133"/>
      <c r="CH44" s="133">
        <v>1</v>
      </c>
      <c r="CI44" s="133">
        <v>0</v>
      </c>
      <c r="CJ44" s="133">
        <v>0</v>
      </c>
      <c r="CK44" s="133"/>
      <c r="CL44" s="133"/>
      <c r="CM44" s="133"/>
      <c r="CN44" s="133"/>
      <c r="CO44" s="133" t="s">
        <v>10</v>
      </c>
      <c r="CP44" s="133">
        <f>IF(Прайс[[#This Row],[Наличие подсветки на нижнем горизонте]]="Нет",0,'комплекты фурнитуры'!$C$95)</f>
        <v>0</v>
      </c>
      <c r="CQ44" s="133"/>
      <c r="CR44" s="133"/>
      <c r="CS44" s="133"/>
      <c r="CT44" s="133"/>
      <c r="CU44" s="235">
        <f>Прайс[[#This Row],[Комплектация №2]]</f>
        <v>3120</v>
      </c>
    </row>
    <row r="45" spans="1:99" s="134" customFormat="1" ht="15" customHeight="1" x14ac:dyDescent="0.25">
      <c r="A45" s="285" t="s">
        <v>391</v>
      </c>
      <c r="B45" s="132" t="s">
        <v>7</v>
      </c>
      <c r="C45" s="132" t="s">
        <v>761</v>
      </c>
      <c r="D45" s="132" t="s">
        <v>73</v>
      </c>
      <c r="E45" s="132" t="s">
        <v>10</v>
      </c>
      <c r="F45" s="132" t="s">
        <v>94</v>
      </c>
      <c r="G45" s="286">
        <v>601</v>
      </c>
      <c r="H45" s="286">
        <v>1250</v>
      </c>
      <c r="I45" s="286">
        <v>450</v>
      </c>
      <c r="J45" s="286">
        <v>450</v>
      </c>
      <c r="K45" s="286">
        <v>315</v>
      </c>
      <c r="L45" s="286">
        <v>350</v>
      </c>
      <c r="M45" s="132"/>
      <c r="N45" s="231" t="s">
        <v>62</v>
      </c>
      <c r="O45" s="232">
        <v>1710</v>
      </c>
      <c r="P45" s="232"/>
      <c r="Q45" s="232"/>
      <c r="R45" s="132"/>
      <c r="S45" s="132"/>
      <c r="T45" s="132"/>
      <c r="U45" s="132"/>
      <c r="V45" s="132"/>
      <c r="W45" s="132"/>
      <c r="X45" s="132"/>
      <c r="Y45" s="132"/>
      <c r="Z45" s="132"/>
      <c r="AA45" s="132"/>
      <c r="AB45" s="132">
        <f>'комплекты фурнитуры'!$C$16</f>
        <v>340</v>
      </c>
      <c r="AC45" s="132"/>
      <c r="AD45" s="132"/>
      <c r="AE45" s="132"/>
      <c r="AF45" s="132">
        <f>'комплекты фурнитуры'!$C$76</f>
        <v>210</v>
      </c>
      <c r="AG45" s="132">
        <f>'комплекты фурнитуры'!$C$77</f>
        <v>30</v>
      </c>
      <c r="AH45" s="233">
        <f>SUM(Прайс[[#This Row],[КФ НСТ11]:[KFPr-SB-ZPG]])</f>
        <v>580</v>
      </c>
      <c r="AI45" s="233"/>
      <c r="AJ45" s="132"/>
      <c r="AK45" s="132"/>
      <c r="AL45" s="132"/>
      <c r="AM45" s="233">
        <f>'комплекты фурнитуры'!$C$66</f>
        <v>620</v>
      </c>
      <c r="AN45" s="233">
        <f>'комплекты фурнитуры'!$C$67</f>
        <v>130</v>
      </c>
      <c r="AO45" s="233"/>
      <c r="AP45" s="233"/>
      <c r="AQ45" s="233"/>
      <c r="AR45" s="233"/>
      <c r="AS45" s="233">
        <f>'комплекты фурнитуры'!$C$41</f>
        <v>1600</v>
      </c>
      <c r="AT45" s="233"/>
      <c r="AU45" s="233"/>
      <c r="AV45" s="233"/>
      <c r="AW45" s="233"/>
      <c r="AX45" s="233"/>
      <c r="AY45" s="233"/>
      <c r="AZ45" s="233"/>
      <c r="BA45" s="233"/>
      <c r="BB45" s="233"/>
      <c r="BC45" s="233"/>
      <c r="BD45" s="233"/>
      <c r="BE45" s="233"/>
      <c r="BF45" s="233"/>
      <c r="BG45" s="233"/>
      <c r="BH45" s="233"/>
      <c r="BI45" s="233"/>
      <c r="BJ45" s="233"/>
      <c r="BK45" s="233"/>
      <c r="BL45" s="233"/>
      <c r="BM45" s="233"/>
      <c r="BN45" s="233"/>
      <c r="BO45" s="233"/>
      <c r="BP45" s="234">
        <f>Прайс[[#This Row],[КФ петли SENS накл.110 гр. с крестообр. Планкой]]*2+Прайс[[#This Row],[KFS-SB-45 (посудосушители)]]</f>
        <v>2840</v>
      </c>
      <c r="BQ45" s="235">
        <f>Прайс[[#This Row],[KFP-SB-N110]]*2+Прайс[[#This Row],[KFS-SB-45 (посудосушители)]]</f>
        <v>1860</v>
      </c>
      <c r="BR45" s="235">
        <f>Прайс[[#This Row],[KFP-SB-N110]]*2+Прайс[[#This Row],[KFS-SB-45 (посудосушители)]]</f>
        <v>1860</v>
      </c>
      <c r="BS45" s="133">
        <v>450</v>
      </c>
      <c r="BT45" s="133">
        <v>720</v>
      </c>
      <c r="BU45" s="133">
        <f>IF(OR(Прайс[[#This Row],[Тип]]="Нижний",Прайс[[#This Row],[Тип]]="Пенал"),"560",IF(Прайс[[#This Row],[Тип]]="Верхний",315,0))</f>
        <v>315</v>
      </c>
      <c r="BV45" s="236">
        <v>1.095</v>
      </c>
      <c r="BW45" s="236">
        <v>1.0649999999999999</v>
      </c>
      <c r="BX45" s="235">
        <v>1.3</v>
      </c>
      <c r="BY45" s="133">
        <v>0</v>
      </c>
      <c r="BZ45" s="133">
        <v>2</v>
      </c>
      <c r="CA45" s="133" t="s">
        <v>71</v>
      </c>
      <c r="CB45" s="235" t="s">
        <v>469</v>
      </c>
      <c r="CC45" s="133">
        <v>1</v>
      </c>
      <c r="CD45" s="133" t="s">
        <v>71</v>
      </c>
      <c r="CE45" s="133">
        <v>2210</v>
      </c>
      <c r="CF45" s="133"/>
      <c r="CG45" s="133"/>
      <c r="CH45" s="133">
        <v>1</v>
      </c>
      <c r="CI45" s="133">
        <v>0</v>
      </c>
      <c r="CJ45" s="133">
        <v>0</v>
      </c>
      <c r="CK45" s="133"/>
      <c r="CL45" s="133"/>
      <c r="CM45" s="133"/>
      <c r="CN45" s="133"/>
      <c r="CO45" s="133" t="s">
        <v>10</v>
      </c>
      <c r="CP45" s="133">
        <f>IF(Прайс[[#This Row],[Наличие подсветки на нижнем горизонте]]="Нет",0,'комплекты фурнитуры'!$C$95)</f>
        <v>0</v>
      </c>
      <c r="CQ45" s="133">
        <f>'комплекты фурнитуры'!$C$53</f>
        <v>340</v>
      </c>
      <c r="CR45" s="133"/>
      <c r="CS45" s="133"/>
      <c r="CT45" s="133"/>
      <c r="CU45" s="133">
        <f>Прайс[[#This Row],[КФ петли JET накл. 105 гр.]]*2</f>
        <v>680</v>
      </c>
    </row>
    <row r="46" spans="1:99" s="134" customFormat="1" ht="15" customHeight="1" x14ac:dyDescent="0.25">
      <c r="A46" s="285" t="s">
        <v>392</v>
      </c>
      <c r="B46" s="132" t="s">
        <v>7</v>
      </c>
      <c r="C46" s="132" t="s">
        <v>762</v>
      </c>
      <c r="D46" s="132" t="s">
        <v>73</v>
      </c>
      <c r="E46" s="132" t="s">
        <v>10</v>
      </c>
      <c r="F46" s="132" t="s">
        <v>94</v>
      </c>
      <c r="G46" s="286">
        <v>601</v>
      </c>
      <c r="H46" s="286">
        <v>1250</v>
      </c>
      <c r="I46" s="286">
        <v>600</v>
      </c>
      <c r="J46" s="286">
        <v>600</v>
      </c>
      <c r="K46" s="286">
        <v>315</v>
      </c>
      <c r="L46" s="286">
        <v>350</v>
      </c>
      <c r="M46" s="132"/>
      <c r="N46" s="231" t="s">
        <v>62</v>
      </c>
      <c r="O46" s="232">
        <v>1710</v>
      </c>
      <c r="P46" s="232"/>
      <c r="Q46" s="232"/>
      <c r="R46" s="132"/>
      <c r="S46" s="132"/>
      <c r="T46" s="132"/>
      <c r="U46" s="132"/>
      <c r="V46" s="132"/>
      <c r="W46" s="132"/>
      <c r="X46" s="132"/>
      <c r="Y46" s="132"/>
      <c r="Z46" s="132"/>
      <c r="AA46" s="132"/>
      <c r="AB46" s="132">
        <f>'комплекты фурнитуры'!$C$16</f>
        <v>340</v>
      </c>
      <c r="AC46" s="132"/>
      <c r="AD46" s="132"/>
      <c r="AE46" s="132"/>
      <c r="AF46" s="132">
        <f>'комплекты фурнитуры'!$C$76</f>
        <v>210</v>
      </c>
      <c r="AG46" s="132">
        <f>'комплекты фурнитуры'!$C$77</f>
        <v>30</v>
      </c>
      <c r="AH46" s="233">
        <f>SUM(Прайс[[#This Row],[КФ НСТ11]:[KFPr-SB-ZPG]])</f>
        <v>580</v>
      </c>
      <c r="AI46" s="233"/>
      <c r="AJ46" s="132"/>
      <c r="AK46" s="132"/>
      <c r="AL46" s="132"/>
      <c r="AM46" s="233">
        <f>'комплекты фурнитуры'!$C$66</f>
        <v>620</v>
      </c>
      <c r="AN46" s="233">
        <f>'комплекты фурнитуры'!$C$67</f>
        <v>130</v>
      </c>
      <c r="AO46" s="233"/>
      <c r="AP46" s="233"/>
      <c r="AQ46" s="233"/>
      <c r="AR46" s="233"/>
      <c r="AS46" s="233"/>
      <c r="AT46" s="233">
        <f>'комплекты фурнитуры'!$C$38</f>
        <v>4920</v>
      </c>
      <c r="AU46" s="233"/>
      <c r="AV46" s="233"/>
      <c r="AW46" s="233"/>
      <c r="AX46" s="233"/>
      <c r="AY46" s="233"/>
      <c r="AZ46" s="233"/>
      <c r="BA46" s="233"/>
      <c r="BB46" s="233"/>
      <c r="BC46" s="233"/>
      <c r="BD46" s="233"/>
      <c r="BE46" s="233"/>
      <c r="BF46" s="233"/>
      <c r="BG46" s="233"/>
      <c r="BH46" s="233"/>
      <c r="BI46" s="233"/>
      <c r="BJ46" s="233"/>
      <c r="BK46" s="233"/>
      <c r="BL46" s="233"/>
      <c r="BM46" s="233"/>
      <c r="BN46" s="233"/>
      <c r="BO46" s="233"/>
      <c r="BP46" s="234">
        <f>Прайс[[#This Row],[КФ петли SENS накл.110 гр. с крестообр. Планкой]]*2+Прайс[[#This Row],[КФ Сушка AFF 600]]</f>
        <v>6160</v>
      </c>
      <c r="BQ46" s="235">
        <f>Прайс[[#This Row],[KFP-SB-N110]]*2+Прайс[[#This Row],[КФ Сушка AFF 600]]</f>
        <v>5180</v>
      </c>
      <c r="BR46" s="235">
        <f>Прайс[[#This Row],[KFP-SB-N110]]*2+Прайс[[#This Row],[КФ Сушка AFF 600]]</f>
        <v>5180</v>
      </c>
      <c r="BS46" s="133">
        <v>450</v>
      </c>
      <c r="BT46" s="133">
        <v>720</v>
      </c>
      <c r="BU46" s="133">
        <f>IF(OR(Прайс[[#This Row],[Тип]]="Нижний",Прайс[[#This Row],[Тип]]="Пенал"),"560",IF(Прайс[[#This Row],[Тип]]="Верхний",315,0))</f>
        <v>315</v>
      </c>
      <c r="BV46" s="236">
        <v>1.095</v>
      </c>
      <c r="BW46" s="236">
        <v>1.0649999999999999</v>
      </c>
      <c r="BX46" s="235">
        <v>1.3</v>
      </c>
      <c r="BY46" s="133">
        <v>0</v>
      </c>
      <c r="BZ46" s="133">
        <v>2</v>
      </c>
      <c r="CA46" s="133" t="s">
        <v>71</v>
      </c>
      <c r="CB46" s="235" t="s">
        <v>469</v>
      </c>
      <c r="CC46" s="133">
        <v>1</v>
      </c>
      <c r="CD46" s="133" t="s">
        <v>71</v>
      </c>
      <c r="CE46" s="133">
        <v>2210</v>
      </c>
      <c r="CF46" s="133"/>
      <c r="CG46" s="133"/>
      <c r="CH46" s="133">
        <v>1</v>
      </c>
      <c r="CI46" s="133">
        <v>0</v>
      </c>
      <c r="CJ46" s="133">
        <v>0</v>
      </c>
      <c r="CK46" s="133"/>
      <c r="CL46" s="133"/>
      <c r="CM46" s="133"/>
      <c r="CN46" s="133"/>
      <c r="CO46" s="133" t="s">
        <v>10</v>
      </c>
      <c r="CP46" s="133">
        <f>IF(Прайс[[#This Row],[Наличие подсветки на нижнем горизонте]]="Нет",0,'комплекты фурнитуры'!$C$95)</f>
        <v>0</v>
      </c>
      <c r="CQ46" s="133">
        <f>'комплекты фурнитуры'!$C$53</f>
        <v>340</v>
      </c>
      <c r="CR46" s="133"/>
      <c r="CS46" s="133"/>
      <c r="CT46" s="133"/>
      <c r="CU46" s="133">
        <f>Прайс[[#This Row],[КФ петли JET накл. 105 гр.]]*2</f>
        <v>680</v>
      </c>
    </row>
    <row r="47" spans="1:99" s="134" customFormat="1" ht="15" customHeight="1" x14ac:dyDescent="0.25">
      <c r="A47" s="285" t="s">
        <v>393</v>
      </c>
      <c r="B47" s="132" t="s">
        <v>7</v>
      </c>
      <c r="C47" s="132" t="s">
        <v>763</v>
      </c>
      <c r="D47" s="132" t="s">
        <v>73</v>
      </c>
      <c r="E47" s="132" t="s">
        <v>10</v>
      </c>
      <c r="F47" s="132" t="s">
        <v>94</v>
      </c>
      <c r="G47" s="286">
        <v>601</v>
      </c>
      <c r="H47" s="286">
        <v>1250</v>
      </c>
      <c r="I47" s="286">
        <v>600</v>
      </c>
      <c r="J47" s="286">
        <v>600</v>
      </c>
      <c r="K47" s="286">
        <v>315</v>
      </c>
      <c r="L47" s="286">
        <v>350</v>
      </c>
      <c r="M47" s="132"/>
      <c r="N47" s="231" t="s">
        <v>61</v>
      </c>
      <c r="O47" s="232">
        <v>1710</v>
      </c>
      <c r="P47" s="232"/>
      <c r="Q47" s="232"/>
      <c r="R47" s="132"/>
      <c r="S47" s="132"/>
      <c r="T47" s="132"/>
      <c r="U47" s="132"/>
      <c r="V47" s="132"/>
      <c r="W47" s="132"/>
      <c r="X47" s="132"/>
      <c r="Y47" s="132"/>
      <c r="Z47" s="132"/>
      <c r="AA47" s="132"/>
      <c r="AB47" s="132">
        <f>'комплекты фурнитуры'!$C$16</f>
        <v>340</v>
      </c>
      <c r="AC47" s="132"/>
      <c r="AD47" s="132"/>
      <c r="AE47" s="132"/>
      <c r="AF47" s="132">
        <f>'комплекты фурнитуры'!$C$76</f>
        <v>210</v>
      </c>
      <c r="AG47" s="132">
        <f>'комплекты фурнитуры'!$C$77</f>
        <v>30</v>
      </c>
      <c r="AH47" s="233">
        <f>SUM(Прайс[[#This Row],[КФ НСТ11]:[KFPr-SB-ZPG]])</f>
        <v>580</v>
      </c>
      <c r="AI47" s="233"/>
      <c r="AJ47" s="132"/>
      <c r="AK47" s="132"/>
      <c r="AL47" s="132"/>
      <c r="AM47" s="233">
        <f>'комплекты фурнитуры'!$C$66</f>
        <v>620</v>
      </c>
      <c r="AN47" s="233">
        <f>'комплекты фурнитуры'!$C$67</f>
        <v>130</v>
      </c>
      <c r="AO47" s="233"/>
      <c r="AP47" s="233"/>
      <c r="AQ47" s="233"/>
      <c r="AR47" s="233"/>
      <c r="AS47" s="233"/>
      <c r="AT47" s="233">
        <f>'комплекты фурнитуры'!$C$38</f>
        <v>4920</v>
      </c>
      <c r="AU47" s="233"/>
      <c r="AV47" s="233"/>
      <c r="AW47" s="233"/>
      <c r="AX47" s="233"/>
      <c r="AY47" s="233"/>
      <c r="AZ47" s="233"/>
      <c r="BA47" s="233"/>
      <c r="BB47" s="233"/>
      <c r="BC47" s="233"/>
      <c r="BD47" s="233"/>
      <c r="BE47" s="233"/>
      <c r="BF47" s="233"/>
      <c r="BG47" s="233"/>
      <c r="BH47" s="233"/>
      <c r="BI47" s="233"/>
      <c r="BJ47" s="233"/>
      <c r="BK47" s="233"/>
      <c r="BL47" s="233"/>
      <c r="BM47" s="233"/>
      <c r="BN47" s="233"/>
      <c r="BO47" s="233"/>
      <c r="BP47" s="234">
        <f>Прайс[[#This Row],[КФ петли SENS накл.110 гр. с крестообр. Планкой]]*4+Прайс[[#This Row],[КФ Сушка AFF 600]]</f>
        <v>7400</v>
      </c>
      <c r="BQ47" s="235">
        <f>Прайс[[#This Row],[KFP-SB-N110]]*4+Прайс[[#This Row],[КФ Сушка AFF 600]]</f>
        <v>5440</v>
      </c>
      <c r="BR47" s="235">
        <f>Прайс[[#This Row],[KFP-SB-N110]]*4+Прайс[[#This Row],[КФ Сушка AFF 600]]</f>
        <v>5440</v>
      </c>
      <c r="BS47" s="133">
        <v>450</v>
      </c>
      <c r="BT47" s="133">
        <v>720</v>
      </c>
      <c r="BU47" s="133">
        <f>IF(OR(Прайс[[#This Row],[Тип]]="Нижний",Прайс[[#This Row],[Тип]]="Пенал"),"560",IF(Прайс[[#This Row],[Тип]]="Верхний",315,0))</f>
        <v>315</v>
      </c>
      <c r="BV47" s="236">
        <v>1.095</v>
      </c>
      <c r="BW47" s="236">
        <v>1.0649999999999999</v>
      </c>
      <c r="BX47" s="235">
        <v>1.3</v>
      </c>
      <c r="BY47" s="133">
        <v>0</v>
      </c>
      <c r="BZ47" s="133">
        <v>2</v>
      </c>
      <c r="CA47" s="133" t="s">
        <v>10</v>
      </c>
      <c r="CB47" s="235" t="s">
        <v>471</v>
      </c>
      <c r="CC47" s="133">
        <v>1</v>
      </c>
      <c r="CD47" s="133" t="s">
        <v>71</v>
      </c>
      <c r="CE47" s="133">
        <v>2210</v>
      </c>
      <c r="CF47" s="133"/>
      <c r="CG47" s="133"/>
      <c r="CH47" s="133">
        <v>2</v>
      </c>
      <c r="CI47" s="133">
        <v>0</v>
      </c>
      <c r="CJ47" s="133">
        <v>0</v>
      </c>
      <c r="CK47" s="133"/>
      <c r="CL47" s="133"/>
      <c r="CM47" s="133"/>
      <c r="CN47" s="133"/>
      <c r="CO47" s="133" t="s">
        <v>10</v>
      </c>
      <c r="CP47" s="133">
        <f>IF(Прайс[[#This Row],[Наличие подсветки на нижнем горизонте]]="Нет",0,'комплекты фурнитуры'!$C$95)</f>
        <v>0</v>
      </c>
      <c r="CQ47" s="133">
        <f>'комплекты фурнитуры'!$C$53</f>
        <v>340</v>
      </c>
      <c r="CR47" s="133"/>
      <c r="CS47" s="133"/>
      <c r="CT47" s="133"/>
      <c r="CU47" s="133">
        <f>Прайс[[#This Row],[КФ петли JET накл. 105 гр.]]*4</f>
        <v>1360</v>
      </c>
    </row>
    <row r="48" spans="1:99" s="134" customFormat="1" ht="15" customHeight="1" x14ac:dyDescent="0.25">
      <c r="A48" s="285" t="s">
        <v>394</v>
      </c>
      <c r="B48" s="132" t="s">
        <v>7</v>
      </c>
      <c r="C48" s="132" t="s">
        <v>764</v>
      </c>
      <c r="D48" s="132" t="s">
        <v>73</v>
      </c>
      <c r="E48" s="132" t="s">
        <v>10</v>
      </c>
      <c r="F48" s="132" t="s">
        <v>94</v>
      </c>
      <c r="G48" s="286">
        <v>601</v>
      </c>
      <c r="H48" s="286">
        <v>1250</v>
      </c>
      <c r="I48" s="286">
        <v>796</v>
      </c>
      <c r="J48" s="286">
        <v>796</v>
      </c>
      <c r="K48" s="286">
        <v>315</v>
      </c>
      <c r="L48" s="286">
        <v>350</v>
      </c>
      <c r="M48" s="132"/>
      <c r="N48" s="231" t="s">
        <v>61</v>
      </c>
      <c r="O48" s="232">
        <v>1710</v>
      </c>
      <c r="P48" s="232"/>
      <c r="Q48" s="232"/>
      <c r="R48" s="132"/>
      <c r="S48" s="132"/>
      <c r="T48" s="132"/>
      <c r="U48" s="132"/>
      <c r="V48" s="132"/>
      <c r="W48" s="132"/>
      <c r="X48" s="132"/>
      <c r="Y48" s="132"/>
      <c r="Z48" s="132"/>
      <c r="AA48" s="132"/>
      <c r="AB48" s="132">
        <f>'комплекты фурнитуры'!$C$16</f>
        <v>340</v>
      </c>
      <c r="AC48" s="132"/>
      <c r="AD48" s="132"/>
      <c r="AE48" s="132"/>
      <c r="AF48" s="132">
        <f>'комплекты фурнитуры'!$C$76</f>
        <v>210</v>
      </c>
      <c r="AG48" s="132">
        <f>'комплекты фурнитуры'!$C$77</f>
        <v>30</v>
      </c>
      <c r="AH48" s="233">
        <f>SUM(Прайс[[#This Row],[КФ НСТ11]:[KFPr-SB-ZPG]])</f>
        <v>580</v>
      </c>
      <c r="AI48" s="233"/>
      <c r="AJ48" s="132"/>
      <c r="AK48" s="132"/>
      <c r="AL48" s="132"/>
      <c r="AM48" s="233">
        <f>'комплекты фурнитуры'!$C$66</f>
        <v>620</v>
      </c>
      <c r="AN48" s="233">
        <f>'комплекты фурнитуры'!$C$67</f>
        <v>130</v>
      </c>
      <c r="AO48" s="233"/>
      <c r="AP48" s="233"/>
      <c r="AQ48" s="233"/>
      <c r="AR48" s="233"/>
      <c r="AS48" s="233"/>
      <c r="AT48" s="233"/>
      <c r="AU48" s="233">
        <f>'комплекты фурнитуры'!$C$39</f>
        <v>5530</v>
      </c>
      <c r="AV48" s="233"/>
      <c r="AW48" s="233"/>
      <c r="AX48" s="233"/>
      <c r="AY48" s="233"/>
      <c r="AZ48" s="233"/>
      <c r="BA48" s="233"/>
      <c r="BB48" s="233"/>
      <c r="BC48" s="233"/>
      <c r="BD48" s="233"/>
      <c r="BE48" s="233"/>
      <c r="BF48" s="233"/>
      <c r="BG48" s="233"/>
      <c r="BH48" s="233"/>
      <c r="BI48" s="233"/>
      <c r="BJ48" s="233"/>
      <c r="BK48" s="233"/>
      <c r="BL48" s="233"/>
      <c r="BM48" s="233"/>
      <c r="BN48" s="233"/>
      <c r="BO48" s="233"/>
      <c r="BP48" s="234">
        <f>Прайс[[#This Row],[КФ петли SENS накл.110 гр. с крестообр. Планкой]]*4+Прайс[[#This Row],[КФ Сушка AFF 800]]</f>
        <v>8010</v>
      </c>
      <c r="BQ48" s="235">
        <f>Прайс[[#This Row],[KFP-SB-N110]]*4+Прайс[[#This Row],[КФ Сушка AFF 800]]</f>
        <v>6050</v>
      </c>
      <c r="BR48" s="235">
        <f>Прайс[[#This Row],[KFP-SB-N110]]*4+Прайс[[#This Row],[КФ Сушка AFF 800]]</f>
        <v>6050</v>
      </c>
      <c r="BS48" s="133">
        <v>450</v>
      </c>
      <c r="BT48" s="133">
        <v>720</v>
      </c>
      <c r="BU48" s="133">
        <f>IF(OR(Прайс[[#This Row],[Тип]]="Нижний",Прайс[[#This Row],[Тип]]="Пенал"),"560",IF(Прайс[[#This Row],[Тип]]="Верхний",315,0))</f>
        <v>315</v>
      </c>
      <c r="BV48" s="236">
        <v>1.095</v>
      </c>
      <c r="BW48" s="236">
        <v>1.0649999999999999</v>
      </c>
      <c r="BX48" s="235">
        <v>1.3</v>
      </c>
      <c r="BY48" s="133">
        <v>0</v>
      </c>
      <c r="BZ48" s="133">
        <v>2</v>
      </c>
      <c r="CA48" s="133" t="s">
        <v>10</v>
      </c>
      <c r="CB48" s="235" t="s">
        <v>471</v>
      </c>
      <c r="CC48" s="133">
        <v>1</v>
      </c>
      <c r="CD48" s="133" t="s">
        <v>71</v>
      </c>
      <c r="CE48" s="133">
        <v>2210</v>
      </c>
      <c r="CF48" s="133"/>
      <c r="CG48" s="133"/>
      <c r="CH48" s="133">
        <v>2</v>
      </c>
      <c r="CI48" s="133">
        <v>0</v>
      </c>
      <c r="CJ48" s="133">
        <v>0</v>
      </c>
      <c r="CK48" s="133"/>
      <c r="CL48" s="133"/>
      <c r="CM48" s="133"/>
      <c r="CN48" s="133"/>
      <c r="CO48" s="133" t="s">
        <v>10</v>
      </c>
      <c r="CP48" s="133">
        <f>IF(Прайс[[#This Row],[Наличие подсветки на нижнем горизонте]]="Нет",0,'комплекты фурнитуры'!$C$95)</f>
        <v>0</v>
      </c>
      <c r="CQ48" s="133">
        <f>'комплекты фурнитуры'!$C$53</f>
        <v>340</v>
      </c>
      <c r="CR48" s="133"/>
      <c r="CS48" s="133"/>
      <c r="CT48" s="133"/>
      <c r="CU48" s="133">
        <f>Прайс[[#This Row],[КФ петли JET накл. 105 гр.]]*4</f>
        <v>1360</v>
      </c>
    </row>
    <row r="49" spans="1:99" s="134" customFormat="1" ht="15" customHeight="1" x14ac:dyDescent="0.25">
      <c r="A49" s="285" t="s">
        <v>395</v>
      </c>
      <c r="B49" s="132" t="s">
        <v>7</v>
      </c>
      <c r="C49" s="132" t="s">
        <v>765</v>
      </c>
      <c r="D49" s="132" t="s">
        <v>73</v>
      </c>
      <c r="E49" s="132" t="s">
        <v>10</v>
      </c>
      <c r="F49" s="132" t="s">
        <v>94</v>
      </c>
      <c r="G49" s="286">
        <v>601</v>
      </c>
      <c r="H49" s="286">
        <v>1250</v>
      </c>
      <c r="I49" s="286">
        <v>896</v>
      </c>
      <c r="J49" s="286">
        <v>896</v>
      </c>
      <c r="K49" s="286">
        <v>315</v>
      </c>
      <c r="L49" s="286">
        <v>350</v>
      </c>
      <c r="M49" s="132"/>
      <c r="N49" s="231" t="s">
        <v>61</v>
      </c>
      <c r="O49" s="232">
        <v>1710</v>
      </c>
      <c r="P49" s="232"/>
      <c r="Q49" s="232"/>
      <c r="R49" s="132"/>
      <c r="S49" s="132"/>
      <c r="T49" s="132"/>
      <c r="U49" s="132"/>
      <c r="V49" s="132"/>
      <c r="W49" s="132"/>
      <c r="X49" s="132"/>
      <c r="Y49" s="132"/>
      <c r="Z49" s="132"/>
      <c r="AA49" s="132"/>
      <c r="AB49" s="132">
        <f>'комплекты фурнитуры'!$C$16</f>
        <v>340</v>
      </c>
      <c r="AC49" s="132"/>
      <c r="AD49" s="132"/>
      <c r="AE49" s="132"/>
      <c r="AF49" s="132">
        <f>'комплекты фурнитуры'!$C$76</f>
        <v>210</v>
      </c>
      <c r="AG49" s="132">
        <f>'комплекты фурнитуры'!$C$77</f>
        <v>30</v>
      </c>
      <c r="AH49" s="233">
        <f>SUM(Прайс[[#This Row],[КФ НСТ11]:[KFPr-SB-ZPG]])</f>
        <v>580</v>
      </c>
      <c r="AI49" s="233"/>
      <c r="AJ49" s="132"/>
      <c r="AK49" s="132"/>
      <c r="AL49" s="132"/>
      <c r="AM49" s="233">
        <f>'комплекты фурнитуры'!$C$66</f>
        <v>620</v>
      </c>
      <c r="AN49" s="233">
        <f>'комплекты фурнитуры'!$C$67</f>
        <v>130</v>
      </c>
      <c r="AO49" s="233"/>
      <c r="AP49" s="233"/>
      <c r="AQ49" s="233"/>
      <c r="AR49" s="233"/>
      <c r="AS49" s="233"/>
      <c r="AT49" s="233"/>
      <c r="AU49" s="233"/>
      <c r="AV49" s="233">
        <f>'комплекты фурнитуры'!$C$40</f>
        <v>6130</v>
      </c>
      <c r="AW49" s="233"/>
      <c r="AX49" s="233"/>
      <c r="AY49" s="233"/>
      <c r="AZ49" s="233"/>
      <c r="BA49" s="233"/>
      <c r="BB49" s="233"/>
      <c r="BC49" s="233"/>
      <c r="BD49" s="233"/>
      <c r="BE49" s="233"/>
      <c r="BF49" s="233"/>
      <c r="BG49" s="233"/>
      <c r="BH49" s="233"/>
      <c r="BI49" s="233"/>
      <c r="BJ49" s="233"/>
      <c r="BK49" s="233"/>
      <c r="BL49" s="233"/>
      <c r="BM49" s="233"/>
      <c r="BN49" s="233"/>
      <c r="BO49" s="233"/>
      <c r="BP49" s="234">
        <f>Прайс[[#This Row],[КФ петли SENS накл.110 гр. с крестообр. Планкой]]*4+Прайс[[#This Row],[КФ Сушка AFF 900]]</f>
        <v>8610</v>
      </c>
      <c r="BQ49" s="235">
        <f>Прайс[[#This Row],[KFP-SB-N110]]*4+Прайс[[#This Row],[КФ Сушка AFF 900]]</f>
        <v>6650</v>
      </c>
      <c r="BR49" s="235">
        <f>Прайс[[#This Row],[KFP-SB-N110]]*4+Прайс[[#This Row],[КФ Сушка AFF 900]]</f>
        <v>6650</v>
      </c>
      <c r="BS49" s="133">
        <v>450</v>
      </c>
      <c r="BT49" s="133">
        <v>720</v>
      </c>
      <c r="BU49" s="133">
        <f>IF(OR(Прайс[[#This Row],[Тип]]="Нижний",Прайс[[#This Row],[Тип]]="Пенал"),"560",IF(Прайс[[#This Row],[Тип]]="Верхний",315,0))</f>
        <v>315</v>
      </c>
      <c r="BV49" s="236">
        <v>1.095</v>
      </c>
      <c r="BW49" s="236">
        <v>1.0649999999999999</v>
      </c>
      <c r="BX49" s="235">
        <v>1.3</v>
      </c>
      <c r="BY49" s="133">
        <v>0</v>
      </c>
      <c r="BZ49" s="133">
        <v>2</v>
      </c>
      <c r="CA49" s="133" t="s">
        <v>10</v>
      </c>
      <c r="CB49" s="235" t="s">
        <v>471</v>
      </c>
      <c r="CC49" s="133">
        <v>1</v>
      </c>
      <c r="CD49" s="133" t="s">
        <v>71</v>
      </c>
      <c r="CE49" s="133">
        <v>2210</v>
      </c>
      <c r="CF49" s="133"/>
      <c r="CG49" s="133"/>
      <c r="CH49" s="133">
        <v>2</v>
      </c>
      <c r="CI49" s="133">
        <v>0</v>
      </c>
      <c r="CJ49" s="133">
        <v>0</v>
      </c>
      <c r="CK49" s="133"/>
      <c r="CL49" s="133"/>
      <c r="CM49" s="133"/>
      <c r="CN49" s="133"/>
      <c r="CO49" s="133" t="s">
        <v>10</v>
      </c>
      <c r="CP49" s="133">
        <f>IF(Прайс[[#This Row],[Наличие подсветки на нижнем горизонте]]="Нет",0,'комплекты фурнитуры'!$C$95)</f>
        <v>0</v>
      </c>
      <c r="CQ49" s="133">
        <f>'комплекты фурнитуры'!$C$53</f>
        <v>340</v>
      </c>
      <c r="CR49" s="133"/>
      <c r="CS49" s="133"/>
      <c r="CT49" s="133"/>
      <c r="CU49" s="133">
        <f>Прайс[[#This Row],[КФ петли JET накл. 105 гр.]]*4</f>
        <v>1360</v>
      </c>
    </row>
    <row r="50" spans="1:99" s="134" customFormat="1" ht="15" customHeight="1" x14ac:dyDescent="0.25">
      <c r="A50" s="285" t="s">
        <v>396</v>
      </c>
      <c r="B50" s="132" t="s">
        <v>7</v>
      </c>
      <c r="C50" s="132" t="s">
        <v>766</v>
      </c>
      <c r="D50" s="132" t="s">
        <v>73</v>
      </c>
      <c r="E50" s="132" t="s">
        <v>10</v>
      </c>
      <c r="F50" s="132" t="s">
        <v>94</v>
      </c>
      <c r="G50" s="286">
        <v>720</v>
      </c>
      <c r="H50" s="286">
        <v>720</v>
      </c>
      <c r="I50" s="286">
        <v>450</v>
      </c>
      <c r="J50" s="286">
        <v>450</v>
      </c>
      <c r="K50" s="286">
        <v>315</v>
      </c>
      <c r="L50" s="286">
        <v>315</v>
      </c>
      <c r="M50" s="132"/>
      <c r="N50" s="231"/>
      <c r="O50" s="232">
        <v>1710</v>
      </c>
      <c r="P50" s="232"/>
      <c r="Q50" s="232"/>
      <c r="R50" s="132"/>
      <c r="S50" s="132"/>
      <c r="T50" s="132"/>
      <c r="U50" s="132"/>
      <c r="V50" s="132"/>
      <c r="W50" s="132"/>
      <c r="X50" s="132"/>
      <c r="Y50" s="132"/>
      <c r="Z50" s="132"/>
      <c r="AA50" s="132"/>
      <c r="AB50" s="132">
        <f>'комплекты фурнитуры'!$C$16</f>
        <v>340</v>
      </c>
      <c r="AC50" s="132"/>
      <c r="AD50" s="132"/>
      <c r="AE50" s="132"/>
      <c r="AF50" s="132">
        <f>'комплекты фурнитуры'!$C$76</f>
        <v>210</v>
      </c>
      <c r="AG50" s="132">
        <f>'комплекты фурнитуры'!$C$77</f>
        <v>30</v>
      </c>
      <c r="AH50" s="233">
        <f>SUM(Прайс[[#This Row],[КФ НСТ11]:[KFPr-SB-ZPG]])</f>
        <v>580</v>
      </c>
      <c r="AI50" s="233"/>
      <c r="AJ50" s="132"/>
      <c r="AK50" s="132"/>
      <c r="AL50" s="132"/>
      <c r="AM50" s="233"/>
      <c r="AN50" s="233"/>
      <c r="AO50" s="233"/>
      <c r="AP50" s="233"/>
      <c r="AQ50" s="233"/>
      <c r="AR50" s="233"/>
      <c r="AS50" s="233">
        <f>'комплекты фурнитуры'!$C$41</f>
        <v>1600</v>
      </c>
      <c r="AT50" s="233"/>
      <c r="AU50" s="233"/>
      <c r="AV50" s="233"/>
      <c r="AW50" s="233"/>
      <c r="AX50" s="233"/>
      <c r="AY50" s="233"/>
      <c r="AZ50" s="233">
        <f>'комплекты фурнитуры'!$C$73</f>
        <v>13990</v>
      </c>
      <c r="BA50" s="233"/>
      <c r="BB50" s="233"/>
      <c r="BC50" s="233"/>
      <c r="BD50" s="233"/>
      <c r="BE50" s="233"/>
      <c r="BF50" s="233"/>
      <c r="BG50" s="233"/>
      <c r="BH50" s="233"/>
      <c r="BI50" s="233"/>
      <c r="BJ50" s="233"/>
      <c r="BK50" s="233"/>
      <c r="BL50" s="233"/>
      <c r="BM50" s="233"/>
      <c r="BN50" s="233"/>
      <c r="BO50" s="233"/>
      <c r="BP50" s="234">
        <f>Прайс[[#This Row],[KFS-SB-45 (посудосушители)]]+Прайс[[#This Row],[KFP-SB-PPHF_W]]</f>
        <v>15590</v>
      </c>
      <c r="BQ50" s="234">
        <f>Прайс[[#This Row],[KFS-SB-45 (посудосушители)]]+Прайс[[#This Row],[KFP-SB-PPHF_W]]</f>
        <v>15590</v>
      </c>
      <c r="BR50" s="234">
        <f>Прайс[[#This Row],[KFS-SB-45 (посудосушители)]]+Прайс[[#This Row],[KFP-SB-PPHF_W]]</f>
        <v>15590</v>
      </c>
      <c r="BS50" s="133">
        <v>450</v>
      </c>
      <c r="BT50" s="133">
        <v>720</v>
      </c>
      <c r="BU50" s="133">
        <f>IF(OR(Прайс[[#This Row],[Тип]]="Нижний",Прайс[[#This Row],[Тип]]="Пенал"),"560",IF(Прайс[[#This Row],[Тип]]="Верхний",315,0))</f>
        <v>315</v>
      </c>
      <c r="BV50" s="236">
        <v>1.08</v>
      </c>
      <c r="BW50" s="236">
        <v>1.0649999999999999</v>
      </c>
      <c r="BX50" s="235">
        <v>1.3</v>
      </c>
      <c r="BY50" s="133">
        <v>0</v>
      </c>
      <c r="BZ50" s="133">
        <v>0</v>
      </c>
      <c r="CA50" s="133" t="s">
        <v>10</v>
      </c>
      <c r="CB50" s="235" t="s">
        <v>470</v>
      </c>
      <c r="CC50" s="133">
        <v>0</v>
      </c>
      <c r="CD50" s="133" t="s">
        <v>10</v>
      </c>
      <c r="CE50" s="133">
        <v>2210</v>
      </c>
      <c r="CF50" s="133"/>
      <c r="CG50" s="133"/>
      <c r="CH50" s="133">
        <v>2</v>
      </c>
      <c r="CI50" s="133">
        <v>0</v>
      </c>
      <c r="CJ50" s="133">
        <v>0</v>
      </c>
      <c r="CK50" s="133"/>
      <c r="CL50" s="133"/>
      <c r="CM50" s="133"/>
      <c r="CN50" s="133"/>
      <c r="CO50" s="133" t="s">
        <v>10</v>
      </c>
      <c r="CP50" s="133">
        <f>IF(Прайс[[#This Row],[Наличие подсветки на нижнем горизонте]]="Нет",0,'комплекты фурнитуры'!$C$95)</f>
        <v>0</v>
      </c>
      <c r="CQ50" s="133"/>
      <c r="CR50" s="133"/>
      <c r="CS50" s="133"/>
      <c r="CT50" s="133"/>
      <c r="CU50" s="235">
        <f>Прайс[[#This Row],[Комплектация №2]]</f>
        <v>15590</v>
      </c>
    </row>
    <row r="51" spans="1:99" s="134" customFormat="1" ht="15" customHeight="1" x14ac:dyDescent="0.25">
      <c r="A51" s="298" t="s">
        <v>397</v>
      </c>
      <c r="B51" s="132" t="s">
        <v>7</v>
      </c>
      <c r="C51" s="132" t="s">
        <v>767</v>
      </c>
      <c r="D51" s="132" t="s">
        <v>73</v>
      </c>
      <c r="E51" s="132" t="s">
        <v>10</v>
      </c>
      <c r="F51" s="132" t="s">
        <v>94</v>
      </c>
      <c r="G51" s="286">
        <v>240</v>
      </c>
      <c r="H51" s="286">
        <v>600</v>
      </c>
      <c r="I51" s="286">
        <v>446</v>
      </c>
      <c r="J51" s="286">
        <v>446</v>
      </c>
      <c r="K51" s="286">
        <v>315</v>
      </c>
      <c r="L51" s="286">
        <v>360</v>
      </c>
      <c r="M51" s="132"/>
      <c r="N51" s="231" t="s">
        <v>63</v>
      </c>
      <c r="O51" s="232">
        <v>1710</v>
      </c>
      <c r="P51" s="232"/>
      <c r="Q51" s="232"/>
      <c r="R51" s="132"/>
      <c r="S51" s="132"/>
      <c r="T51" s="132"/>
      <c r="U51" s="132"/>
      <c r="V51" s="132"/>
      <c r="W51" s="132"/>
      <c r="X51" s="132"/>
      <c r="Y51" s="132"/>
      <c r="Z51" s="132"/>
      <c r="AA51" s="132"/>
      <c r="AB51" s="132">
        <f>'комплекты фурнитуры'!$C$16</f>
        <v>340</v>
      </c>
      <c r="AC51" s="132"/>
      <c r="AD51" s="132"/>
      <c r="AE51" s="132"/>
      <c r="AF51" s="132">
        <f>'комплекты фурнитуры'!$C$76</f>
        <v>210</v>
      </c>
      <c r="AG51" s="132">
        <f>'комплекты фурнитуры'!$C$77</f>
        <v>30</v>
      </c>
      <c r="AH51" s="233">
        <f>SUM(Прайс[[#This Row],[КФ НСТ11]:[KFPr-SB-ZPG]])</f>
        <v>580</v>
      </c>
      <c r="AI51" s="233"/>
      <c r="AJ51" s="132"/>
      <c r="AK51" s="132"/>
      <c r="AL51" s="132"/>
      <c r="AM51" s="233"/>
      <c r="AN51" s="233"/>
      <c r="AO51" s="233"/>
      <c r="AP51" s="233"/>
      <c r="AQ51" s="233"/>
      <c r="AR51" s="233"/>
      <c r="AS51" s="233">
        <f>'комплекты фурнитуры'!D49</f>
        <v>1000</v>
      </c>
      <c r="AT51" s="233"/>
      <c r="AU51" s="233"/>
      <c r="AV51" s="233"/>
      <c r="AW51" s="233">
        <f>'комплекты фурнитуры'!$C$71</f>
        <v>6080</v>
      </c>
      <c r="AX51" s="233">
        <f>'комплекты фурнитуры'!$C$72</f>
        <v>6940</v>
      </c>
      <c r="AY51" s="233"/>
      <c r="AZ51" s="233"/>
      <c r="BA51" s="233"/>
      <c r="BB51" s="233"/>
      <c r="BC51" s="233"/>
      <c r="BD51" s="233"/>
      <c r="BE51" s="233"/>
      <c r="BF51" s="233"/>
      <c r="BG51" s="233"/>
      <c r="BH51" s="233"/>
      <c r="BI51" s="233"/>
      <c r="BJ51" s="233"/>
      <c r="BK51" s="233"/>
      <c r="BL51" s="233"/>
      <c r="BM51" s="233"/>
      <c r="BN51" s="233"/>
      <c r="BO51" s="233"/>
      <c r="BP51" s="234">
        <f>Прайс[[#This Row],[KFP-SP-PPGK]]+Прайс[[#This Row],[KFS-SB-45 (посудосушители)]]</f>
        <v>7080</v>
      </c>
      <c r="BQ51" s="234">
        <f>Прайс[[#This Row],[KFP-SP-PPGK]]+Прайс[[#This Row],[KFS-SB-45 (посудосушители)]]</f>
        <v>7080</v>
      </c>
      <c r="BR51" s="234">
        <f>Прайс[[#This Row],[KFP-SP-PPGK]]+Прайс[[#This Row],[KFS-SB-45 (посудосушители)]]</f>
        <v>7080</v>
      </c>
      <c r="BS51" s="133">
        <v>300</v>
      </c>
      <c r="BT51" s="133">
        <v>720</v>
      </c>
      <c r="BU51" s="133">
        <f>IF(OR(Прайс[[#This Row],[Тип]]="Нижний",Прайс[[#This Row],[Тип]]="Пенал"),"560",IF(Прайс[[#This Row],[Тип]]="Верхний",315,0))</f>
        <v>315</v>
      </c>
      <c r="BV51" s="236">
        <v>1.08</v>
      </c>
      <c r="BW51" s="236">
        <v>1.0649999999999999</v>
      </c>
      <c r="BX51" s="235">
        <v>1.3</v>
      </c>
      <c r="BY51" s="133">
        <v>0</v>
      </c>
      <c r="BZ51" s="133">
        <v>0</v>
      </c>
      <c r="CA51" s="133" t="s">
        <v>10</v>
      </c>
      <c r="CB51" s="235" t="s">
        <v>470</v>
      </c>
      <c r="CC51" s="133">
        <v>0</v>
      </c>
      <c r="CD51" s="133" t="s">
        <v>10</v>
      </c>
      <c r="CE51" s="133">
        <v>2210</v>
      </c>
      <c r="CF51" s="133"/>
      <c r="CG51" s="133"/>
      <c r="CH51" s="133">
        <v>1</v>
      </c>
      <c r="CI51" s="133">
        <v>0</v>
      </c>
      <c r="CJ51" s="133">
        <v>0</v>
      </c>
      <c r="CK51" s="133"/>
      <c r="CL51" s="133"/>
      <c r="CM51" s="133"/>
      <c r="CN51" s="133"/>
      <c r="CO51" s="133" t="s">
        <v>10</v>
      </c>
      <c r="CP51" s="133">
        <f>IF(Прайс[[#This Row],[Наличие подсветки на нижнем горизонте]]="Нет",0,'комплекты фурнитуры'!$C$95)</f>
        <v>0</v>
      </c>
      <c r="CQ51" s="133"/>
      <c r="CR51" s="133"/>
      <c r="CS51" s="133"/>
      <c r="CT51" s="133"/>
      <c r="CU51" s="235">
        <f>Прайс[[#This Row],[Комплектация №2]]</f>
        <v>7080</v>
      </c>
    </row>
    <row r="52" spans="1:99" s="134" customFormat="1" ht="15" customHeight="1" x14ac:dyDescent="0.25">
      <c r="A52" s="298" t="s">
        <v>398</v>
      </c>
      <c r="B52" s="132" t="s">
        <v>7</v>
      </c>
      <c r="C52" s="132" t="s">
        <v>768</v>
      </c>
      <c r="D52" s="132" t="s">
        <v>73</v>
      </c>
      <c r="E52" s="132" t="s">
        <v>10</v>
      </c>
      <c r="F52" s="132" t="s">
        <v>94</v>
      </c>
      <c r="G52" s="286">
        <v>240</v>
      </c>
      <c r="H52" s="286">
        <v>600</v>
      </c>
      <c r="I52" s="286">
        <v>596</v>
      </c>
      <c r="J52" s="286">
        <v>596</v>
      </c>
      <c r="K52" s="286">
        <v>315</v>
      </c>
      <c r="L52" s="286">
        <v>360</v>
      </c>
      <c r="M52" s="132"/>
      <c r="N52" s="231" t="s">
        <v>63</v>
      </c>
      <c r="O52" s="232">
        <v>1710</v>
      </c>
      <c r="P52" s="232"/>
      <c r="Q52" s="232"/>
      <c r="R52" s="132"/>
      <c r="S52" s="132"/>
      <c r="T52" s="132"/>
      <c r="U52" s="132"/>
      <c r="V52" s="132"/>
      <c r="W52" s="132"/>
      <c r="X52" s="132"/>
      <c r="Y52" s="132"/>
      <c r="Z52" s="132"/>
      <c r="AA52" s="132"/>
      <c r="AB52" s="132">
        <f>'комплекты фурнитуры'!$C$16</f>
        <v>340</v>
      </c>
      <c r="AC52" s="132"/>
      <c r="AD52" s="132"/>
      <c r="AE52" s="132"/>
      <c r="AF52" s="132">
        <f>'комплекты фурнитуры'!$C$76</f>
        <v>210</v>
      </c>
      <c r="AG52" s="132">
        <f>'комплекты фурнитуры'!$C$77</f>
        <v>30</v>
      </c>
      <c r="AH52" s="233">
        <f>SUM(Прайс[[#This Row],[КФ НСТ11]:[KFPr-SB-ZPG]])</f>
        <v>580</v>
      </c>
      <c r="AI52" s="233"/>
      <c r="AJ52" s="132"/>
      <c r="AK52" s="132"/>
      <c r="AL52" s="132"/>
      <c r="AM52" s="233"/>
      <c r="AN52" s="233"/>
      <c r="AO52" s="233"/>
      <c r="AP52" s="233"/>
      <c r="AQ52" s="233"/>
      <c r="AR52" s="233"/>
      <c r="AS52" s="233"/>
      <c r="AT52" s="233">
        <f>'комплекты фурнитуры'!D50</f>
        <v>1000</v>
      </c>
      <c r="AU52" s="233"/>
      <c r="AV52" s="233"/>
      <c r="AW52" s="233">
        <f>'комплекты фурнитуры'!$C$71</f>
        <v>6080</v>
      </c>
      <c r="AX52" s="233">
        <f>'комплекты фурнитуры'!$C$72</f>
        <v>6940</v>
      </c>
      <c r="AY52" s="233"/>
      <c r="AZ52" s="233"/>
      <c r="BA52" s="233"/>
      <c r="BB52" s="233"/>
      <c r="BC52" s="233"/>
      <c r="BD52" s="233"/>
      <c r="BE52" s="233"/>
      <c r="BF52" s="233"/>
      <c r="BG52" s="233"/>
      <c r="BH52" s="233"/>
      <c r="BI52" s="233"/>
      <c r="BJ52" s="233"/>
      <c r="BK52" s="233"/>
      <c r="BL52" s="233"/>
      <c r="BM52" s="233"/>
      <c r="BN52" s="233"/>
      <c r="BO52" s="233"/>
      <c r="BP52" s="234">
        <f>Прайс[[#This Row],[KFP-SP-PPGK]]+Прайс[[#This Row],[КФ Сушка AFF 600]]</f>
        <v>7080</v>
      </c>
      <c r="BQ52" s="234">
        <f>Прайс[[#This Row],[KFP-SP-PPGK]]+Прайс[[#This Row],[КФ Сушка AFF 600]]</f>
        <v>7080</v>
      </c>
      <c r="BR52" s="234">
        <f>Прайс[[#This Row],[KFP-SP-PPGK]]+Прайс[[#This Row],[КФ Сушка AFF 600]]</f>
        <v>7080</v>
      </c>
      <c r="BS52" s="133">
        <v>300</v>
      </c>
      <c r="BT52" s="133">
        <v>720</v>
      </c>
      <c r="BU52" s="133">
        <f>IF(OR(Прайс[[#This Row],[Тип]]="Нижний",Прайс[[#This Row],[Тип]]="Пенал"),"560",IF(Прайс[[#This Row],[Тип]]="Верхний",315,0))</f>
        <v>315</v>
      </c>
      <c r="BV52" s="236">
        <v>1.08</v>
      </c>
      <c r="BW52" s="236">
        <v>1.0649999999999999</v>
      </c>
      <c r="BX52" s="235">
        <v>1.3</v>
      </c>
      <c r="BY52" s="133">
        <v>0</v>
      </c>
      <c r="BZ52" s="133">
        <v>0</v>
      </c>
      <c r="CA52" s="133" t="s">
        <v>10</v>
      </c>
      <c r="CB52" s="235" t="s">
        <v>470</v>
      </c>
      <c r="CC52" s="133">
        <v>0</v>
      </c>
      <c r="CD52" s="133" t="s">
        <v>10</v>
      </c>
      <c r="CE52" s="133">
        <v>2210</v>
      </c>
      <c r="CF52" s="133"/>
      <c r="CG52" s="133"/>
      <c r="CH52" s="133">
        <v>1</v>
      </c>
      <c r="CI52" s="133">
        <v>0</v>
      </c>
      <c r="CJ52" s="133">
        <v>0</v>
      </c>
      <c r="CK52" s="133"/>
      <c r="CL52" s="133"/>
      <c r="CM52" s="133"/>
      <c r="CN52" s="133"/>
      <c r="CO52" s="133" t="s">
        <v>10</v>
      </c>
      <c r="CP52" s="133">
        <f>IF(Прайс[[#This Row],[Наличие подсветки на нижнем горизонте]]="Нет",0,'комплекты фурнитуры'!$C$95)</f>
        <v>0</v>
      </c>
      <c r="CQ52" s="133"/>
      <c r="CR52" s="133"/>
      <c r="CS52" s="133"/>
      <c r="CT52" s="133"/>
      <c r="CU52" s="235">
        <f>Прайс[[#This Row],[Комплектация №2]]</f>
        <v>7080</v>
      </c>
    </row>
    <row r="53" spans="1:99" s="134" customFormat="1" ht="15" customHeight="1" x14ac:dyDescent="0.25">
      <c r="A53" s="298" t="s">
        <v>499</v>
      </c>
      <c r="B53" s="132" t="s">
        <v>7</v>
      </c>
      <c r="C53" s="132" t="s">
        <v>769</v>
      </c>
      <c r="D53" s="132" t="s">
        <v>73</v>
      </c>
      <c r="E53" s="132" t="s">
        <v>10</v>
      </c>
      <c r="F53" s="132" t="s">
        <v>94</v>
      </c>
      <c r="G53" s="286">
        <v>240</v>
      </c>
      <c r="H53" s="286">
        <v>600</v>
      </c>
      <c r="I53" s="286">
        <v>896</v>
      </c>
      <c r="J53" s="286">
        <v>896</v>
      </c>
      <c r="K53" s="286">
        <v>315</v>
      </c>
      <c r="L53" s="286">
        <v>360</v>
      </c>
      <c r="M53" s="132"/>
      <c r="N53" s="231" t="s">
        <v>63</v>
      </c>
      <c r="O53" s="232">
        <v>1710</v>
      </c>
      <c r="P53" s="232"/>
      <c r="Q53" s="232"/>
      <c r="R53" s="132"/>
      <c r="S53" s="132"/>
      <c r="T53" s="132"/>
      <c r="U53" s="132"/>
      <c r="V53" s="132"/>
      <c r="W53" s="132"/>
      <c r="X53" s="132"/>
      <c r="Y53" s="132"/>
      <c r="Z53" s="132"/>
      <c r="AA53" s="132"/>
      <c r="AB53" s="132">
        <f>'комплекты фурнитуры'!$C$16</f>
        <v>340</v>
      </c>
      <c r="AC53" s="132"/>
      <c r="AD53" s="132"/>
      <c r="AE53" s="132"/>
      <c r="AF53" s="132">
        <f>'комплекты фурнитуры'!$C$76</f>
        <v>210</v>
      </c>
      <c r="AG53" s="132">
        <f>'комплекты фурнитуры'!$C$77</f>
        <v>30</v>
      </c>
      <c r="AH53" s="233">
        <f>SUM(Прайс[[#This Row],[КФ НСТ11]:[KFPr-SB-ZPG]])</f>
        <v>580</v>
      </c>
      <c r="AI53" s="233"/>
      <c r="AJ53" s="132"/>
      <c r="AK53" s="132"/>
      <c r="AL53" s="132"/>
      <c r="AM53" s="233"/>
      <c r="AN53" s="233"/>
      <c r="AO53" s="233"/>
      <c r="AP53" s="233"/>
      <c r="AQ53" s="233"/>
      <c r="AR53" s="233"/>
      <c r="AS53" s="233"/>
      <c r="AT53" s="233">
        <f>'комплекты фурнитуры'!D51</f>
        <v>1000</v>
      </c>
      <c r="AU53" s="233"/>
      <c r="AV53" s="233"/>
      <c r="AW53" s="233">
        <f>'комплекты фурнитуры'!$C$71</f>
        <v>6080</v>
      </c>
      <c r="AX53" s="233">
        <f>'комплекты фурнитуры'!$C$72</f>
        <v>6940</v>
      </c>
      <c r="AY53" s="233"/>
      <c r="AZ53" s="233"/>
      <c r="BA53" s="233"/>
      <c r="BB53" s="233"/>
      <c r="BC53" s="233"/>
      <c r="BD53" s="233"/>
      <c r="BE53" s="233"/>
      <c r="BF53" s="233"/>
      <c r="BG53" s="233"/>
      <c r="BH53" s="233"/>
      <c r="BI53" s="233"/>
      <c r="BJ53" s="233"/>
      <c r="BK53" s="233"/>
      <c r="BL53" s="233"/>
      <c r="BM53" s="233"/>
      <c r="BN53" s="233"/>
      <c r="BO53" s="233"/>
      <c r="BP53" s="234">
        <f>Прайс[[#This Row],[KFP-SP-PPGK]]+Прайс[[#This Row],[КФ Сушка AFF 600]]</f>
        <v>7080</v>
      </c>
      <c r="BQ53" s="234">
        <f>Прайс[[#This Row],[KFP-SP-PPGK]]+Прайс[[#This Row],[КФ Сушка AFF 600]]</f>
        <v>7080</v>
      </c>
      <c r="BR53" s="234">
        <f>Прайс[[#This Row],[KFP-SP-PPGK]]+Прайс[[#This Row],[КФ Сушка AFF 600]]</f>
        <v>7080</v>
      </c>
      <c r="BS53" s="133">
        <v>300</v>
      </c>
      <c r="BT53" s="133">
        <v>720</v>
      </c>
      <c r="BU53" s="133">
        <f>IF(OR(Прайс[[#This Row],[Тип]]="Нижний",Прайс[[#This Row],[Тип]]="Пенал"),"560",IF(Прайс[[#This Row],[Тип]]="Верхний",315,0))</f>
        <v>315</v>
      </c>
      <c r="BV53" s="236">
        <v>1.08</v>
      </c>
      <c r="BW53" s="236">
        <v>1.0649999999999999</v>
      </c>
      <c r="BX53" s="235">
        <v>1.3</v>
      </c>
      <c r="BY53" s="133">
        <v>0</v>
      </c>
      <c r="BZ53" s="133">
        <v>0</v>
      </c>
      <c r="CA53" s="133" t="s">
        <v>10</v>
      </c>
      <c r="CB53" s="235" t="s">
        <v>470</v>
      </c>
      <c r="CC53" s="133">
        <v>0</v>
      </c>
      <c r="CD53" s="133" t="s">
        <v>10</v>
      </c>
      <c r="CE53" s="133">
        <v>2210</v>
      </c>
      <c r="CF53" s="133"/>
      <c r="CG53" s="133"/>
      <c r="CH53" s="133">
        <v>1</v>
      </c>
      <c r="CI53" s="133">
        <v>0</v>
      </c>
      <c r="CJ53" s="133">
        <v>0</v>
      </c>
      <c r="CK53" s="133"/>
      <c r="CL53" s="133"/>
      <c r="CM53" s="133"/>
      <c r="CN53" s="133"/>
      <c r="CO53" s="133" t="s">
        <v>10</v>
      </c>
      <c r="CP53" s="133">
        <f>IF(Прайс[[#This Row],[Наличие подсветки на нижнем горизонте]]="Нет",0,'комплекты фурнитуры'!$C$95)</f>
        <v>0</v>
      </c>
      <c r="CQ53" s="133"/>
      <c r="CR53" s="133"/>
      <c r="CS53" s="133"/>
      <c r="CT53" s="133"/>
      <c r="CU53" s="235">
        <f>Прайс[[#This Row],[Комплектация №2]]</f>
        <v>7080</v>
      </c>
    </row>
    <row r="54" spans="1:99" s="134" customFormat="1" ht="15" customHeight="1" x14ac:dyDescent="0.25">
      <c r="A54" s="285" t="s">
        <v>32</v>
      </c>
      <c r="B54" s="132" t="s">
        <v>7</v>
      </c>
      <c r="C54" s="132" t="s">
        <v>770</v>
      </c>
      <c r="D54" s="132" t="s">
        <v>76</v>
      </c>
      <c r="E54" s="132" t="s">
        <v>10</v>
      </c>
      <c r="F54" s="132" t="s">
        <v>87</v>
      </c>
      <c r="G54" s="286">
        <v>480</v>
      </c>
      <c r="H54" s="286">
        <v>960</v>
      </c>
      <c r="I54" s="286">
        <v>315</v>
      </c>
      <c r="J54" s="286">
        <v>315</v>
      </c>
      <c r="K54" s="286">
        <v>315</v>
      </c>
      <c r="L54" s="286">
        <v>315</v>
      </c>
      <c r="M54" s="132"/>
      <c r="N54" s="231" t="s">
        <v>64</v>
      </c>
      <c r="O54" s="232">
        <v>2120</v>
      </c>
      <c r="P54" s="232"/>
      <c r="Q54" s="232"/>
      <c r="R54" s="132"/>
      <c r="S54" s="132"/>
      <c r="T54" s="132"/>
      <c r="U54" s="132"/>
      <c r="V54" s="132"/>
      <c r="W54" s="132"/>
      <c r="X54" s="132">
        <f>'комплекты фурнитуры'!$C$12</f>
        <v>850</v>
      </c>
      <c r="Y54" s="132"/>
      <c r="Z54" s="132"/>
      <c r="AA54" s="132"/>
      <c r="AB54" s="132"/>
      <c r="AC54" s="132"/>
      <c r="AD54" s="132"/>
      <c r="AE54" s="132"/>
      <c r="AF54" s="132"/>
      <c r="AG54" s="132"/>
      <c r="AH54" s="233">
        <f>SUM(Прайс[[#This Row],[КФ НСТ11]:[KFPr-SB-ZPG]])</f>
        <v>850</v>
      </c>
      <c r="AI54" s="233">
        <f>'комплекты фурнитуры'!$C$83</f>
        <v>40</v>
      </c>
      <c r="AJ54" s="132"/>
      <c r="AK54" s="132"/>
      <c r="AL54" s="132"/>
      <c r="AM54" s="233">
        <f>'комплекты фурнитуры'!$C$66</f>
        <v>620</v>
      </c>
      <c r="AN54" s="233">
        <f>'комплекты фурнитуры'!$C$67</f>
        <v>130</v>
      </c>
      <c r="AO54" s="233"/>
      <c r="AP54" s="233"/>
      <c r="AQ54" s="233"/>
      <c r="AR54" s="233"/>
      <c r="AS54" s="233"/>
      <c r="AT54" s="233"/>
      <c r="AU54" s="233"/>
      <c r="AV54" s="233"/>
      <c r="AW54" s="233"/>
      <c r="AX54" s="233"/>
      <c r="AY54" s="233"/>
      <c r="AZ54" s="233"/>
      <c r="BA54" s="233"/>
      <c r="BB54" s="233"/>
      <c r="BC54" s="233"/>
      <c r="BD54" s="233"/>
      <c r="BE54" s="233"/>
      <c r="BF54" s="233"/>
      <c r="BG54" s="233"/>
      <c r="BH54" s="233"/>
      <c r="BI54" s="233"/>
      <c r="BJ54" s="233"/>
      <c r="BK54" s="233"/>
      <c r="BL54" s="233"/>
      <c r="BM54" s="233"/>
      <c r="BN54" s="233"/>
      <c r="BO54" s="233"/>
      <c r="BP54" s="234">
        <f>Прайс[[#This Row],[ KFPr-SB-StK ]]*2+Прайс[[#This Row],[КФ петли SENS накл.110 гр. с крестообр. Планкой]]*2</f>
        <v>1320</v>
      </c>
      <c r="BQ54" s="235">
        <f>Прайс[[#This Row],[ KFPr-SB-StK ]]*2+Прайс[[#This Row],[KFP-SB-N110]]*2</f>
        <v>340</v>
      </c>
      <c r="BR54" s="235">
        <f>Прайс[[#This Row],[ KFPr-SB-StK ]]*2+Прайс[[#This Row],[KFP-SB-N110]]*2</f>
        <v>340</v>
      </c>
      <c r="BS54" s="133">
        <v>315</v>
      </c>
      <c r="BT54" s="133">
        <v>720</v>
      </c>
      <c r="BU54" s="133">
        <f>IF(OR(Прайс[[#This Row],[Тип]]="Нижний",Прайс[[#This Row],[Тип]]="Пенал"),"560",IF(Прайс[[#This Row],[Тип]]="Верхний",315,0))</f>
        <v>315</v>
      </c>
      <c r="BV54" s="236">
        <v>1.08</v>
      </c>
      <c r="BW54" s="236">
        <v>1.0649999999999999</v>
      </c>
      <c r="BX54" s="235">
        <v>0</v>
      </c>
      <c r="BY54" s="133">
        <v>0</v>
      </c>
      <c r="BZ54" s="133">
        <v>0</v>
      </c>
      <c r="CA54" s="133" t="s">
        <v>10</v>
      </c>
      <c r="CB54" s="235" t="s">
        <v>469</v>
      </c>
      <c r="CC54" s="133">
        <v>0</v>
      </c>
      <c r="CD54" s="133" t="s">
        <v>10</v>
      </c>
      <c r="CE54" s="133">
        <v>2770</v>
      </c>
      <c r="CF54" s="133"/>
      <c r="CG54" s="133"/>
      <c r="CH54" s="133">
        <v>1</v>
      </c>
      <c r="CI54" s="133">
        <v>0</v>
      </c>
      <c r="CJ54" s="133">
        <v>0</v>
      </c>
      <c r="CK54" s="133"/>
      <c r="CL54" s="133"/>
      <c r="CM54" s="133"/>
      <c r="CN54" s="133"/>
      <c r="CO54" s="133" t="s">
        <v>10</v>
      </c>
      <c r="CP54" s="133">
        <f>IF(Прайс[[#This Row],[Наличие подсветки на нижнем горизонте]]="Нет",0,'комплекты фурнитуры'!$C$95)</f>
        <v>0</v>
      </c>
      <c r="CQ54" s="133">
        <f>'комплекты фурнитуры'!$C$53</f>
        <v>340</v>
      </c>
      <c r="CR54" s="133"/>
      <c r="CS54" s="133"/>
      <c r="CT54" s="133"/>
      <c r="CU54" s="133">
        <f>Прайс[[#This Row],[КФ петли JET накл. 105 гр.]]*2</f>
        <v>680</v>
      </c>
    </row>
    <row r="55" spans="1:99" s="134" customFormat="1" ht="15" customHeight="1" x14ac:dyDescent="0.25">
      <c r="A55" s="285" t="s">
        <v>82</v>
      </c>
      <c r="B55" s="132" t="s">
        <v>7</v>
      </c>
      <c r="C55" s="132" t="s">
        <v>771</v>
      </c>
      <c r="D55" s="132" t="s">
        <v>73</v>
      </c>
      <c r="E55" s="132" t="s">
        <v>71</v>
      </c>
      <c r="F55" s="132" t="s">
        <v>87</v>
      </c>
      <c r="G55" s="286">
        <v>360</v>
      </c>
      <c r="H55" s="286">
        <v>1250</v>
      </c>
      <c r="I55" s="286">
        <v>150</v>
      </c>
      <c r="J55" s="286">
        <v>600</v>
      </c>
      <c r="K55" s="286">
        <v>250</v>
      </c>
      <c r="L55" s="286">
        <v>560</v>
      </c>
      <c r="M55" s="132"/>
      <c r="N55" s="231"/>
      <c r="O55" s="232">
        <v>1780</v>
      </c>
      <c r="P55" s="232"/>
      <c r="Q55" s="232"/>
      <c r="R55" s="132">
        <f>'комплекты фурнитуры'!$C$3</f>
        <v>550</v>
      </c>
      <c r="S55" s="132"/>
      <c r="T55" s="132"/>
      <c r="U55" s="132"/>
      <c r="V55" s="132"/>
      <c r="W55" s="132"/>
      <c r="X55" s="132"/>
      <c r="Y55" s="132"/>
      <c r="Z55" s="132"/>
      <c r="AA55" s="132"/>
      <c r="AB55" s="132"/>
      <c r="AC55" s="132"/>
      <c r="AD55" s="132"/>
      <c r="AE55" s="132"/>
      <c r="AF55" s="132">
        <f>'комплекты фурнитуры'!$C$76</f>
        <v>210</v>
      </c>
      <c r="AG55" s="132">
        <f>'комплекты фурнитуры'!$C$77</f>
        <v>30</v>
      </c>
      <c r="AH55" s="233">
        <f>SUM(Прайс[[#This Row],[КФ НСТ11]:[KFPr-SB-ZPG]])</f>
        <v>790</v>
      </c>
      <c r="AI55" s="233"/>
      <c r="AJ55" s="132"/>
      <c r="AK55" s="132"/>
      <c r="AL55" s="132"/>
      <c r="AM55" s="233">
        <f>'комплекты фурнитуры'!$C$66</f>
        <v>620</v>
      </c>
      <c r="AN55" s="233">
        <f>'комплекты фурнитуры'!$C$67</f>
        <v>130</v>
      </c>
      <c r="AO55" s="233"/>
      <c r="AP55" s="233"/>
      <c r="AQ55" s="233"/>
      <c r="AR55" s="233"/>
      <c r="AS55" s="233"/>
      <c r="AT55" s="233"/>
      <c r="AU55" s="233"/>
      <c r="AV55" s="233"/>
      <c r="AW55" s="233"/>
      <c r="AX55" s="233"/>
      <c r="AY55" s="233"/>
      <c r="AZ55" s="233"/>
      <c r="BA55" s="233"/>
      <c r="BB55" s="233"/>
      <c r="BC55" s="233"/>
      <c r="BD55" s="233"/>
      <c r="BE55" s="233"/>
      <c r="BF55" s="233"/>
      <c r="BG55" s="233"/>
      <c r="BH55" s="233"/>
      <c r="BI55" s="233"/>
      <c r="BJ55" s="233"/>
      <c r="BK55" s="233"/>
      <c r="BL55" s="233"/>
      <c r="BM55" s="233"/>
      <c r="BN55" s="233"/>
      <c r="BO55" s="233">
        <f>'комплекты фурнитуры'!$C$85</f>
        <v>1110</v>
      </c>
      <c r="BP55" s="234">
        <f>Прайс[[#This Row],[ KFPr-SB-StK ]]*2+Прайс[[#This Row],[КФ петли SENS накл.110 гр. с крестообр. Планкой]]*2</f>
        <v>1240</v>
      </c>
      <c r="BQ55" s="235">
        <f>Прайс[[#This Row],[ KFPr-SB-StK ]]*2+Прайс[[#This Row],[KFP-SB-N110]]*2</f>
        <v>260</v>
      </c>
      <c r="BR55" s="235">
        <f>Прайс[[#This Row],[ KFPr-SB-StK ]]*2+Прайс[[#This Row],[KFP-SB-N110]]*2</f>
        <v>260</v>
      </c>
      <c r="BS55" s="133">
        <v>300</v>
      </c>
      <c r="BT55" s="133">
        <v>720</v>
      </c>
      <c r="BU55" s="133">
        <f>IF(OR(Прайс[[#This Row],[Тип]]="Нижний",Прайс[[#This Row],[Тип]]="Пенал"),"560",IF(Прайс[[#This Row],[Тип]]="Верхний",315,0))</f>
        <v>315</v>
      </c>
      <c r="BV55" s="236">
        <v>1.08</v>
      </c>
      <c r="BW55" s="236">
        <v>1.0649999999999999</v>
      </c>
      <c r="BX55" s="235">
        <v>1.3</v>
      </c>
      <c r="BY55" s="133">
        <v>0</v>
      </c>
      <c r="BZ55" s="133">
        <v>3</v>
      </c>
      <c r="CA55" s="133" t="s">
        <v>10</v>
      </c>
      <c r="CB55" s="235" t="s">
        <v>471</v>
      </c>
      <c r="CC55" s="133">
        <v>1</v>
      </c>
      <c r="CD55" s="133" t="s">
        <v>71</v>
      </c>
      <c r="CE55" s="133">
        <v>2310</v>
      </c>
      <c r="CF55" s="133"/>
      <c r="CG55" s="133"/>
      <c r="CH55" s="133">
        <v>1</v>
      </c>
      <c r="CI55" s="133">
        <v>0</v>
      </c>
      <c r="CJ55" s="133">
        <v>0</v>
      </c>
      <c r="CK55" s="133"/>
      <c r="CL55" s="133"/>
      <c r="CM55" s="133"/>
      <c r="CN55" s="133"/>
      <c r="CO55" s="133" t="s">
        <v>71</v>
      </c>
      <c r="CP55" s="133">
        <f>IF(Прайс[[#This Row],[Наличие подсветки на нижнем горизонте]]="Нет",0,'комплекты фурнитуры'!$C$95)</f>
        <v>400</v>
      </c>
      <c r="CQ55" s="133">
        <f>'комплекты фурнитуры'!$C$53</f>
        <v>340</v>
      </c>
      <c r="CR55" s="133"/>
      <c r="CS55" s="133"/>
      <c r="CT55" s="133"/>
      <c r="CU55" s="133">
        <f>Прайс[[#This Row],[КФ петли JET накл. 105 гр.]]*2</f>
        <v>680</v>
      </c>
    </row>
    <row r="56" spans="1:99" s="134" customFormat="1" ht="15" customHeight="1" x14ac:dyDescent="0.25">
      <c r="A56" s="285" t="s">
        <v>33</v>
      </c>
      <c r="B56" s="132" t="s">
        <v>7</v>
      </c>
      <c r="C56" s="132" t="s">
        <v>772</v>
      </c>
      <c r="D56" s="132" t="s">
        <v>73</v>
      </c>
      <c r="E56" s="132" t="s">
        <v>71</v>
      </c>
      <c r="F56" s="132" t="s">
        <v>87</v>
      </c>
      <c r="G56" s="286">
        <v>360</v>
      </c>
      <c r="H56" s="286">
        <v>1250</v>
      </c>
      <c r="I56" s="286">
        <v>400</v>
      </c>
      <c r="J56" s="286">
        <v>900</v>
      </c>
      <c r="K56" s="286">
        <v>250</v>
      </c>
      <c r="L56" s="286">
        <v>560</v>
      </c>
      <c r="M56" s="132"/>
      <c r="N56" s="231"/>
      <c r="O56" s="232">
        <v>1780</v>
      </c>
      <c r="P56" s="232"/>
      <c r="Q56" s="232"/>
      <c r="R56" s="132">
        <f>'комплекты фурнитуры'!$C$3</f>
        <v>550</v>
      </c>
      <c r="S56" s="132"/>
      <c r="T56" s="132"/>
      <c r="U56" s="132"/>
      <c r="V56" s="132"/>
      <c r="W56" s="132"/>
      <c r="X56" s="132"/>
      <c r="Y56" s="132"/>
      <c r="Z56" s="132"/>
      <c r="AA56" s="132"/>
      <c r="AB56" s="132"/>
      <c r="AC56" s="132"/>
      <c r="AD56" s="132"/>
      <c r="AE56" s="132"/>
      <c r="AF56" s="132">
        <f>'комплекты фурнитуры'!$C$76</f>
        <v>210</v>
      </c>
      <c r="AG56" s="132">
        <f>'комплекты фурнитуры'!$C$77</f>
        <v>30</v>
      </c>
      <c r="AH56" s="233">
        <f>SUM(Прайс[[#This Row],[КФ НСТ11]:[KFPr-SB-ZPG]])</f>
        <v>790</v>
      </c>
      <c r="AI56" s="233"/>
      <c r="AJ56" s="132"/>
      <c r="AK56" s="132"/>
      <c r="AL56" s="132"/>
      <c r="AM56" s="233">
        <f>'комплекты фурнитуры'!$C$66</f>
        <v>620</v>
      </c>
      <c r="AN56" s="233">
        <f>'комплекты фурнитуры'!$C$67</f>
        <v>130</v>
      </c>
      <c r="AO56" s="233"/>
      <c r="AP56" s="233"/>
      <c r="AQ56" s="233"/>
      <c r="AR56" s="233"/>
      <c r="AS56" s="233"/>
      <c r="AT56" s="233"/>
      <c r="AU56" s="233"/>
      <c r="AV56" s="233"/>
      <c r="AW56" s="233"/>
      <c r="AX56" s="233"/>
      <c r="AY56" s="233"/>
      <c r="AZ56" s="233"/>
      <c r="BA56" s="233"/>
      <c r="BB56" s="233"/>
      <c r="BC56" s="233"/>
      <c r="BD56" s="233"/>
      <c r="BE56" s="233"/>
      <c r="BF56" s="233"/>
      <c r="BG56" s="233"/>
      <c r="BH56" s="233"/>
      <c r="BI56" s="233"/>
      <c r="BJ56" s="233"/>
      <c r="BK56" s="233"/>
      <c r="BL56" s="233"/>
      <c r="BM56" s="233"/>
      <c r="BN56" s="233"/>
      <c r="BO56" s="233">
        <f>'комплекты фурнитуры'!$C$85</f>
        <v>1110</v>
      </c>
      <c r="BP56" s="234">
        <f>Прайс[[#This Row],[ KFPr-SB-StK ]]*2+Прайс[[#This Row],[КФ петли SENS накл.110 гр. с крестообр. Планкой]]*4</f>
        <v>2480</v>
      </c>
      <c r="BQ56" s="235">
        <f>Прайс[[#This Row],[ KFPr-SB-StK ]]*2+Прайс[[#This Row],[KFP-SB-N110]]*4</f>
        <v>520</v>
      </c>
      <c r="BR56" s="235">
        <f>Прайс[[#This Row],[ KFPr-SB-StK ]]*2+Прайс[[#This Row],[KFP-SB-N110]]*4</f>
        <v>520</v>
      </c>
      <c r="BS56" s="133">
        <v>300</v>
      </c>
      <c r="BT56" s="133">
        <v>720</v>
      </c>
      <c r="BU56" s="133">
        <f>IF(OR(Прайс[[#This Row],[Тип]]="Нижний",Прайс[[#This Row],[Тип]]="Пенал"),"560",IF(Прайс[[#This Row],[Тип]]="Верхний",315,0))</f>
        <v>315</v>
      </c>
      <c r="BV56" s="236">
        <v>1.08</v>
      </c>
      <c r="BW56" s="236">
        <v>1.0649999999999999</v>
      </c>
      <c r="BX56" s="235">
        <v>1.3</v>
      </c>
      <c r="BY56" s="133">
        <v>0</v>
      </c>
      <c r="BZ56" s="133">
        <v>3</v>
      </c>
      <c r="CA56" s="133" t="s">
        <v>10</v>
      </c>
      <c r="CB56" s="235" t="s">
        <v>471</v>
      </c>
      <c r="CC56" s="133">
        <v>1</v>
      </c>
      <c r="CD56" s="133" t="s">
        <v>71</v>
      </c>
      <c r="CE56" s="133">
        <v>2310</v>
      </c>
      <c r="CF56" s="133"/>
      <c r="CG56" s="133"/>
      <c r="CH56" s="133">
        <v>2</v>
      </c>
      <c r="CI56" s="133">
        <v>0</v>
      </c>
      <c r="CJ56" s="133">
        <v>0</v>
      </c>
      <c r="CK56" s="133"/>
      <c r="CL56" s="133"/>
      <c r="CM56" s="133"/>
      <c r="CN56" s="133"/>
      <c r="CO56" s="133" t="s">
        <v>71</v>
      </c>
      <c r="CP56" s="133">
        <f>IF(Прайс[[#This Row],[Наличие подсветки на нижнем горизонте]]="Нет",0,'комплекты фурнитуры'!$C$95)</f>
        <v>400</v>
      </c>
      <c r="CQ56" s="133">
        <f>'комплекты фурнитуры'!$C$53</f>
        <v>340</v>
      </c>
      <c r="CR56" s="133"/>
      <c r="CS56" s="133"/>
      <c r="CT56" s="133"/>
      <c r="CU56" s="133">
        <f>Прайс[[#This Row],[КФ петли JET накл. 105 гр.]]*4</f>
        <v>1360</v>
      </c>
    </row>
    <row r="57" spans="1:99" s="134" customFormat="1" ht="15" customHeight="1" x14ac:dyDescent="0.25">
      <c r="A57" s="285" t="s">
        <v>34</v>
      </c>
      <c r="B57" s="132" t="s">
        <v>7</v>
      </c>
      <c r="C57" s="132" t="s">
        <v>773</v>
      </c>
      <c r="D57" s="132" t="s">
        <v>73</v>
      </c>
      <c r="E57" s="132" t="s">
        <v>71</v>
      </c>
      <c r="F57" s="132" t="s">
        <v>92</v>
      </c>
      <c r="G57" s="286">
        <v>720</v>
      </c>
      <c r="H57" s="286">
        <v>720</v>
      </c>
      <c r="I57" s="286">
        <v>400</v>
      </c>
      <c r="J57" s="286">
        <v>900</v>
      </c>
      <c r="K57" s="286">
        <v>300</v>
      </c>
      <c r="L57" s="286">
        <v>400</v>
      </c>
      <c r="M57" s="132"/>
      <c r="N57" s="231"/>
      <c r="O57" s="232">
        <v>1780</v>
      </c>
      <c r="P57" s="232"/>
      <c r="Q57" s="232"/>
      <c r="R57" s="132">
        <f>'комплекты фурнитуры'!$C$3</f>
        <v>550</v>
      </c>
      <c r="S57" s="132"/>
      <c r="T57" s="132"/>
      <c r="U57" s="132"/>
      <c r="V57" s="132"/>
      <c r="W57" s="132"/>
      <c r="X57" s="132"/>
      <c r="Y57" s="132"/>
      <c r="Z57" s="132"/>
      <c r="AA57" s="132"/>
      <c r="AB57" s="132"/>
      <c r="AC57" s="132"/>
      <c r="AD57" s="132"/>
      <c r="AE57" s="132"/>
      <c r="AF57" s="132">
        <f>'комплекты фурнитуры'!$C$76</f>
        <v>210</v>
      </c>
      <c r="AG57" s="132">
        <f>'комплекты фурнитуры'!$C$77</f>
        <v>30</v>
      </c>
      <c r="AH57" s="233">
        <f>SUM(Прайс[[#This Row],[КФ НСТ11]:[KFPr-SB-ZPG]])</f>
        <v>790</v>
      </c>
      <c r="AI57" s="233"/>
      <c r="AJ57" s="132"/>
      <c r="AK57" s="132"/>
      <c r="AL57" s="132"/>
      <c r="AM57" s="233"/>
      <c r="AN57" s="233"/>
      <c r="AO57" s="233"/>
      <c r="AP57" s="233"/>
      <c r="AQ57" s="233"/>
      <c r="AR57" s="233"/>
      <c r="AS57" s="233"/>
      <c r="AT57" s="233"/>
      <c r="AU57" s="233"/>
      <c r="AV57" s="233"/>
      <c r="AW57" s="233"/>
      <c r="AX57" s="233"/>
      <c r="AY57" s="233"/>
      <c r="AZ57" s="233">
        <f>'комплекты фурнитуры'!$C$73</f>
        <v>13990</v>
      </c>
      <c r="BA57" s="233"/>
      <c r="BB57" s="233"/>
      <c r="BC57" s="233"/>
      <c r="BD57" s="233"/>
      <c r="BE57" s="233"/>
      <c r="BF57" s="233"/>
      <c r="BG57" s="233"/>
      <c r="BH57" s="233"/>
      <c r="BI57" s="233"/>
      <c r="BJ57" s="233"/>
      <c r="BK57" s="233"/>
      <c r="BL57" s="233"/>
      <c r="BM57" s="233"/>
      <c r="BN57" s="233"/>
      <c r="BO57" s="233">
        <f>'комплекты фурнитуры'!$C$85</f>
        <v>1110</v>
      </c>
      <c r="BP57" s="234">
        <f>Прайс[[#This Row],[KFP-SB-PPHF_W]]</f>
        <v>13990</v>
      </c>
      <c r="BQ57" s="234">
        <f>Прайс[[#This Row],[KFP-SB-PPHF_W]]</f>
        <v>13990</v>
      </c>
      <c r="BR57" s="234">
        <f>Прайс[[#This Row],[KFP-SB-PPHF_W]]</f>
        <v>13990</v>
      </c>
      <c r="BS57" s="133">
        <v>300</v>
      </c>
      <c r="BT57" s="133">
        <v>720</v>
      </c>
      <c r="BU57" s="133">
        <f>IF(OR(Прайс[[#This Row],[Тип]]="Нижний",Прайс[[#This Row],[Тип]]="Пенал"),"560",IF(Прайс[[#This Row],[Тип]]="Верхний",315,0))</f>
        <v>315</v>
      </c>
      <c r="BV57" s="236">
        <v>1.08</v>
      </c>
      <c r="BW57" s="236">
        <v>1.0649999999999999</v>
      </c>
      <c r="BX57" s="235">
        <v>1.3</v>
      </c>
      <c r="BY57" s="133">
        <v>1</v>
      </c>
      <c r="BZ57" s="133">
        <v>1</v>
      </c>
      <c r="CA57" s="133" t="s">
        <v>10</v>
      </c>
      <c r="CB57" s="235" t="s">
        <v>470</v>
      </c>
      <c r="CC57" s="133">
        <v>1</v>
      </c>
      <c r="CD57" s="133" t="s">
        <v>71</v>
      </c>
      <c r="CE57" s="133">
        <v>2310</v>
      </c>
      <c r="CF57" s="133"/>
      <c r="CG57" s="133"/>
      <c r="CH57" s="133">
        <v>2</v>
      </c>
      <c r="CI57" s="133">
        <v>0</v>
      </c>
      <c r="CJ57" s="133">
        <v>0</v>
      </c>
      <c r="CK57" s="133"/>
      <c r="CL57" s="133"/>
      <c r="CM57" s="133"/>
      <c r="CN57" s="133"/>
      <c r="CO57" s="133" t="s">
        <v>71</v>
      </c>
      <c r="CP57" s="133">
        <f>IF(Прайс[[#This Row],[Наличие подсветки на нижнем горизонте]]="Нет",0,'комплекты фурнитуры'!$C$95)</f>
        <v>400</v>
      </c>
      <c r="CQ57" s="133"/>
      <c r="CR57" s="133"/>
      <c r="CS57" s="133"/>
      <c r="CT57" s="133"/>
      <c r="CU57" s="235">
        <f>Прайс[[#This Row],[Комплектация №2]]</f>
        <v>13990</v>
      </c>
    </row>
    <row r="58" spans="1:99" s="134" customFormat="1" ht="15" customHeight="1" x14ac:dyDescent="0.25">
      <c r="A58" s="285" t="s">
        <v>826</v>
      </c>
      <c r="B58" s="132" t="s">
        <v>7</v>
      </c>
      <c r="C58" s="132" t="s">
        <v>827</v>
      </c>
      <c r="D58" s="132" t="s">
        <v>69</v>
      </c>
      <c r="E58" s="132" t="s">
        <v>71</v>
      </c>
      <c r="F58" s="132" t="s">
        <v>87</v>
      </c>
      <c r="G58" s="286">
        <v>360</v>
      </c>
      <c r="H58" s="286">
        <v>1250</v>
      </c>
      <c r="I58" s="286">
        <v>595</v>
      </c>
      <c r="J58" s="286">
        <v>1000</v>
      </c>
      <c r="K58" s="286">
        <v>315</v>
      </c>
      <c r="L58" s="286">
        <v>560</v>
      </c>
      <c r="M58" s="132"/>
      <c r="N58" s="231"/>
      <c r="O58" s="232">
        <v>2960</v>
      </c>
      <c r="P58" s="232"/>
      <c r="Q58" s="232"/>
      <c r="R58" s="132"/>
      <c r="S58" s="132"/>
      <c r="T58" s="132"/>
      <c r="U58" s="132"/>
      <c r="V58" s="132"/>
      <c r="W58" s="132"/>
      <c r="X58" s="132"/>
      <c r="Y58" s="132"/>
      <c r="Z58" s="132"/>
      <c r="AA58" s="132">
        <f>'комплекты фурнитуры'!$C$15</f>
        <v>1130</v>
      </c>
      <c r="AB58" s="132"/>
      <c r="AC58" s="132"/>
      <c r="AD58" s="132"/>
      <c r="AE58" s="132"/>
      <c r="AF58" s="132">
        <f>'комплекты фурнитуры'!$C$76</f>
        <v>210</v>
      </c>
      <c r="AG58" s="132">
        <f>'комплекты фурнитуры'!$C$77</f>
        <v>30</v>
      </c>
      <c r="AH58" s="233">
        <f>SUM(Прайс[[#This Row],[КФ НСТ11]:[KFPr-SB-ZPG]])</f>
        <v>1370</v>
      </c>
      <c r="AI58" s="233"/>
      <c r="AJ58" s="132">
        <f>'комплекты фурнитуры'!$C$82</f>
        <v>30</v>
      </c>
      <c r="AK58" s="132"/>
      <c r="AL58" s="132"/>
      <c r="AM58" s="233"/>
      <c r="AN58" s="233"/>
      <c r="AO58" s="233">
        <f>'комплекты фурнитуры'!$C$60</f>
        <v>1300</v>
      </c>
      <c r="AP58" s="233">
        <f>'комплекты фурнитуры'!$C$62</f>
        <v>480</v>
      </c>
      <c r="AQ58" s="233"/>
      <c r="AR58" s="233"/>
      <c r="AS58" s="233"/>
      <c r="AT58" s="233"/>
      <c r="AU58" s="233"/>
      <c r="AV58" s="233"/>
      <c r="AW58" s="233"/>
      <c r="AX58" s="233"/>
      <c r="AY58" s="233"/>
      <c r="AZ58" s="233"/>
      <c r="BA58" s="233"/>
      <c r="BB58" s="233"/>
      <c r="BC58" s="233"/>
      <c r="BD58" s="233"/>
      <c r="BE58" s="233"/>
      <c r="BF58" s="233"/>
      <c r="BG58" s="233"/>
      <c r="BH58" s="233"/>
      <c r="BI58" s="233"/>
      <c r="BJ58" s="233"/>
      <c r="BK58" s="233"/>
      <c r="BL58" s="233"/>
      <c r="BM58" s="233"/>
      <c r="BN58" s="233"/>
      <c r="BO58" s="233">
        <f>'комплекты фурнитуры'!$C$85</f>
        <v>1110</v>
      </c>
      <c r="BP58" s="234">
        <f>Прайс[[#This Row],[KFPr-SB-SPL]]+Прайс[[#This Row],[КФ петли вклад. 95 гр. с крестообр. планкой]]*2</f>
        <v>2630</v>
      </c>
      <c r="BQ58" s="235">
        <f>Прайс[[#This Row],[KFP-SB-PY94]]*2</f>
        <v>960</v>
      </c>
      <c r="BR58" s="235">
        <f>Прайс[[#This Row],[KFP-SB-PY94]]*2</f>
        <v>960</v>
      </c>
      <c r="BS58" s="133">
        <v>600</v>
      </c>
      <c r="BT58" s="133">
        <v>720</v>
      </c>
      <c r="BU58" s="133">
        <f>IF(OR(Прайс[[#This Row],[Тип]]="Нижний",Прайс[[#This Row],[Тип]]="Пенал"),"560",IF(Прайс[[#This Row],[Тип]]="Верхний",315,0))</f>
        <v>315</v>
      </c>
      <c r="BV58" s="236">
        <v>1.08</v>
      </c>
      <c r="BW58" s="236">
        <v>1.0649999999999999</v>
      </c>
      <c r="BX58" s="235">
        <v>0</v>
      </c>
      <c r="BY58" s="133">
        <v>1</v>
      </c>
      <c r="BZ58" s="133">
        <v>3</v>
      </c>
      <c r="CA58" s="133" t="s">
        <v>10</v>
      </c>
      <c r="CB58" s="235" t="s">
        <v>471</v>
      </c>
      <c r="CC58" s="133">
        <v>1</v>
      </c>
      <c r="CD58" s="133" t="s">
        <v>10</v>
      </c>
      <c r="CE58" s="133">
        <v>3880</v>
      </c>
      <c r="CF58" s="133"/>
      <c r="CG58" s="133"/>
      <c r="CH58" s="133">
        <v>1</v>
      </c>
      <c r="CI58" s="133">
        <v>0</v>
      </c>
      <c r="CJ58" s="133">
        <v>0</v>
      </c>
      <c r="CK58" s="133"/>
      <c r="CL58" s="133"/>
      <c r="CM58" s="133"/>
      <c r="CN58" s="133"/>
      <c r="CO58" s="133" t="s">
        <v>71</v>
      </c>
      <c r="CP58" s="133">
        <f>IF(Прайс[[#This Row],[Наличие подсветки на нижнем горизонте]]="Нет",0,'комплекты фурнитуры'!$C$95)</f>
        <v>400</v>
      </c>
      <c r="CQ58" s="133"/>
      <c r="CR58" s="133">
        <f>'комплекты фурнитуры'!$C$54</f>
        <v>790</v>
      </c>
      <c r="CS58" s="133"/>
      <c r="CT58" s="133"/>
      <c r="CU58" s="133">
        <f>Прайс[[#This Row],[КФ петли JET угловая 180 гр.]]*2+Прайс[[#This Row],[KFPr-SB-SPL]]</f>
        <v>1610</v>
      </c>
    </row>
    <row r="59" spans="1:99" s="134" customFormat="1" ht="15" customHeight="1" x14ac:dyDescent="0.25">
      <c r="A59" s="285" t="s">
        <v>27</v>
      </c>
      <c r="B59" s="132" t="s">
        <v>7</v>
      </c>
      <c r="C59" s="132" t="s">
        <v>819</v>
      </c>
      <c r="D59" s="132" t="s">
        <v>73</v>
      </c>
      <c r="E59" s="132" t="s">
        <v>10</v>
      </c>
      <c r="F59" s="132" t="s">
        <v>91</v>
      </c>
      <c r="G59" s="286">
        <v>240</v>
      </c>
      <c r="H59" s="286">
        <v>2400</v>
      </c>
      <c r="I59" s="286">
        <v>50</v>
      </c>
      <c r="J59" s="286">
        <v>100</v>
      </c>
      <c r="K59" s="286">
        <v>315</v>
      </c>
      <c r="L59" s="286">
        <v>700</v>
      </c>
      <c r="M59" s="132"/>
      <c r="N59" s="231"/>
      <c r="O59" s="232">
        <v>1940</v>
      </c>
      <c r="P59" s="232"/>
      <c r="Q59" s="232"/>
      <c r="R59" s="132"/>
      <c r="S59" s="132"/>
      <c r="T59" s="132"/>
      <c r="U59" s="132"/>
      <c r="V59" s="132"/>
      <c r="W59" s="132"/>
      <c r="X59" s="132"/>
      <c r="Y59" s="132"/>
      <c r="Z59" s="132"/>
      <c r="AA59" s="132"/>
      <c r="AB59" s="132"/>
      <c r="AC59" s="132"/>
      <c r="AD59" s="132">
        <f>'комплекты фурнитуры'!$C$18</f>
        <v>600</v>
      </c>
      <c r="AE59" s="132"/>
      <c r="AF59" s="132"/>
      <c r="AG59" s="132"/>
      <c r="AH59" s="233">
        <f>SUM(Прайс[[#This Row],[КФ НСТ11]:[KFPr-SB-ZPG]])</f>
        <v>600</v>
      </c>
      <c r="AI59" s="233"/>
      <c r="AJ59" s="132"/>
      <c r="AK59" s="132"/>
      <c r="AL59" s="132"/>
      <c r="AM59" s="233"/>
      <c r="AN59" s="233"/>
      <c r="AO59" s="233"/>
      <c r="AP59" s="233"/>
      <c r="AQ59" s="233"/>
      <c r="AR59" s="233"/>
      <c r="AS59" s="233"/>
      <c r="AT59" s="233"/>
      <c r="AU59" s="233"/>
      <c r="AV59" s="233"/>
      <c r="AW59" s="233"/>
      <c r="AX59" s="233"/>
      <c r="AY59" s="233"/>
      <c r="AZ59" s="233"/>
      <c r="BA59" s="233"/>
      <c r="BB59" s="233"/>
      <c r="BC59" s="233"/>
      <c r="BD59" s="233"/>
      <c r="BE59" s="233"/>
      <c r="BF59" s="233"/>
      <c r="BG59" s="233"/>
      <c r="BH59" s="233"/>
      <c r="BI59" s="233"/>
      <c r="BJ59" s="233"/>
      <c r="BK59" s="233"/>
      <c r="BL59" s="233"/>
      <c r="BM59" s="233"/>
      <c r="BN59" s="233"/>
      <c r="BO59" s="233"/>
      <c r="BP59" s="234">
        <v>0</v>
      </c>
      <c r="BQ59" s="235">
        <v>0</v>
      </c>
      <c r="BR59" s="235">
        <v>0</v>
      </c>
      <c r="BS59" s="133">
        <v>100</v>
      </c>
      <c r="BT59" s="133">
        <v>720</v>
      </c>
      <c r="BU59" s="133">
        <v>560</v>
      </c>
      <c r="BV59" s="236">
        <v>1.08</v>
      </c>
      <c r="BW59" s="236">
        <v>1.0649999999999999</v>
      </c>
      <c r="BX59" s="235">
        <v>1.3</v>
      </c>
      <c r="BY59" s="133">
        <v>0</v>
      </c>
      <c r="BZ59" s="133">
        <v>0</v>
      </c>
      <c r="CA59" s="133" t="s">
        <v>10</v>
      </c>
      <c r="CB59" s="235" t="s">
        <v>469</v>
      </c>
      <c r="CC59" s="133">
        <v>0</v>
      </c>
      <c r="CD59" s="133" t="s">
        <v>10</v>
      </c>
      <c r="CE59" s="133">
        <v>2560</v>
      </c>
      <c r="CF59" s="133"/>
      <c r="CG59" s="133"/>
      <c r="CH59" s="133">
        <v>1</v>
      </c>
      <c r="CI59" s="133">
        <v>0</v>
      </c>
      <c r="CJ59" s="133">
        <v>0</v>
      </c>
      <c r="CK59" s="133"/>
      <c r="CL59" s="133"/>
      <c r="CM59" s="133"/>
      <c r="CN59" s="133"/>
      <c r="CO59" s="133" t="s">
        <v>10</v>
      </c>
      <c r="CP59" s="133">
        <f>IF(Прайс[[#This Row],[Наличие подсветки на нижнем горизонте]]="Нет",0,'комплекты фурнитуры'!$C$95)</f>
        <v>0</v>
      </c>
      <c r="CQ59" s="133"/>
      <c r="CR59" s="133"/>
      <c r="CS59" s="133"/>
      <c r="CT59" s="133"/>
      <c r="CU59" s="235">
        <f>Прайс[[#This Row],[Комплектация №2]]</f>
        <v>0</v>
      </c>
    </row>
    <row r="60" spans="1:99" s="134" customFormat="1" ht="15" customHeight="1" x14ac:dyDescent="0.25">
      <c r="A60" s="297" t="s">
        <v>35</v>
      </c>
      <c r="B60" s="132" t="s">
        <v>7</v>
      </c>
      <c r="C60" s="132" t="s">
        <v>774</v>
      </c>
      <c r="D60" s="132" t="s">
        <v>75</v>
      </c>
      <c r="E60" s="132" t="s">
        <v>10</v>
      </c>
      <c r="F60" s="132" t="s">
        <v>87</v>
      </c>
      <c r="G60" s="286">
        <v>480</v>
      </c>
      <c r="H60" s="286">
        <v>960</v>
      </c>
      <c r="I60" s="286">
        <v>210</v>
      </c>
      <c r="J60" s="286">
        <v>210</v>
      </c>
      <c r="K60" s="286">
        <v>300</v>
      </c>
      <c r="L60" s="286">
        <v>500</v>
      </c>
      <c r="M60" s="132"/>
      <c r="N60" s="231" t="s">
        <v>55</v>
      </c>
      <c r="O60" s="232">
        <v>2170</v>
      </c>
      <c r="P60" s="232"/>
      <c r="Q60" s="232"/>
      <c r="R60" s="132"/>
      <c r="S60" s="132"/>
      <c r="T60" s="132"/>
      <c r="U60" s="132"/>
      <c r="V60" s="132">
        <f>'комплекты фурнитуры'!$C$9</f>
        <v>950</v>
      </c>
      <c r="W60" s="132"/>
      <c r="X60" s="132"/>
      <c r="Y60" s="132"/>
      <c r="Z60" s="132"/>
      <c r="AA60" s="132"/>
      <c r="AB60" s="132"/>
      <c r="AC60" s="132"/>
      <c r="AD60" s="132"/>
      <c r="AE60" s="132"/>
      <c r="AF60" s="132"/>
      <c r="AG60" s="132"/>
      <c r="AH60" s="233">
        <f>SUM(Прайс[[#This Row],[КФ НСТ11]:[KFPr-SB-ZPG]])</f>
        <v>950</v>
      </c>
      <c r="AI60" s="233">
        <f>'комплекты фурнитуры'!$C$83</f>
        <v>40</v>
      </c>
      <c r="AJ60" s="132"/>
      <c r="AK60" s="132"/>
      <c r="AL60" s="132"/>
      <c r="AM60" s="233"/>
      <c r="AN60" s="233"/>
      <c r="AO60" s="233"/>
      <c r="AP60" s="233"/>
      <c r="AQ60" s="233">
        <f>'комплекты фурнитуры'!$C$58</f>
        <v>1560</v>
      </c>
      <c r="AR60" s="233">
        <f>'комплекты фурнитуры'!$C$59</f>
        <v>190</v>
      </c>
      <c r="AS60" s="233"/>
      <c r="AT60" s="233"/>
      <c r="AU60" s="233"/>
      <c r="AV60" s="233"/>
      <c r="AW60" s="233"/>
      <c r="AX60" s="233"/>
      <c r="AY60" s="233"/>
      <c r="AZ60" s="233"/>
      <c r="BA60" s="233"/>
      <c r="BB60" s="233"/>
      <c r="BC60" s="233"/>
      <c r="BD60" s="233"/>
      <c r="BE60" s="233"/>
      <c r="BF60" s="233"/>
      <c r="BG60" s="233"/>
      <c r="BH60" s="233"/>
      <c r="BI60" s="233"/>
      <c r="BJ60" s="233"/>
      <c r="BK60" s="233"/>
      <c r="BL60" s="233"/>
      <c r="BM60" s="233"/>
      <c r="BN60" s="233"/>
      <c r="BO60" s="233"/>
      <c r="BP60" s="234">
        <f>Прайс[[#This Row],[ KFPr-SB-StK ]]*2+Прайс[[#This Row],[КKFP-SB-GT45]]*2</f>
        <v>3200</v>
      </c>
      <c r="BQ60" s="235">
        <f>Прайс[[#This Row],[ KFPr-SB-StK ]]*2+Прайс[[#This Row],[KFP-SB-N45]]*2</f>
        <v>460</v>
      </c>
      <c r="BR60" s="235">
        <f>Прайс[[#This Row],[KFP-SB-N45]]*2</f>
        <v>380</v>
      </c>
      <c r="BS60" s="133">
        <v>210</v>
      </c>
      <c r="BT60" s="133">
        <v>960</v>
      </c>
      <c r="BU60" s="133">
        <f>IF(OR(Прайс[[#This Row],[Тип]]="Нижний",Прайс[[#This Row],[Тип]]="Пенал"),"560",IF(Прайс[[#This Row],[Тип]]="Верхний",315,0))</f>
        <v>315</v>
      </c>
      <c r="BV60" s="236">
        <v>1.08</v>
      </c>
      <c r="BW60" s="236">
        <v>1.0649999999999999</v>
      </c>
      <c r="BX60" s="235">
        <v>1.3</v>
      </c>
      <c r="BY60" s="133">
        <v>1</v>
      </c>
      <c r="BZ60" s="133">
        <v>3</v>
      </c>
      <c r="CA60" s="133" t="s">
        <v>71</v>
      </c>
      <c r="CB60" s="235" t="s">
        <v>469</v>
      </c>
      <c r="CC60" s="133">
        <v>2</v>
      </c>
      <c r="CD60" s="133" t="s">
        <v>10</v>
      </c>
      <c r="CE60" s="133">
        <v>2890</v>
      </c>
      <c r="CF60" s="133"/>
      <c r="CG60" s="133"/>
      <c r="CH60" s="133">
        <v>1</v>
      </c>
      <c r="CI60" s="133">
        <v>0</v>
      </c>
      <c r="CJ60" s="133">
        <v>0</v>
      </c>
      <c r="CK60" s="133"/>
      <c r="CL60" s="133"/>
      <c r="CM60" s="133"/>
      <c r="CN60" s="133"/>
      <c r="CO60" s="133" t="s">
        <v>10</v>
      </c>
      <c r="CP60" s="133">
        <f>IF(Прайс[[#This Row],[Наличие подсветки на нижнем горизонте]]="Нет",0,'комплекты фурнитуры'!$C$95)</f>
        <v>0</v>
      </c>
      <c r="CQ60" s="133"/>
      <c r="CR60" s="133"/>
      <c r="CS60" s="133"/>
      <c r="CT60" s="133"/>
      <c r="CU60" s="235">
        <f>Прайс[[#This Row],[Комплектация №2]]</f>
        <v>3200</v>
      </c>
    </row>
    <row r="61" spans="1:99" s="134" customFormat="1" ht="15" customHeight="1" x14ac:dyDescent="0.25">
      <c r="A61" s="285" t="s">
        <v>36</v>
      </c>
      <c r="B61" s="132" t="s">
        <v>9</v>
      </c>
      <c r="C61" s="132" t="s">
        <v>775</v>
      </c>
      <c r="D61" s="132" t="s">
        <v>73</v>
      </c>
      <c r="E61" s="132" t="s">
        <v>10</v>
      </c>
      <c r="F61" s="132" t="s">
        <v>87</v>
      </c>
      <c r="G61" s="286">
        <v>1220</v>
      </c>
      <c r="H61" s="286">
        <v>1500</v>
      </c>
      <c r="I61" s="286">
        <v>150</v>
      </c>
      <c r="J61" s="286">
        <v>600</v>
      </c>
      <c r="K61" s="286">
        <v>300</v>
      </c>
      <c r="L61" s="286">
        <v>640</v>
      </c>
      <c r="M61" s="132"/>
      <c r="N61" s="231"/>
      <c r="O61" s="232">
        <v>5220</v>
      </c>
      <c r="P61" s="232"/>
      <c r="Q61" s="232"/>
      <c r="R61" s="132"/>
      <c r="S61" s="132"/>
      <c r="T61" s="132"/>
      <c r="U61" s="132"/>
      <c r="V61" s="132"/>
      <c r="W61" s="132"/>
      <c r="X61" s="132"/>
      <c r="Y61" s="132">
        <f>'комплекты фурнитуры'!$C$13</f>
        <v>740</v>
      </c>
      <c r="Z61" s="132"/>
      <c r="AA61" s="132"/>
      <c r="AB61" s="132"/>
      <c r="AC61" s="132"/>
      <c r="AD61" s="132"/>
      <c r="AE61" s="132">
        <f>'комплекты фурнитуры'!$C$23*2</f>
        <v>560</v>
      </c>
      <c r="AF61" s="132"/>
      <c r="AG61" s="132"/>
      <c r="AH61" s="233">
        <f>SUM(Прайс[[#This Row],[КФ НСТ11]:[KFPr-SB-ZPG]])</f>
        <v>1300</v>
      </c>
      <c r="AI61" s="233"/>
      <c r="AJ61" s="132"/>
      <c r="AK61" s="132"/>
      <c r="AL61" s="299"/>
      <c r="AM61" s="233">
        <f>'комплекты фурнитуры'!$C$66</f>
        <v>620</v>
      </c>
      <c r="AN61" s="233">
        <f>'комплекты фурнитуры'!$C$67</f>
        <v>130</v>
      </c>
      <c r="AO61" s="233"/>
      <c r="AP61" s="233"/>
      <c r="AQ61" s="233"/>
      <c r="AR61" s="233"/>
      <c r="AS61" s="233"/>
      <c r="AT61" s="233"/>
      <c r="AU61" s="233"/>
      <c r="AV61" s="233"/>
      <c r="AW61" s="292"/>
      <c r="AX61" s="233"/>
      <c r="AY61" s="292"/>
      <c r="AZ61" s="233"/>
      <c r="BA61" s="233"/>
      <c r="BB61" s="292"/>
      <c r="BC61" s="292"/>
      <c r="BD61" s="292"/>
      <c r="BE61" s="292"/>
      <c r="BF61" s="292"/>
      <c r="BG61" s="292"/>
      <c r="BH61" s="292"/>
      <c r="BI61" s="292"/>
      <c r="BJ61" s="233"/>
      <c r="BK61" s="233"/>
      <c r="BL61" s="233"/>
      <c r="BM61" s="233"/>
      <c r="BN61" s="233"/>
      <c r="BO61" s="233"/>
      <c r="BP61" s="234">
        <f>Прайс[[#This Row],[КФ петли SENS накл.110 гр. с крестообр. Планкой]]*3</f>
        <v>1860</v>
      </c>
      <c r="BQ61" s="235">
        <f>Прайс[[#This Row],[KFP-SB-N110]]*3</f>
        <v>390</v>
      </c>
      <c r="BR61" s="235">
        <f>Прайс[[#This Row],[KFP-SB-N110]]*3</f>
        <v>390</v>
      </c>
      <c r="BS61" s="133">
        <v>600</v>
      </c>
      <c r="BT61" s="133">
        <v>1320</v>
      </c>
      <c r="BU61" s="133" t="str">
        <f>IF(OR(Прайс[[#This Row],[Тип]]="Нижний",Прайс[[#This Row],[Тип]]="Пенал"),"560",IF(Прайс[[#This Row],[Тип]]="Верхний",315,0))</f>
        <v>560</v>
      </c>
      <c r="BV61" s="236">
        <v>1.08</v>
      </c>
      <c r="BW61" s="236">
        <v>1.0649999999999999</v>
      </c>
      <c r="BX61" s="235">
        <v>1.3</v>
      </c>
      <c r="BY61" s="133">
        <v>2</v>
      </c>
      <c r="BZ61" s="133">
        <v>2</v>
      </c>
      <c r="CA61" s="133" t="s">
        <v>71</v>
      </c>
      <c r="CB61" s="235" t="s">
        <v>469</v>
      </c>
      <c r="CC61" s="133">
        <v>2</v>
      </c>
      <c r="CD61" s="133" t="s">
        <v>71</v>
      </c>
      <c r="CE61" s="133">
        <v>7410</v>
      </c>
      <c r="CF61" s="133"/>
      <c r="CG61" s="133"/>
      <c r="CH61" s="133">
        <v>1</v>
      </c>
      <c r="CI61" s="133">
        <v>0</v>
      </c>
      <c r="CJ61" s="133">
        <v>0</v>
      </c>
      <c r="CK61" s="133"/>
      <c r="CL61" s="133"/>
      <c r="CM61" s="133"/>
      <c r="CN61" s="133"/>
      <c r="CO61" s="133" t="s">
        <v>10</v>
      </c>
      <c r="CP61" s="133">
        <f>IF(Прайс[[#This Row],[Наличие подсветки на нижнем горизонте]]="Нет",0,'комплекты фурнитуры'!$C$95)</f>
        <v>0</v>
      </c>
      <c r="CQ61" s="133">
        <f>'комплекты фурнитуры'!$C$53</f>
        <v>340</v>
      </c>
      <c r="CR61" s="133"/>
      <c r="CS61" s="133"/>
      <c r="CT61" s="133"/>
      <c r="CU61" s="133">
        <f>Прайс[[#This Row],[КФ петли JET накл. 105 гр.]]*3</f>
        <v>1020</v>
      </c>
    </row>
    <row r="62" spans="1:99" s="134" customFormat="1" ht="15" customHeight="1" x14ac:dyDescent="0.25">
      <c r="A62" s="285" t="s">
        <v>37</v>
      </c>
      <c r="B62" s="132" t="s">
        <v>9</v>
      </c>
      <c r="C62" s="132" t="s">
        <v>776</v>
      </c>
      <c r="D62" s="132" t="s">
        <v>73</v>
      </c>
      <c r="E62" s="132" t="s">
        <v>71</v>
      </c>
      <c r="F62" s="132" t="s">
        <v>87</v>
      </c>
      <c r="G62" s="286">
        <v>1220</v>
      </c>
      <c r="H62" s="286">
        <v>1500</v>
      </c>
      <c r="I62" s="286">
        <v>150</v>
      </c>
      <c r="J62" s="286">
        <v>600</v>
      </c>
      <c r="K62" s="286">
        <v>300</v>
      </c>
      <c r="L62" s="286">
        <v>640</v>
      </c>
      <c r="M62" s="132"/>
      <c r="N62" s="231"/>
      <c r="O62" s="232">
        <v>5637.6</v>
      </c>
      <c r="P62" s="232">
        <v>740</v>
      </c>
      <c r="Q62" s="2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>
        <f>'комплекты фурнитуры'!$C$23*2</f>
        <v>560</v>
      </c>
      <c r="AF62" s="132"/>
      <c r="AG62" s="132"/>
      <c r="AH62" s="233">
        <f>SUM(Прайс[[#This Row],[КФ НСТ11]:[KFPr-SB-ZPG]])</f>
        <v>1300</v>
      </c>
      <c r="AI62" s="233"/>
      <c r="AJ62" s="132"/>
      <c r="AK62" s="132"/>
      <c r="AL62" s="299">
        <f>'комплекты фурнитуры'!$C$89</f>
        <v>290</v>
      </c>
      <c r="AM62" s="233">
        <f>'комплекты фурнитуры'!$C$66</f>
        <v>620</v>
      </c>
      <c r="AN62" s="292"/>
      <c r="AO62" s="233"/>
      <c r="AP62" s="233"/>
      <c r="AQ62" s="233"/>
      <c r="AR62" s="233"/>
      <c r="AS62" s="233"/>
      <c r="AT62" s="233"/>
      <c r="AU62" s="233"/>
      <c r="AV62" s="233"/>
      <c r="AW62" s="292"/>
      <c r="AX62" s="233"/>
      <c r="AY62" s="292"/>
      <c r="AZ62" s="233"/>
      <c r="BA62" s="233"/>
      <c r="BB62" s="292"/>
      <c r="BC62" s="292"/>
      <c r="BD62" s="292"/>
      <c r="BE62" s="292"/>
      <c r="BF62" s="292"/>
      <c r="BG62" s="292"/>
      <c r="BH62" s="292"/>
      <c r="BI62" s="292"/>
      <c r="BJ62" s="233"/>
      <c r="BK62" s="233"/>
      <c r="BL62" s="233"/>
      <c r="BM62" s="233"/>
      <c r="BN62" s="233"/>
      <c r="BO62" s="233"/>
      <c r="BP62" s="234">
        <f>Прайс[[#This Row],[КФ KEKU]]*4+Прайс[[#This Row],[КФ петли SENS накл.110 гр. с крестообр. Планкой]]*3</f>
        <v>3020</v>
      </c>
      <c r="BQ62" s="234">
        <f>Прайс[[#This Row],[КФ KEKU]]*4+Прайс[[#This Row],[КФ петли SENS накл.110 гр. с крестообр. Планкой]]*3</f>
        <v>3020</v>
      </c>
      <c r="BR62" s="234">
        <f>Прайс[[#This Row],[КФ KEKU]]*4+Прайс[[#This Row],[КФ петли SENS накл.110 гр. с крестообр. Планкой]]*3</f>
        <v>3020</v>
      </c>
      <c r="BS62" s="133">
        <v>600</v>
      </c>
      <c r="BT62" s="133">
        <v>1320</v>
      </c>
      <c r="BU62" s="133" t="str">
        <f>IF(OR(Прайс[[#This Row],[Тип]]="Нижний",Прайс[[#This Row],[Тип]]="Пенал"),"560",IF(Прайс[[#This Row],[Тип]]="Верхний",315,0))</f>
        <v>560</v>
      </c>
      <c r="BV62" s="236">
        <v>1.08</v>
      </c>
      <c r="BW62" s="236">
        <v>1.0649999999999999</v>
      </c>
      <c r="BX62" s="235">
        <v>1.3</v>
      </c>
      <c r="BY62" s="133">
        <v>2</v>
      </c>
      <c r="BZ62" s="133">
        <v>2</v>
      </c>
      <c r="CA62" s="133" t="s">
        <v>10</v>
      </c>
      <c r="CB62" s="235" t="s">
        <v>470</v>
      </c>
      <c r="CC62" s="133">
        <v>2</v>
      </c>
      <c r="CD62" s="133" t="s">
        <v>71</v>
      </c>
      <c r="CE62" s="133">
        <v>8002.8</v>
      </c>
      <c r="CF62" s="133"/>
      <c r="CG62" s="133"/>
      <c r="CH62" s="133">
        <v>1</v>
      </c>
      <c r="CI62" s="133">
        <v>0</v>
      </c>
      <c r="CJ62" s="133">
        <v>0</v>
      </c>
      <c r="CK62" s="133"/>
      <c r="CL62" s="133"/>
      <c r="CM62" s="133"/>
      <c r="CN62" s="133"/>
      <c r="CO62" s="133" t="s">
        <v>10</v>
      </c>
      <c r="CP62" s="133">
        <f>IF(Прайс[[#This Row],[Наличие подсветки на нижнем горизонте]]="Нет",0,'комплекты фурнитуры'!$C$95)</f>
        <v>0</v>
      </c>
      <c r="CQ62" s="133">
        <f>'комплекты фурнитуры'!$C$53</f>
        <v>340</v>
      </c>
      <c r="CR62" s="133"/>
      <c r="CS62" s="133"/>
      <c r="CT62" s="133"/>
      <c r="CU62" s="133">
        <f>Прайс[[#This Row],[КФ KEKU]]*4+Прайс[[#This Row],[КФ петли JET накл. 105 гр.]]*3</f>
        <v>2180</v>
      </c>
    </row>
    <row r="63" spans="1:99" s="134" customFormat="1" ht="15" customHeight="1" x14ac:dyDescent="0.25">
      <c r="A63" s="285" t="s">
        <v>497</v>
      </c>
      <c r="B63" s="132" t="s">
        <v>9</v>
      </c>
      <c r="C63" s="132" t="s">
        <v>777</v>
      </c>
      <c r="D63" s="132" t="s">
        <v>73</v>
      </c>
      <c r="E63" s="132" t="s">
        <v>10</v>
      </c>
      <c r="F63" s="132" t="s">
        <v>96</v>
      </c>
      <c r="G63" s="286">
        <v>1187</v>
      </c>
      <c r="H63" s="286">
        <v>1187</v>
      </c>
      <c r="I63" s="286">
        <v>600</v>
      </c>
      <c r="J63" s="286">
        <v>600</v>
      </c>
      <c r="K63" s="286">
        <v>560</v>
      </c>
      <c r="L63" s="286">
        <v>560</v>
      </c>
      <c r="M63" s="132"/>
      <c r="N63" s="231" t="s">
        <v>65</v>
      </c>
      <c r="O63" s="232">
        <v>5220</v>
      </c>
      <c r="P63" s="232"/>
      <c r="Q63" s="232"/>
      <c r="R63" s="132"/>
      <c r="S63" s="132"/>
      <c r="T63" s="132"/>
      <c r="U63" s="132"/>
      <c r="V63" s="132"/>
      <c r="W63" s="132"/>
      <c r="X63" s="132"/>
      <c r="Y63" s="132">
        <f>'комплекты фурнитуры'!$C$13</f>
        <v>740</v>
      </c>
      <c r="Z63" s="132"/>
      <c r="AA63" s="132"/>
      <c r="AB63" s="132"/>
      <c r="AC63" s="132"/>
      <c r="AD63" s="132"/>
      <c r="AE63" s="132">
        <f>'комплекты фурнитуры'!$C$23*2</f>
        <v>560</v>
      </c>
      <c r="AF63" s="132"/>
      <c r="AG63" s="132"/>
      <c r="AH63" s="233">
        <f>SUM(Прайс[[#This Row],[КФ НСТ11]:[KFPr-SB-ZPG]])</f>
        <v>1300</v>
      </c>
      <c r="AI63" s="233"/>
      <c r="AJ63" s="132"/>
      <c r="AK63" s="132"/>
      <c r="AL63" s="299"/>
      <c r="AM63" s="233">
        <f>'комплекты фурнитуры'!$C$66</f>
        <v>620</v>
      </c>
      <c r="AN63" s="233">
        <f>'комплекты фурнитуры'!$C$67</f>
        <v>130</v>
      </c>
      <c r="AO63" s="233"/>
      <c r="AP63" s="233"/>
      <c r="AQ63" s="233"/>
      <c r="AR63" s="233"/>
      <c r="AS63" s="233"/>
      <c r="AT63" s="233"/>
      <c r="AU63" s="233"/>
      <c r="AV63" s="233"/>
      <c r="AW63" s="292"/>
      <c r="AX63" s="233"/>
      <c r="AY63" s="292"/>
      <c r="AZ63" s="233"/>
      <c r="BA63" s="233"/>
      <c r="BB63" s="292"/>
      <c r="BC63" s="292"/>
      <c r="BD63" s="292"/>
      <c r="BE63" s="292"/>
      <c r="BF63" s="292"/>
      <c r="BG63" s="292"/>
      <c r="BH63" s="292"/>
      <c r="BI63" s="292"/>
      <c r="BJ63" s="233"/>
      <c r="BK63" s="233"/>
      <c r="BL63" s="233"/>
      <c r="BM63" s="233"/>
      <c r="BN63" s="233"/>
      <c r="BO63" s="233"/>
      <c r="BP63" s="234">
        <f>Прайс[[#This Row],[КФ петли SENS накл.110 гр. с крестообр. Планкой]]*2</f>
        <v>1240</v>
      </c>
      <c r="BQ63" s="235">
        <f>Прайс[[#This Row],[KFP-SB-N110]]*2</f>
        <v>260</v>
      </c>
      <c r="BR63" s="235">
        <f>Прайс[[#This Row],[KFP-SB-N110]]*2</f>
        <v>260</v>
      </c>
      <c r="BS63" s="133">
        <v>600</v>
      </c>
      <c r="BT63" s="133">
        <v>1320</v>
      </c>
      <c r="BU63" s="133" t="str">
        <f>IF(OR(Прайс[[#This Row],[Тип]]="Нижний",Прайс[[#This Row],[Тип]]="Пенал"),"560",IF(Прайс[[#This Row],[Тип]]="Верхний",315,0))</f>
        <v>560</v>
      </c>
      <c r="BV63" s="236">
        <v>1.08</v>
      </c>
      <c r="BW63" s="236">
        <v>1.0649999999999999</v>
      </c>
      <c r="BX63" s="235">
        <v>1.3</v>
      </c>
      <c r="BY63" s="133">
        <v>1</v>
      </c>
      <c r="BZ63" s="133">
        <v>1</v>
      </c>
      <c r="CA63" s="133" t="s">
        <v>71</v>
      </c>
      <c r="CB63" s="235" t="s">
        <v>469</v>
      </c>
      <c r="CC63" s="133">
        <v>1</v>
      </c>
      <c r="CD63" s="133" t="s">
        <v>10</v>
      </c>
      <c r="CE63" s="133">
        <v>7410</v>
      </c>
      <c r="CF63" s="133"/>
      <c r="CG63" s="133"/>
      <c r="CH63" s="133">
        <v>1</v>
      </c>
      <c r="CI63" s="133">
        <v>0</v>
      </c>
      <c r="CJ63" s="133">
        <v>0</v>
      </c>
      <c r="CK63" s="133"/>
      <c r="CL63" s="133"/>
      <c r="CM63" s="133"/>
      <c r="CN63" s="133"/>
      <c r="CO63" s="133" t="s">
        <v>10</v>
      </c>
      <c r="CP63" s="133">
        <f>IF(Прайс[[#This Row],[Наличие подсветки на нижнем горизонте]]="Нет",0,'комплекты фурнитуры'!$C$95)</f>
        <v>0</v>
      </c>
      <c r="CQ63" s="133">
        <f>'комплекты фурнитуры'!$C$53</f>
        <v>340</v>
      </c>
      <c r="CR63" s="133"/>
      <c r="CS63" s="133"/>
      <c r="CT63" s="133"/>
      <c r="CU63" s="133">
        <f>Прайс[[#This Row],[КФ петли JET накл. 105 гр.]]*2</f>
        <v>680</v>
      </c>
    </row>
    <row r="64" spans="1:99" s="134" customFormat="1" ht="15" customHeight="1" x14ac:dyDescent="0.25">
      <c r="A64" s="285" t="s">
        <v>498</v>
      </c>
      <c r="B64" s="132" t="s">
        <v>9</v>
      </c>
      <c r="C64" s="132" t="s">
        <v>778</v>
      </c>
      <c r="D64" s="132" t="s">
        <v>73</v>
      </c>
      <c r="E64" s="132" t="s">
        <v>10</v>
      </c>
      <c r="F64" s="132" t="s">
        <v>96</v>
      </c>
      <c r="G64" s="286">
        <v>1320</v>
      </c>
      <c r="H64" s="286">
        <v>1320</v>
      </c>
      <c r="I64" s="286">
        <v>600</v>
      </c>
      <c r="J64" s="286">
        <v>600</v>
      </c>
      <c r="K64" s="286">
        <v>560</v>
      </c>
      <c r="L64" s="286">
        <v>560</v>
      </c>
      <c r="M64" s="132"/>
      <c r="N64" s="231" t="s">
        <v>65</v>
      </c>
      <c r="O64" s="232">
        <v>5220</v>
      </c>
      <c r="P64" s="232"/>
      <c r="Q64" s="232"/>
      <c r="R64" s="132"/>
      <c r="S64" s="132"/>
      <c r="T64" s="132"/>
      <c r="U64" s="132"/>
      <c r="V64" s="132"/>
      <c r="W64" s="132"/>
      <c r="X64" s="132"/>
      <c r="Y64" s="132">
        <f>'комплекты фурнитуры'!$C$13</f>
        <v>740</v>
      </c>
      <c r="Z64" s="132"/>
      <c r="AA64" s="132"/>
      <c r="AB64" s="132"/>
      <c r="AC64" s="132"/>
      <c r="AD64" s="132"/>
      <c r="AE64" s="132">
        <f>'комплекты фурнитуры'!$C$23*2</f>
        <v>560</v>
      </c>
      <c r="AF64" s="132"/>
      <c r="AG64" s="132"/>
      <c r="AH64" s="233">
        <f>SUM(Прайс[[#This Row],[КФ НСТ11]:[KFPr-SB-ZPG]])</f>
        <v>1300</v>
      </c>
      <c r="AI64" s="233"/>
      <c r="AJ64" s="132"/>
      <c r="AK64" s="132"/>
      <c r="AL64" s="299"/>
      <c r="AM64" s="233">
        <f>'комплекты фурнитуры'!$C$66</f>
        <v>620</v>
      </c>
      <c r="AN64" s="233">
        <f>'комплекты фурнитуры'!$C$67</f>
        <v>130</v>
      </c>
      <c r="AO64" s="233"/>
      <c r="AP64" s="233"/>
      <c r="AQ64" s="233"/>
      <c r="AR64" s="233"/>
      <c r="AS64" s="233"/>
      <c r="AT64" s="233"/>
      <c r="AU64" s="233"/>
      <c r="AV64" s="233"/>
      <c r="AW64" s="292"/>
      <c r="AX64" s="233"/>
      <c r="AY64" s="292"/>
      <c r="AZ64" s="233"/>
      <c r="BA64" s="233"/>
      <c r="BB64" s="292"/>
      <c r="BC64" s="292"/>
      <c r="BD64" s="292"/>
      <c r="BE64" s="292"/>
      <c r="BF64" s="292"/>
      <c r="BG64" s="292"/>
      <c r="BH64" s="292"/>
      <c r="BI64" s="292"/>
      <c r="BJ64" s="233"/>
      <c r="BK64" s="233"/>
      <c r="BL64" s="233"/>
      <c r="BM64" s="233"/>
      <c r="BN64" s="233"/>
      <c r="BO64" s="233"/>
      <c r="BP64" s="234">
        <f>Прайс[[#This Row],[КФ петли SENS накл.110 гр. с крестообр. Планкой]]*2</f>
        <v>1240</v>
      </c>
      <c r="BQ64" s="235">
        <f>Прайс[[#This Row],[KFP-SB-N110]]*2</f>
        <v>260</v>
      </c>
      <c r="BR64" s="235">
        <f>Прайс[[#This Row],[KFP-SB-N110]]*2</f>
        <v>260</v>
      </c>
      <c r="BS64" s="133">
        <v>600</v>
      </c>
      <c r="BT64" s="133">
        <v>1320</v>
      </c>
      <c r="BU64" s="133" t="str">
        <f>IF(OR(Прайс[[#This Row],[Тип]]="Нижний",Прайс[[#This Row],[Тип]]="Пенал"),"560",IF(Прайс[[#This Row],[Тип]]="Верхний",315,0))</f>
        <v>560</v>
      </c>
      <c r="BV64" s="236">
        <v>1.08</v>
      </c>
      <c r="BW64" s="236">
        <v>1.0649999999999999</v>
      </c>
      <c r="BX64" s="235">
        <v>1.3</v>
      </c>
      <c r="BY64" s="133">
        <v>1</v>
      </c>
      <c r="BZ64" s="133">
        <v>1</v>
      </c>
      <c r="CA64" s="133" t="s">
        <v>71</v>
      </c>
      <c r="CB64" s="235" t="s">
        <v>469</v>
      </c>
      <c r="CC64" s="133">
        <v>1</v>
      </c>
      <c r="CD64" s="133" t="s">
        <v>10</v>
      </c>
      <c r="CE64" s="133">
        <v>7410</v>
      </c>
      <c r="CF64" s="133"/>
      <c r="CG64" s="133"/>
      <c r="CH64" s="133">
        <v>1</v>
      </c>
      <c r="CI64" s="133">
        <v>0</v>
      </c>
      <c r="CJ64" s="133">
        <v>0</v>
      </c>
      <c r="CK64" s="133"/>
      <c r="CL64" s="133"/>
      <c r="CM64" s="133"/>
      <c r="CN64" s="133"/>
      <c r="CO64" s="133" t="s">
        <v>10</v>
      </c>
      <c r="CP64" s="133">
        <f>IF(Прайс[[#This Row],[Наличие подсветки на нижнем горизонте]]="Нет",0,'комплекты фурнитуры'!$C$95)</f>
        <v>0</v>
      </c>
      <c r="CQ64" s="133">
        <f>'комплекты фурнитуры'!$C$53</f>
        <v>340</v>
      </c>
      <c r="CR64" s="133"/>
      <c r="CS64" s="133"/>
      <c r="CT64" s="133"/>
      <c r="CU64" s="133">
        <f>Прайс[[#This Row],[КФ петли JET накл. 105 гр.]]*2</f>
        <v>680</v>
      </c>
    </row>
    <row r="65" spans="1:99" s="134" customFormat="1" ht="14.25" customHeight="1" x14ac:dyDescent="0.25">
      <c r="A65" s="300" t="s">
        <v>38</v>
      </c>
      <c r="B65" s="132" t="s">
        <v>9</v>
      </c>
      <c r="C65" s="132" t="s">
        <v>779</v>
      </c>
      <c r="D65" s="132" t="s">
        <v>73</v>
      </c>
      <c r="E65" s="132" t="s">
        <v>10</v>
      </c>
      <c r="F65" s="132" t="s">
        <v>96</v>
      </c>
      <c r="G65" s="286">
        <v>720</v>
      </c>
      <c r="H65" s="286">
        <v>1320</v>
      </c>
      <c r="I65" s="286">
        <v>600</v>
      </c>
      <c r="J65" s="286">
        <v>600</v>
      </c>
      <c r="K65" s="286">
        <v>560</v>
      </c>
      <c r="L65" s="286">
        <v>560</v>
      </c>
      <c r="M65" s="132"/>
      <c r="N65" s="231" t="s">
        <v>66</v>
      </c>
      <c r="O65" s="232">
        <v>5690</v>
      </c>
      <c r="P65" s="232"/>
      <c r="Q65" s="232"/>
      <c r="R65" s="132"/>
      <c r="S65" s="132"/>
      <c r="T65" s="132"/>
      <c r="U65" s="132"/>
      <c r="V65" s="132"/>
      <c r="W65" s="132"/>
      <c r="X65" s="132"/>
      <c r="Y65" s="132">
        <f>'комплекты фурнитуры'!$C$13</f>
        <v>740</v>
      </c>
      <c r="Z65" s="132"/>
      <c r="AA65" s="132"/>
      <c r="AB65" s="132"/>
      <c r="AC65" s="132"/>
      <c r="AD65" s="132"/>
      <c r="AE65" s="132">
        <f>'комплекты фурнитуры'!$C$23*2</f>
        <v>560</v>
      </c>
      <c r="AF65" s="132"/>
      <c r="AG65" s="132"/>
      <c r="AH65" s="233">
        <f>SUM(Прайс[[#This Row],[КФ НСТ11]:[KFPr-SB-ZPG]])</f>
        <v>1300</v>
      </c>
      <c r="AI65" s="233"/>
      <c r="AJ65" s="132"/>
      <c r="AK65" s="132"/>
      <c r="AL65" s="299"/>
      <c r="AM65" s="292"/>
      <c r="AN65" s="292"/>
      <c r="AO65" s="233"/>
      <c r="AP65" s="233"/>
      <c r="AQ65" s="233"/>
      <c r="AR65" s="233"/>
      <c r="AS65" s="233"/>
      <c r="AT65" s="233"/>
      <c r="AU65" s="233"/>
      <c r="AV65" s="233"/>
      <c r="AW65" s="292"/>
      <c r="AX65" s="233"/>
      <c r="AY65" s="292"/>
      <c r="AZ65" s="233"/>
      <c r="BA65" s="233"/>
      <c r="BB65" s="292"/>
      <c r="BC65" s="233">
        <f>'комплекты фурнитуры'!$C$26</f>
        <v>6660</v>
      </c>
      <c r="BD65" s="292"/>
      <c r="BE65" s="233">
        <f>'комплекты фурнитуры'!$C$31</f>
        <v>950</v>
      </c>
      <c r="BF65" s="233">
        <f>'комплекты фурнитуры'!$C$33</f>
        <v>170</v>
      </c>
      <c r="BG65" s="292"/>
      <c r="BH65" s="233"/>
      <c r="BI65" s="233">
        <f>'комплекты фурнитуры'!$C$36</f>
        <v>6440</v>
      </c>
      <c r="BJ65" s="233"/>
      <c r="BK65" s="233"/>
      <c r="BL65" s="233"/>
      <c r="BM65" s="233"/>
      <c r="BN65" s="233"/>
      <c r="BO65" s="233"/>
      <c r="BP65" s="234">
        <f>Прайс[[#This Row],[Комплект для ящика Hettich ATIRA Серый с реллингом, NL-470, H-176]]</f>
        <v>6660</v>
      </c>
      <c r="BQ65" s="235">
        <f>Прайс[[#This Row],[KFN-SB-M15]]+Прайс[[#This Row],[KFN-SB-MD]]</f>
        <v>1120</v>
      </c>
      <c r="BR65" s="235">
        <f>Прайс[[#This Row],[Комплект ящика INNOTECH ATIRA полного выдв. с  PUSH TO OPEN , Н70,NL470,цвет серебристый]]</f>
        <v>6440</v>
      </c>
      <c r="BS65" s="133">
        <v>600</v>
      </c>
      <c r="BT65" s="133">
        <v>1320</v>
      </c>
      <c r="BU65" s="133" t="str">
        <f>IF(OR(Прайс[[#This Row],[Тип]]="Нижний",Прайс[[#This Row],[Тип]]="Пенал"),"560",IF(Прайс[[#This Row],[Тип]]="Верхний",315,0))</f>
        <v>560</v>
      </c>
      <c r="BV65" s="236">
        <v>1.08</v>
      </c>
      <c r="BW65" s="236">
        <v>1.0649999999999999</v>
      </c>
      <c r="BX65" s="235">
        <v>0</v>
      </c>
      <c r="BY65" s="133">
        <v>0</v>
      </c>
      <c r="BZ65" s="133">
        <v>0</v>
      </c>
      <c r="CA65" s="133" t="s">
        <v>10</v>
      </c>
      <c r="CB65" s="235" t="s">
        <v>471</v>
      </c>
      <c r="CC65" s="133">
        <v>0</v>
      </c>
      <c r="CD65" s="133" t="s">
        <v>10</v>
      </c>
      <c r="CE65" s="133">
        <v>8090</v>
      </c>
      <c r="CF65" s="133"/>
      <c r="CG65" s="133"/>
      <c r="CH65" s="133">
        <v>1</v>
      </c>
      <c r="CI65" s="133">
        <v>0</v>
      </c>
      <c r="CJ65" s="133">
        <v>0</v>
      </c>
      <c r="CK65" s="133"/>
      <c r="CL65" s="133"/>
      <c r="CM65" s="133"/>
      <c r="CN65" s="133"/>
      <c r="CO65" s="133" t="s">
        <v>10</v>
      </c>
      <c r="CP65" s="133">
        <f>IF(Прайс[[#This Row],[Наличие подсветки на нижнем горизонте]]="Нет",0,'комплекты фурнитуры'!$C$95)</f>
        <v>0</v>
      </c>
      <c r="CQ65" s="133"/>
      <c r="CR65" s="133"/>
      <c r="CS65" s="133"/>
      <c r="CT65" s="133">
        <f>'комплекты фурнитуры'!$C$56</f>
        <v>4460</v>
      </c>
      <c r="CU65" s="133">
        <f>Прайс[[#This Row],[Ящик JETBOX ULTRA 170 с доводчиком антрацит]]</f>
        <v>4460</v>
      </c>
    </row>
    <row r="66" spans="1:99" s="134" customFormat="1" ht="15" customHeight="1" x14ac:dyDescent="0.25">
      <c r="A66" s="285" t="s">
        <v>39</v>
      </c>
      <c r="B66" s="132" t="s">
        <v>9</v>
      </c>
      <c r="C66" s="132" t="s">
        <v>780</v>
      </c>
      <c r="D66" s="132" t="s">
        <v>73</v>
      </c>
      <c r="E66" s="132" t="s">
        <v>10</v>
      </c>
      <c r="F66" s="132" t="s">
        <v>87</v>
      </c>
      <c r="G66" s="286">
        <v>2000</v>
      </c>
      <c r="H66" s="286">
        <v>2610</v>
      </c>
      <c r="I66" s="286">
        <v>150</v>
      </c>
      <c r="J66" s="286">
        <v>600</v>
      </c>
      <c r="K66" s="286">
        <v>300</v>
      </c>
      <c r="L66" s="286">
        <v>640</v>
      </c>
      <c r="M66" s="132"/>
      <c r="N66" s="231"/>
      <c r="O66" s="232">
        <v>6990</v>
      </c>
      <c r="P66" s="232"/>
      <c r="Q66" s="232"/>
      <c r="R66" s="132"/>
      <c r="S66" s="132"/>
      <c r="T66" s="132"/>
      <c r="U66" s="132"/>
      <c r="V66" s="132"/>
      <c r="W66" s="132"/>
      <c r="X66" s="132"/>
      <c r="Y66" s="132">
        <f>'комплекты фурнитуры'!$C$13</f>
        <v>740</v>
      </c>
      <c r="Z66" s="132"/>
      <c r="AA66" s="132"/>
      <c r="AB66" s="132"/>
      <c r="AC66" s="132"/>
      <c r="AD66" s="132"/>
      <c r="AE66" s="132">
        <f>'комплекты фурнитуры'!$C$23*2</f>
        <v>560</v>
      </c>
      <c r="AF66" s="132"/>
      <c r="AG66" s="132"/>
      <c r="AH66" s="233">
        <f>SUM(Прайс[[#This Row],[КФ НСТ11]:[KFPr-SB-ZPG]])</f>
        <v>1300</v>
      </c>
      <c r="AI66" s="233"/>
      <c r="AJ66" s="132"/>
      <c r="AK66" s="132"/>
      <c r="AL66" s="299"/>
      <c r="AM66" s="233">
        <f>'комплекты фурнитуры'!$C$66</f>
        <v>620</v>
      </c>
      <c r="AN66" s="233">
        <f>'комплекты фурнитуры'!$C$67</f>
        <v>130</v>
      </c>
      <c r="AO66" s="233"/>
      <c r="AP66" s="233"/>
      <c r="AQ66" s="233"/>
      <c r="AR66" s="233"/>
      <c r="AS66" s="233"/>
      <c r="AT66" s="233"/>
      <c r="AU66" s="233"/>
      <c r="AV66" s="233"/>
      <c r="AW66" s="292"/>
      <c r="AX66" s="233"/>
      <c r="AY66" s="292"/>
      <c r="AZ66" s="233"/>
      <c r="BA66" s="233"/>
      <c r="BB66" s="292"/>
      <c r="BC66" s="292"/>
      <c r="BD66" s="292"/>
      <c r="BE66" s="292"/>
      <c r="BF66" s="292"/>
      <c r="BG66" s="292"/>
      <c r="BH66" s="292"/>
      <c r="BI66" s="292"/>
      <c r="BJ66" s="233"/>
      <c r="BK66" s="233"/>
      <c r="BL66" s="233"/>
      <c r="BM66" s="233"/>
      <c r="BN66" s="233"/>
      <c r="BO66" s="233"/>
      <c r="BP66" s="234">
        <f>Прайс[[#This Row],[КФ петли SENS накл.110 гр. с крестообр. Планкой]]*5</f>
        <v>3100</v>
      </c>
      <c r="BQ66" s="235">
        <f>Прайс[[#This Row],[KFP-SB-N110]]*5</f>
        <v>650</v>
      </c>
      <c r="BR66" s="235">
        <f>Прайс[[#This Row],[KFP-SB-N110]]*5</f>
        <v>650</v>
      </c>
      <c r="BS66" s="133">
        <v>600</v>
      </c>
      <c r="BT66" s="133">
        <v>2040</v>
      </c>
      <c r="BU66" s="133" t="str">
        <f>IF(OR(Прайс[[#This Row],[Тип]]="Нижний",Прайс[[#This Row],[Тип]]="Пенал"),"560",IF(Прайс[[#This Row],[Тип]]="Верхний",315,0))</f>
        <v>560</v>
      </c>
      <c r="BV66" s="236">
        <v>1.08</v>
      </c>
      <c r="BW66" s="236">
        <v>1.0649999999999999</v>
      </c>
      <c r="BX66" s="235">
        <v>1.3</v>
      </c>
      <c r="BY66" s="133">
        <v>0</v>
      </c>
      <c r="BZ66" s="133">
        <v>4</v>
      </c>
      <c r="CA66" s="133" t="s">
        <v>71</v>
      </c>
      <c r="CB66" s="235" t="s">
        <v>469</v>
      </c>
      <c r="CC66" s="133">
        <v>1</v>
      </c>
      <c r="CD66" s="133" t="s">
        <v>71</v>
      </c>
      <c r="CE66" s="133">
        <v>9880</v>
      </c>
      <c r="CF66" s="133"/>
      <c r="CG66" s="133"/>
      <c r="CH66" s="133">
        <v>2</v>
      </c>
      <c r="CI66" s="133">
        <v>0</v>
      </c>
      <c r="CJ66" s="133">
        <v>0</v>
      </c>
      <c r="CK66" s="133"/>
      <c r="CL66" s="133"/>
      <c r="CM66" s="133"/>
      <c r="CN66" s="133"/>
      <c r="CO66" s="133" t="s">
        <v>10</v>
      </c>
      <c r="CP66" s="133">
        <f>IF(Прайс[[#This Row],[Наличие подсветки на нижнем горизонте]]="Нет",0,'комплекты фурнитуры'!$C$95)</f>
        <v>0</v>
      </c>
      <c r="CQ66" s="133">
        <f>'комплекты фурнитуры'!$C$53</f>
        <v>340</v>
      </c>
      <c r="CR66" s="133"/>
      <c r="CS66" s="133"/>
      <c r="CT66" s="133"/>
      <c r="CU66" s="133">
        <f>Прайс[[#This Row],[КФ петли JET накл. 105 гр.]]*5</f>
        <v>1700</v>
      </c>
    </row>
    <row r="67" spans="1:99" s="134" customFormat="1" ht="15" customHeight="1" x14ac:dyDescent="0.25">
      <c r="A67" s="285" t="s">
        <v>83</v>
      </c>
      <c r="B67" s="132" t="s">
        <v>9</v>
      </c>
      <c r="C67" s="132" t="s">
        <v>781</v>
      </c>
      <c r="D67" s="132" t="s">
        <v>73</v>
      </c>
      <c r="E67" s="132" t="s">
        <v>71</v>
      </c>
      <c r="F67" s="132" t="s">
        <v>87</v>
      </c>
      <c r="G67" s="286">
        <v>2000</v>
      </c>
      <c r="H67" s="286">
        <v>2280</v>
      </c>
      <c r="I67" s="286">
        <v>150</v>
      </c>
      <c r="J67" s="286">
        <v>600</v>
      </c>
      <c r="K67" s="286">
        <v>300</v>
      </c>
      <c r="L67" s="286">
        <v>640</v>
      </c>
      <c r="M67" s="132"/>
      <c r="N67" s="231"/>
      <c r="O67" s="232">
        <v>7549.2</v>
      </c>
      <c r="P67" s="232">
        <v>740</v>
      </c>
      <c r="Q67" s="232"/>
      <c r="R67" s="132"/>
      <c r="S67" s="132"/>
      <c r="T67" s="132"/>
      <c r="U67" s="132"/>
      <c r="V67" s="132"/>
      <c r="W67" s="132"/>
      <c r="X67" s="132"/>
      <c r="Y67" s="132"/>
      <c r="Z67" s="132"/>
      <c r="AA67" s="132"/>
      <c r="AB67" s="132"/>
      <c r="AC67" s="132"/>
      <c r="AD67" s="132"/>
      <c r="AE67" s="132">
        <f>'комплекты фурнитуры'!$C$23*2</f>
        <v>560</v>
      </c>
      <c r="AF67" s="132"/>
      <c r="AG67" s="132"/>
      <c r="AH67" s="233">
        <f>SUM(Прайс[[#This Row],[КФ НСТ11]:[KFPr-SB-ZPG]])</f>
        <v>1300</v>
      </c>
      <c r="AI67" s="233"/>
      <c r="AJ67" s="132"/>
      <c r="AK67" s="132"/>
      <c r="AL67" s="299">
        <f>'комплекты фурнитуры'!$C$89</f>
        <v>290</v>
      </c>
      <c r="AM67" s="233">
        <f>'комплекты фурнитуры'!$C$66</f>
        <v>620</v>
      </c>
      <c r="AN67" s="292"/>
      <c r="AO67" s="233"/>
      <c r="AP67" s="233"/>
      <c r="AQ67" s="233"/>
      <c r="AR67" s="233"/>
      <c r="AS67" s="233"/>
      <c r="AT67" s="233"/>
      <c r="AU67" s="233"/>
      <c r="AV67" s="233"/>
      <c r="AW67" s="292"/>
      <c r="AX67" s="233"/>
      <c r="AY67" s="292"/>
      <c r="AZ67" s="233"/>
      <c r="BA67" s="233"/>
      <c r="BB67" s="292"/>
      <c r="BC67" s="292"/>
      <c r="BD67" s="292"/>
      <c r="BE67" s="292"/>
      <c r="BF67" s="292"/>
      <c r="BG67" s="292"/>
      <c r="BH67" s="292"/>
      <c r="BI67" s="292"/>
      <c r="BJ67" s="233"/>
      <c r="BK67" s="233"/>
      <c r="BL67" s="233"/>
      <c r="BM67" s="233"/>
      <c r="BN67" s="233"/>
      <c r="BO67" s="233"/>
      <c r="BP67" s="234">
        <f>Прайс[[#This Row],[КФ KEKU]]*4+Прайс[[#This Row],[КФ петли SENS накл.110 гр. с крестообр. Планкой]]*5</f>
        <v>4260</v>
      </c>
      <c r="BQ67" s="234">
        <f>Прайс[[#This Row],[КФ KEKU]]*4+Прайс[[#This Row],[КФ петли SENS накл.110 гр. с крестообр. Планкой]]*5</f>
        <v>4260</v>
      </c>
      <c r="BR67" s="234">
        <f>Прайс[[#This Row],[КФ KEKU]]*4+Прайс[[#This Row],[КФ петли SENS накл.110 гр. с крестообр. Планкой]]*5</f>
        <v>4260</v>
      </c>
      <c r="BS67" s="133">
        <v>600</v>
      </c>
      <c r="BT67" s="133">
        <v>2040</v>
      </c>
      <c r="BU67" s="133" t="str">
        <f>IF(OR(Прайс[[#This Row],[Тип]]="Нижний",Прайс[[#This Row],[Тип]]="Пенал"),"560",IF(Прайс[[#This Row],[Тип]]="Верхний",315,0))</f>
        <v>560</v>
      </c>
      <c r="BV67" s="236">
        <v>1.08</v>
      </c>
      <c r="BW67" s="236">
        <v>1.0649999999999999</v>
      </c>
      <c r="BX67" s="235">
        <v>1.3</v>
      </c>
      <c r="BY67" s="133">
        <v>0</v>
      </c>
      <c r="BZ67" s="133">
        <v>4</v>
      </c>
      <c r="CA67" s="133" t="s">
        <v>10</v>
      </c>
      <c r="CB67" s="235" t="s">
        <v>470</v>
      </c>
      <c r="CC67" s="133">
        <v>0</v>
      </c>
      <c r="CD67" s="133" t="s">
        <v>71</v>
      </c>
      <c r="CE67" s="133">
        <v>10670.400000000001</v>
      </c>
      <c r="CF67" s="133"/>
      <c r="CG67" s="133"/>
      <c r="CH67" s="133">
        <v>2</v>
      </c>
      <c r="CI67" s="133">
        <v>0</v>
      </c>
      <c r="CJ67" s="133">
        <v>0</v>
      </c>
      <c r="CK67" s="133"/>
      <c r="CL67" s="133"/>
      <c r="CM67" s="133"/>
      <c r="CN67" s="133"/>
      <c r="CO67" s="133" t="s">
        <v>10</v>
      </c>
      <c r="CP67" s="133">
        <f>IF(Прайс[[#This Row],[Наличие подсветки на нижнем горизонте]]="Нет",0,'комплекты фурнитуры'!$C$95)</f>
        <v>0</v>
      </c>
      <c r="CQ67" s="133">
        <f>'комплекты фурнитуры'!$C$53</f>
        <v>340</v>
      </c>
      <c r="CR67" s="133"/>
      <c r="CS67" s="133"/>
      <c r="CT67" s="133"/>
      <c r="CU67" s="133">
        <f>Прайс[[#This Row],[КФ KEKU]]*4+Прайс[[#This Row],[КФ петли JET накл. 105 гр.]]*5</f>
        <v>2860</v>
      </c>
    </row>
    <row r="68" spans="1:99" s="134" customFormat="1" ht="15" customHeight="1" x14ac:dyDescent="0.25">
      <c r="A68" s="285" t="s">
        <v>40</v>
      </c>
      <c r="B68" s="132" t="s">
        <v>9</v>
      </c>
      <c r="C68" s="132" t="s">
        <v>782</v>
      </c>
      <c r="D68" s="132" t="s">
        <v>73</v>
      </c>
      <c r="E68" s="132" t="s">
        <v>10</v>
      </c>
      <c r="F68" s="132" t="s">
        <v>97</v>
      </c>
      <c r="G68" s="286">
        <v>2000</v>
      </c>
      <c r="H68" s="286">
        <v>2610</v>
      </c>
      <c r="I68" s="286">
        <v>600</v>
      </c>
      <c r="J68" s="286">
        <v>600</v>
      </c>
      <c r="K68" s="286">
        <v>560</v>
      </c>
      <c r="L68" s="286">
        <v>600</v>
      </c>
      <c r="M68" s="132"/>
      <c r="N68" s="231"/>
      <c r="O68" s="232">
        <v>5750</v>
      </c>
      <c r="P68" s="232"/>
      <c r="Q68" s="232"/>
      <c r="R68" s="132"/>
      <c r="S68" s="132"/>
      <c r="T68" s="132"/>
      <c r="U68" s="132"/>
      <c r="V68" s="132"/>
      <c r="W68" s="132"/>
      <c r="X68" s="132"/>
      <c r="Y68" s="132"/>
      <c r="Z68" s="132">
        <f>'комплекты фурнитуры'!$C$14</f>
        <v>940</v>
      </c>
      <c r="AA68" s="132"/>
      <c r="AB68" s="132"/>
      <c r="AC68" s="132"/>
      <c r="AD68" s="132"/>
      <c r="AE68" s="132">
        <f>'комплекты фурнитуры'!$C$23*2</f>
        <v>560</v>
      </c>
      <c r="AF68" s="132"/>
      <c r="AG68" s="132"/>
      <c r="AH68" s="233">
        <f>SUM(Прайс[[#This Row],[КФ НСТ11]:[KFPr-SB-ZPG]])</f>
        <v>1500</v>
      </c>
      <c r="AI68" s="233"/>
      <c r="AJ68" s="132"/>
      <c r="AK68" s="132"/>
      <c r="AL68" s="299"/>
      <c r="AM68" s="233">
        <f>'комплекты фурнитуры'!$C$66</f>
        <v>620</v>
      </c>
      <c r="AN68" s="233">
        <f>'комплекты фурнитуры'!$C$67</f>
        <v>130</v>
      </c>
      <c r="AO68" s="233"/>
      <c r="AP68" s="233"/>
      <c r="AQ68" s="233"/>
      <c r="AR68" s="233"/>
      <c r="AS68" s="233"/>
      <c r="AT68" s="233"/>
      <c r="AU68" s="233"/>
      <c r="AV68" s="233"/>
      <c r="AW68" s="292"/>
      <c r="AX68" s="233"/>
      <c r="AY68" s="292"/>
      <c r="AZ68" s="233"/>
      <c r="BA68" s="233"/>
      <c r="BB68" s="292"/>
      <c r="BC68" s="292"/>
      <c r="BD68" s="292"/>
      <c r="BE68" s="292"/>
      <c r="BF68" s="292"/>
      <c r="BG68" s="292"/>
      <c r="BH68" s="292"/>
      <c r="BI68" s="292"/>
      <c r="BJ68" s="233"/>
      <c r="BK68" s="233"/>
      <c r="BL68" s="233"/>
      <c r="BM68" s="233"/>
      <c r="BN68" s="233"/>
      <c r="BO68" s="233"/>
      <c r="BP68" s="234">
        <f>Прайс[[#This Row],[КФ петли SENS накл.110 гр. с крестообр. Планкой]]*5</f>
        <v>3100</v>
      </c>
      <c r="BQ68" s="235">
        <f>Прайс[[#This Row],[KFP-SB-N110]]*5</f>
        <v>650</v>
      </c>
      <c r="BR68" s="235">
        <f>Прайс[[#This Row],[KFP-SB-N110]]*5</f>
        <v>650</v>
      </c>
      <c r="BS68" s="133">
        <v>600</v>
      </c>
      <c r="BT68" s="133">
        <v>2040</v>
      </c>
      <c r="BU68" s="133" t="str">
        <f>IF(OR(Прайс[[#This Row],[Тип]]="Нижний",Прайс[[#This Row],[Тип]]="Пенал"),"560",IF(Прайс[[#This Row],[Тип]]="Верхний",315,0))</f>
        <v>560</v>
      </c>
      <c r="BV68" s="236">
        <v>1.08</v>
      </c>
      <c r="BW68" s="236">
        <v>1.0649999999999999</v>
      </c>
      <c r="BX68" s="235">
        <v>1.3</v>
      </c>
      <c r="BY68" s="133">
        <v>0</v>
      </c>
      <c r="BZ68" s="133">
        <v>1</v>
      </c>
      <c r="CA68" s="133" t="s">
        <v>10</v>
      </c>
      <c r="CB68" s="235" t="s">
        <v>471</v>
      </c>
      <c r="CC68" s="133">
        <v>0</v>
      </c>
      <c r="CD68" s="133" t="s">
        <v>10</v>
      </c>
      <c r="CE68" s="133">
        <v>8380</v>
      </c>
      <c r="CF68" s="133"/>
      <c r="CG68" s="133"/>
      <c r="CH68" s="133">
        <v>2</v>
      </c>
      <c r="CI68" s="133">
        <v>0</v>
      </c>
      <c r="CJ68" s="133">
        <v>0</v>
      </c>
      <c r="CK68" s="133"/>
      <c r="CL68" s="133"/>
      <c r="CM68" s="133"/>
      <c r="CN68" s="133"/>
      <c r="CO68" s="133" t="s">
        <v>10</v>
      </c>
      <c r="CP68" s="133">
        <f>IF(Прайс[[#This Row],[Наличие подсветки на нижнем горизонте]]="Нет",0,'комплекты фурнитуры'!$C$95)</f>
        <v>0</v>
      </c>
      <c r="CQ68" s="133">
        <f>'комплекты фурнитуры'!$C$53</f>
        <v>340</v>
      </c>
      <c r="CR68" s="133"/>
      <c r="CS68" s="133"/>
      <c r="CT68" s="133"/>
      <c r="CU68" s="133">
        <f>Прайс[[#This Row],[КФ петли JET накл. 105 гр.]]*5</f>
        <v>1700</v>
      </c>
    </row>
    <row r="69" spans="1:99" s="134" customFormat="1" x14ac:dyDescent="0.25">
      <c r="A69" s="285" t="s">
        <v>41</v>
      </c>
      <c r="B69" s="132" t="s">
        <v>9</v>
      </c>
      <c r="C69" s="132" t="s">
        <v>783</v>
      </c>
      <c r="D69" s="132" t="s">
        <v>73</v>
      </c>
      <c r="E69" s="132" t="s">
        <v>71</v>
      </c>
      <c r="F69" s="132" t="s">
        <v>97</v>
      </c>
      <c r="G69" s="286">
        <v>2000</v>
      </c>
      <c r="H69" s="286">
        <v>2610</v>
      </c>
      <c r="I69" s="286">
        <v>600</v>
      </c>
      <c r="J69" s="286">
        <v>600</v>
      </c>
      <c r="K69" s="286">
        <v>560</v>
      </c>
      <c r="L69" s="286">
        <v>600</v>
      </c>
      <c r="M69" s="132"/>
      <c r="N69" s="231"/>
      <c r="O69" s="232">
        <v>6210</v>
      </c>
      <c r="P69" s="232"/>
      <c r="Q69" s="232"/>
      <c r="R69" s="132"/>
      <c r="S69" s="132"/>
      <c r="T69" s="132"/>
      <c r="U69" s="132"/>
      <c r="V69" s="132"/>
      <c r="W69" s="132"/>
      <c r="X69" s="132"/>
      <c r="Y69" s="132"/>
      <c r="Z69" s="132">
        <f>'комплекты фурнитуры'!$C$14</f>
        <v>940</v>
      </c>
      <c r="AA69" s="132"/>
      <c r="AB69" s="132"/>
      <c r="AC69" s="132"/>
      <c r="AD69" s="132"/>
      <c r="AE69" s="132">
        <f>'комплекты фурнитуры'!$C$23*2</f>
        <v>560</v>
      </c>
      <c r="AF69" s="132"/>
      <c r="AG69" s="132"/>
      <c r="AH69" s="233">
        <f>SUM(Прайс[[#This Row],[КФ НСТ11]:[KFPr-SB-ZPG]])</f>
        <v>1500</v>
      </c>
      <c r="AI69" s="233"/>
      <c r="AJ69" s="132"/>
      <c r="AK69" s="132"/>
      <c r="AL69" s="299">
        <f>'комплекты фурнитуры'!$C$89</f>
        <v>290</v>
      </c>
      <c r="AM69" s="233">
        <f>'комплекты фурнитуры'!$C$66</f>
        <v>620</v>
      </c>
      <c r="AN69" s="292"/>
      <c r="AO69" s="233"/>
      <c r="AP69" s="233"/>
      <c r="AQ69" s="233"/>
      <c r="AR69" s="233"/>
      <c r="AS69" s="233"/>
      <c r="AT69" s="233"/>
      <c r="AU69" s="233"/>
      <c r="AV69" s="233"/>
      <c r="AW69" s="292"/>
      <c r="AX69" s="233"/>
      <c r="AY69" s="292"/>
      <c r="AZ69" s="233"/>
      <c r="BA69" s="233"/>
      <c r="BB69" s="292"/>
      <c r="BC69" s="292"/>
      <c r="BD69" s="292"/>
      <c r="BE69" s="292"/>
      <c r="BF69" s="292"/>
      <c r="BG69" s="292"/>
      <c r="BH69" s="292"/>
      <c r="BI69" s="292"/>
      <c r="BJ69" s="233"/>
      <c r="BK69" s="233"/>
      <c r="BL69" s="233"/>
      <c r="BM69" s="233"/>
      <c r="BN69" s="233"/>
      <c r="BO69" s="233"/>
      <c r="BP69" s="234">
        <f>Прайс[[#This Row],[КФ KEKU]]*4+Прайс[[#This Row],[КФ петли SENS накл.110 гр. с крестообр. Планкой]]*5</f>
        <v>4260</v>
      </c>
      <c r="BQ69" s="234">
        <f>Прайс[[#This Row],[КФ KEKU]]*4+Прайс[[#This Row],[КФ петли SENS накл.110 гр. с крестообр. Планкой]]*5</f>
        <v>4260</v>
      </c>
      <c r="BR69" s="234">
        <f>Прайс[[#This Row],[КФ KEKU]]*4+Прайс[[#This Row],[КФ петли SENS накл.110 гр. с крестообр. Планкой]]*5</f>
        <v>4260</v>
      </c>
      <c r="BS69" s="133">
        <v>600</v>
      </c>
      <c r="BT69" s="133">
        <v>2040</v>
      </c>
      <c r="BU69" s="133" t="str">
        <f>IF(OR(Прайс[[#This Row],[Тип]]="Нижний",Прайс[[#This Row],[Тип]]="Пенал"),"560",IF(Прайс[[#This Row],[Тип]]="Верхний",315,0))</f>
        <v>560</v>
      </c>
      <c r="BV69" s="236">
        <v>1.08</v>
      </c>
      <c r="BW69" s="236">
        <v>1.0649999999999999</v>
      </c>
      <c r="BX69" s="235">
        <v>1.3</v>
      </c>
      <c r="BY69" s="133">
        <v>0</v>
      </c>
      <c r="BZ69" s="133">
        <v>1</v>
      </c>
      <c r="CA69" s="133" t="s">
        <v>10</v>
      </c>
      <c r="CB69" s="235" t="s">
        <v>471</v>
      </c>
      <c r="CC69" s="133">
        <v>0</v>
      </c>
      <c r="CD69" s="133" t="s">
        <v>10</v>
      </c>
      <c r="CE69" s="133">
        <v>9050.4000000000015</v>
      </c>
      <c r="CF69" s="133"/>
      <c r="CG69" s="133"/>
      <c r="CH69" s="133">
        <v>2</v>
      </c>
      <c r="CI69" s="133">
        <v>0</v>
      </c>
      <c r="CJ69" s="133">
        <v>0</v>
      </c>
      <c r="CK69" s="133"/>
      <c r="CL69" s="133"/>
      <c r="CM69" s="133"/>
      <c r="CN69" s="133"/>
      <c r="CO69" s="133" t="s">
        <v>10</v>
      </c>
      <c r="CP69" s="133">
        <f>IF(Прайс[[#This Row],[Наличие подсветки на нижнем горизонте]]="Нет",0,'комплекты фурнитуры'!$C$95)</f>
        <v>0</v>
      </c>
      <c r="CQ69" s="133">
        <f>'комплекты фурнитуры'!$C$53</f>
        <v>340</v>
      </c>
      <c r="CR69" s="133"/>
      <c r="CS69" s="133"/>
      <c r="CT69" s="133"/>
      <c r="CU69" s="133">
        <f>Прайс[[#This Row],[КФ KEKU]]*4+Прайс[[#This Row],[КФ петли JET накл. 105 гр.]]*5</f>
        <v>2860</v>
      </c>
    </row>
    <row r="70" spans="1:99" s="134" customFormat="1" ht="15" customHeight="1" x14ac:dyDescent="0.25">
      <c r="A70" s="301" t="s">
        <v>42</v>
      </c>
      <c r="B70" s="132" t="s">
        <v>9</v>
      </c>
      <c r="C70" s="132" t="s">
        <v>784</v>
      </c>
      <c r="D70" s="132" t="s">
        <v>73</v>
      </c>
      <c r="E70" s="132" t="s">
        <v>10</v>
      </c>
      <c r="F70" s="132" t="s">
        <v>95</v>
      </c>
      <c r="G70" s="286">
        <v>2000</v>
      </c>
      <c r="H70" s="286">
        <v>2280</v>
      </c>
      <c r="I70" s="286">
        <v>300</v>
      </c>
      <c r="J70" s="286">
        <v>600</v>
      </c>
      <c r="K70" s="286">
        <v>560</v>
      </c>
      <c r="L70" s="286">
        <v>560</v>
      </c>
      <c r="M70" s="132"/>
      <c r="N70" s="231" t="s">
        <v>67</v>
      </c>
      <c r="O70" s="232">
        <v>9310</v>
      </c>
      <c r="P70" s="232"/>
      <c r="Q70" s="232"/>
      <c r="R70" s="132"/>
      <c r="S70" s="132"/>
      <c r="T70" s="132"/>
      <c r="U70" s="132"/>
      <c r="V70" s="132"/>
      <c r="W70" s="132"/>
      <c r="X70" s="132"/>
      <c r="Y70" s="132"/>
      <c r="Z70" s="132">
        <f>'комплекты фурнитуры'!$C$14</f>
        <v>940</v>
      </c>
      <c r="AA70" s="132"/>
      <c r="AB70" s="132"/>
      <c r="AC70" s="132"/>
      <c r="AD70" s="132"/>
      <c r="AE70" s="132">
        <f>'комплекты фурнитуры'!$C$23*2</f>
        <v>560</v>
      </c>
      <c r="AF70" s="132"/>
      <c r="AG70" s="132"/>
      <c r="AH70" s="233">
        <f>SUM(Прайс[[#This Row],[КФ НСТ11]:[KFPr-SB-ZPG]])</f>
        <v>1500</v>
      </c>
      <c r="AI70" s="233"/>
      <c r="AJ70" s="132"/>
      <c r="AK70" s="132"/>
      <c r="AL70" s="299"/>
      <c r="AM70" s="233">
        <f>'комплекты фурнитуры'!$C$66</f>
        <v>620</v>
      </c>
      <c r="AN70" s="233">
        <f>'комплекты фурнитуры'!$C$67</f>
        <v>130</v>
      </c>
      <c r="AO70" s="233"/>
      <c r="AP70" s="233"/>
      <c r="AQ70" s="233"/>
      <c r="AR70" s="233"/>
      <c r="AS70" s="233"/>
      <c r="AT70" s="233"/>
      <c r="AU70" s="233"/>
      <c r="AV70" s="233"/>
      <c r="AW70" s="292"/>
      <c r="AX70" s="233"/>
      <c r="AY70" s="292"/>
      <c r="AZ70" s="233"/>
      <c r="BA70" s="233"/>
      <c r="BB70" s="233">
        <f>'комплекты фурнитуры'!$C$25</f>
        <v>5100</v>
      </c>
      <c r="BC70" s="233">
        <f>'комплекты фурнитуры'!$C$26</f>
        <v>6660</v>
      </c>
      <c r="BD70" s="233">
        <f>'комплекты фурнитуры'!$C$32</f>
        <v>370</v>
      </c>
      <c r="BE70" s="233">
        <f>'комплекты фурнитуры'!$C$31</f>
        <v>950</v>
      </c>
      <c r="BF70" s="233">
        <f>'комплекты фурнитуры'!$C$33</f>
        <v>170</v>
      </c>
      <c r="BG70" s="233">
        <f>'комплекты фурнитуры'!$C$35</f>
        <v>4140</v>
      </c>
      <c r="BH70" s="233">
        <f>'комплекты фурнитуры'!$C$34</f>
        <v>5040</v>
      </c>
      <c r="BI70" s="233">
        <f>'комплекты фурнитуры'!$C$36</f>
        <v>6440</v>
      </c>
      <c r="BJ70" s="233">
        <f>'комплекты фурнитуры'!$C$37</f>
        <v>7970</v>
      </c>
      <c r="BK70" s="233"/>
      <c r="BL70" s="233"/>
      <c r="BM70" s="233"/>
      <c r="BN70" s="233"/>
      <c r="BO70" s="233"/>
      <c r="BP70" s="234">
        <f>Прайс[[#This Row],[Комплект для ящика Hettich ATIRA Серый, NL-470, H-70]]*2+Прайс[[#This Row],[Комплект для ящика Hettich ATIRA Серый с реллингом, NL-470, H-176]]+Прайс[[#This Row],[КФ петли SENS накл.110 гр. с крестообр. Планкой]]*3</f>
        <v>18720</v>
      </c>
      <c r="BQ70" s="235">
        <f>Прайс[[#This Row],[KFN-SB-M86]]*2+Прайс[[#This Row],[KFN-SB-M15]]+Прайс[[#This Row],[KFN-SB-MD]]*3+Прайс[[#This Row],[KFP-SB-N110]]*3</f>
        <v>2590</v>
      </c>
      <c r="BR70" s="235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  <c r="BS70" s="133">
        <v>600</v>
      </c>
      <c r="BT70" s="133">
        <v>2040</v>
      </c>
      <c r="BU70" s="133" t="str">
        <f>IF(OR(Прайс[[#This Row],[Тип]]="Нижний",Прайс[[#This Row],[Тип]]="Пенал"),"560",IF(Прайс[[#This Row],[Тип]]="Верхний",315,0))</f>
        <v>560</v>
      </c>
      <c r="BV70" s="236">
        <v>1.08</v>
      </c>
      <c r="BW70" s="236">
        <v>1.0649999999999999</v>
      </c>
      <c r="BX70" s="235">
        <v>0</v>
      </c>
      <c r="BY70" s="133">
        <v>2</v>
      </c>
      <c r="BZ70" s="133">
        <v>2</v>
      </c>
      <c r="CA70" s="133" t="s">
        <v>10</v>
      </c>
      <c r="CB70" s="235" t="s">
        <v>471</v>
      </c>
      <c r="CC70" s="133">
        <v>2</v>
      </c>
      <c r="CD70" s="133" t="s">
        <v>71</v>
      </c>
      <c r="CE70" s="133">
        <v>13350</v>
      </c>
      <c r="CF70" s="133"/>
      <c r="CG70" s="133"/>
      <c r="CH70" s="133">
        <v>4</v>
      </c>
      <c r="CI70" s="133">
        <v>0</v>
      </c>
      <c r="CJ70" s="133">
        <v>0</v>
      </c>
      <c r="CK70" s="133"/>
      <c r="CL70" s="133"/>
      <c r="CM70" s="133"/>
      <c r="CN70" s="133"/>
      <c r="CO70" s="133" t="s">
        <v>10</v>
      </c>
      <c r="CP70" s="133">
        <f>IF(Прайс[[#This Row],[Наличие подсветки на нижнем горизонте]]="Нет",0,'комплекты фурнитуры'!$C$95)</f>
        <v>0</v>
      </c>
      <c r="CQ70" s="133">
        <f>'комплекты фурнитуры'!$C$53</f>
        <v>340</v>
      </c>
      <c r="CR70" s="133"/>
      <c r="CS70" s="133">
        <f>'комплекты фурнитуры'!$C$55</f>
        <v>3820</v>
      </c>
      <c r="CT70" s="133">
        <f>'комплекты фурнитуры'!$C$56</f>
        <v>4460</v>
      </c>
      <c r="CU70" s="133">
        <f>Прайс[[#This Row],[КФ петли JET накл. 105 гр.]]*3+Прайс[[#This Row],[Ящик JETBOX ULTRA 80 с доводчиком антрацит]]*2+Прайс[[#This Row],[Ящик JETBOX ULTRA 170 с доводчиком антрацит]]</f>
        <v>13120</v>
      </c>
    </row>
    <row r="71" spans="1:99" s="134" customFormat="1" ht="15" customHeight="1" x14ac:dyDescent="0.25">
      <c r="A71" s="285" t="s">
        <v>43</v>
      </c>
      <c r="B71" s="132" t="s">
        <v>9</v>
      </c>
      <c r="C71" s="132" t="s">
        <v>785</v>
      </c>
      <c r="D71" s="132" t="s">
        <v>73</v>
      </c>
      <c r="E71" s="132" t="s">
        <v>10</v>
      </c>
      <c r="F71" s="132" t="s">
        <v>95</v>
      </c>
      <c r="G71" s="286">
        <v>2000</v>
      </c>
      <c r="H71" s="286">
        <v>2280</v>
      </c>
      <c r="I71" s="286">
        <v>300</v>
      </c>
      <c r="J71" s="286">
        <v>600</v>
      </c>
      <c r="K71" s="286">
        <v>560</v>
      </c>
      <c r="L71" s="286">
        <v>560</v>
      </c>
      <c r="M71" s="132"/>
      <c r="N71" s="231"/>
      <c r="O71" s="232">
        <v>8710</v>
      </c>
      <c r="P71" s="232"/>
      <c r="Q71" s="232"/>
      <c r="R71" s="132"/>
      <c r="S71" s="132"/>
      <c r="T71" s="132"/>
      <c r="U71" s="132"/>
      <c r="V71" s="132"/>
      <c r="W71" s="132"/>
      <c r="X71" s="132"/>
      <c r="Y71" s="132"/>
      <c r="Z71" s="132">
        <f>'комплекты фурнитуры'!$C$14</f>
        <v>940</v>
      </c>
      <c r="AA71" s="132"/>
      <c r="AB71" s="132"/>
      <c r="AC71" s="132"/>
      <c r="AD71" s="132"/>
      <c r="AE71" s="132">
        <f>'комплекты фурнитуры'!$C$23*2</f>
        <v>560</v>
      </c>
      <c r="AF71" s="132"/>
      <c r="AG71" s="132"/>
      <c r="AH71" s="233">
        <f>SUM(Прайс[[#This Row],[КФ НСТ11]:[KFPr-SB-ZPG]])</f>
        <v>1500</v>
      </c>
      <c r="AI71" s="233"/>
      <c r="AJ71" s="132"/>
      <c r="AK71" s="132"/>
      <c r="AL71" s="299"/>
      <c r="AM71" s="233">
        <f>'комплекты фурнитуры'!$C$66</f>
        <v>620</v>
      </c>
      <c r="AN71" s="233">
        <f>'комплекты фурнитуры'!$C$67</f>
        <v>130</v>
      </c>
      <c r="AO71" s="233"/>
      <c r="AP71" s="233"/>
      <c r="AQ71" s="233"/>
      <c r="AR71" s="233"/>
      <c r="AS71" s="233"/>
      <c r="AT71" s="233"/>
      <c r="AU71" s="233"/>
      <c r="AV71" s="233"/>
      <c r="AW71" s="292"/>
      <c r="AX71" s="233"/>
      <c r="AY71" s="292"/>
      <c r="AZ71" s="233"/>
      <c r="BA71" s="233"/>
      <c r="BB71" s="292"/>
      <c r="BC71" s="233">
        <f>'комплекты фурнитуры'!$C$26</f>
        <v>6660</v>
      </c>
      <c r="BD71" s="292"/>
      <c r="BE71" s="233">
        <f>'комплекты фурнитуры'!$C$31</f>
        <v>950</v>
      </c>
      <c r="BF71" s="233">
        <f>'комплекты фурнитуры'!$C$33</f>
        <v>170</v>
      </c>
      <c r="BG71" s="292"/>
      <c r="BH71" s="233">
        <f>'комплекты фурнитуры'!$C$34</f>
        <v>5040</v>
      </c>
      <c r="BI71" s="233">
        <f>'комплекты фурнитуры'!$C$36</f>
        <v>6440</v>
      </c>
      <c r="BJ71" s="233">
        <f>'комплекты фурнитуры'!$C$37</f>
        <v>7970</v>
      </c>
      <c r="BK71" s="233"/>
      <c r="BL71" s="233"/>
      <c r="BM71" s="233"/>
      <c r="BN71" s="233"/>
      <c r="BO71" s="233"/>
      <c r="BP71" s="234">
        <f>Прайс[[#This Row],[Комплект для ящика Hettich ATIRA Серый с реллингом, NL-470, H-176]]*2+Прайс[[#This Row],[КФ петли SENS накл.110 гр. с крестообр. Планкой]]*3</f>
        <v>15180</v>
      </c>
      <c r="BQ71" s="235">
        <f>Прайс[[#This Row],[KFN-SB-M15]]*2+Прайс[[#This Row],[KFN-SB-MD]]*2+Прайс[[#This Row],[KFP-SB-N110]]*3</f>
        <v>2630</v>
      </c>
      <c r="BR71" s="235">
        <f>Прайс[[#This Row],[Комплект ящика INNOTECH ATIRA полного выдв. с  PUSH TO OPEN , Н70,NL470,цвет серебристый]]*2+Прайс[[#This Row],[KFP-SB-N110]]*3</f>
        <v>13270</v>
      </c>
      <c r="BS71" s="133">
        <v>600</v>
      </c>
      <c r="BT71" s="133">
        <v>2040</v>
      </c>
      <c r="BU71" s="133" t="str">
        <f>IF(OR(Прайс[[#This Row],[Тип]]="Нижний",Прайс[[#This Row],[Тип]]="Пенал"),"560",IF(Прайс[[#This Row],[Тип]]="Верхний",315,0))</f>
        <v>560</v>
      </c>
      <c r="BV71" s="236">
        <v>1.08</v>
      </c>
      <c r="BW71" s="236">
        <v>1.0649999999999999</v>
      </c>
      <c r="BX71" s="235">
        <v>0</v>
      </c>
      <c r="BY71" s="133">
        <v>2</v>
      </c>
      <c r="BZ71" s="133">
        <v>2</v>
      </c>
      <c r="CA71" s="133" t="s">
        <v>10</v>
      </c>
      <c r="CB71" s="235" t="s">
        <v>471</v>
      </c>
      <c r="CC71" s="133">
        <v>2</v>
      </c>
      <c r="CD71" s="133" t="s">
        <v>71</v>
      </c>
      <c r="CE71" s="133">
        <v>12520</v>
      </c>
      <c r="CF71" s="133"/>
      <c r="CG71" s="133"/>
      <c r="CH71" s="133">
        <v>3</v>
      </c>
      <c r="CI71" s="133">
        <v>0</v>
      </c>
      <c r="CJ71" s="133">
        <v>0</v>
      </c>
      <c r="CK71" s="133"/>
      <c r="CL71" s="133"/>
      <c r="CM71" s="133"/>
      <c r="CN71" s="133"/>
      <c r="CO71" s="133" t="s">
        <v>10</v>
      </c>
      <c r="CP71" s="133">
        <f>IF(Прайс[[#This Row],[Наличие подсветки на нижнем горизонте]]="Нет",0,'комплекты фурнитуры'!$C$95)</f>
        <v>0</v>
      </c>
      <c r="CQ71" s="133">
        <f>'комплекты фурнитуры'!$C$53</f>
        <v>340</v>
      </c>
      <c r="CR71" s="133"/>
      <c r="CS71" s="133"/>
      <c r="CT71" s="133">
        <f>'комплекты фурнитуры'!$C$56</f>
        <v>4460</v>
      </c>
      <c r="CU71" s="133">
        <f>Прайс[[#This Row],[КФ петли JET накл. 105 гр.]]*3+Прайс[[#This Row],[Ящик JETBOX ULTRA 170 с доводчиком антрацит]]*2</f>
        <v>9940</v>
      </c>
    </row>
    <row r="72" spans="1:99" s="134" customFormat="1" ht="15" customHeight="1" x14ac:dyDescent="0.25">
      <c r="A72" s="285" t="s">
        <v>404</v>
      </c>
      <c r="B72" s="132" t="s">
        <v>9</v>
      </c>
      <c r="C72" s="132" t="s">
        <v>786</v>
      </c>
      <c r="D72" s="132" t="s">
        <v>73</v>
      </c>
      <c r="E72" s="132" t="s">
        <v>71</v>
      </c>
      <c r="F72" s="132" t="s">
        <v>96</v>
      </c>
      <c r="G72" s="286">
        <v>2000</v>
      </c>
      <c r="H72" s="286">
        <v>2280</v>
      </c>
      <c r="I72" s="286">
        <v>600</v>
      </c>
      <c r="J72" s="286">
        <v>600</v>
      </c>
      <c r="K72" s="286">
        <v>560</v>
      </c>
      <c r="L72" s="286">
        <v>560</v>
      </c>
      <c r="M72" s="132"/>
      <c r="N72" s="231" t="s">
        <v>67</v>
      </c>
      <c r="O72" s="232">
        <v>7905.6</v>
      </c>
      <c r="P72" s="232"/>
      <c r="Q72" s="232"/>
      <c r="R72" s="132"/>
      <c r="S72" s="132"/>
      <c r="T72" s="132"/>
      <c r="U72" s="132"/>
      <c r="V72" s="132"/>
      <c r="W72" s="132"/>
      <c r="X72" s="132"/>
      <c r="Y72" s="132"/>
      <c r="Z72" s="132">
        <f>'комплекты фурнитуры'!$C$14</f>
        <v>940</v>
      </c>
      <c r="AA72" s="132"/>
      <c r="AB72" s="132"/>
      <c r="AC72" s="132"/>
      <c r="AD72" s="132"/>
      <c r="AE72" s="132">
        <f>'комплекты фурнитуры'!$C$23*2</f>
        <v>560</v>
      </c>
      <c r="AF72" s="132"/>
      <c r="AG72" s="132"/>
      <c r="AH72" s="233">
        <f>SUM(Прайс[[#This Row],[КФ НСТ11]:[KFPr-SB-ZPG]])</f>
        <v>1500</v>
      </c>
      <c r="AI72" s="233"/>
      <c r="AJ72" s="132"/>
      <c r="AK72" s="132"/>
      <c r="AL72" s="299">
        <f>'комплекты фурнитуры'!$C$89</f>
        <v>290</v>
      </c>
      <c r="AM72" s="233">
        <f>'комплекты фурнитуры'!$C$66</f>
        <v>620</v>
      </c>
      <c r="AN72" s="292"/>
      <c r="AO72" s="233"/>
      <c r="AP72" s="233"/>
      <c r="AQ72" s="233"/>
      <c r="AR72" s="233"/>
      <c r="AS72" s="233"/>
      <c r="AT72" s="233"/>
      <c r="AU72" s="233"/>
      <c r="AV72" s="233"/>
      <c r="AW72" s="292"/>
      <c r="AX72" s="233"/>
      <c r="AY72" s="292"/>
      <c r="AZ72" s="233"/>
      <c r="BA72" s="233"/>
      <c r="BB72" s="292"/>
      <c r="BC72" s="292"/>
      <c r="BD72" s="292"/>
      <c r="BE72" s="292"/>
      <c r="BF72" s="292"/>
      <c r="BG72" s="292"/>
      <c r="BH72" s="292"/>
      <c r="BI72" s="292"/>
      <c r="BJ72" s="233"/>
      <c r="BK72" s="233"/>
      <c r="BL72" s="233"/>
      <c r="BM72" s="233"/>
      <c r="BN72" s="233"/>
      <c r="BO72" s="233"/>
      <c r="BP72" s="234">
        <f>Прайс[[#This Row],[КФ KEKU]]*4+Прайс[[#This Row],[КФ петли SENS накл.110 гр. с крестообр. Планкой]]*4</f>
        <v>3640</v>
      </c>
      <c r="BQ72" s="234">
        <f>Прайс[[#This Row],[КФ KEKU]]*4+Прайс[[#This Row],[КФ петли SENS накл.110 гр. с крестообр. Планкой]]*4</f>
        <v>3640</v>
      </c>
      <c r="BR72" s="234">
        <f>Прайс[[#This Row],[КФ KEKU]]*4+Прайс[[#This Row],[КФ петли SENS накл.110 гр. с крестообр. Планкой]]*4</f>
        <v>3640</v>
      </c>
      <c r="BS72" s="133">
        <v>600</v>
      </c>
      <c r="BT72" s="133">
        <v>2040</v>
      </c>
      <c r="BU72" s="133" t="str">
        <f>IF(OR(Прайс[[#This Row],[Тип]]="Нижний",Прайс[[#This Row],[Тип]]="Пенал"),"560",IF(Прайс[[#This Row],[Тип]]="Верхний",315,0))</f>
        <v>560</v>
      </c>
      <c r="BV72" s="236">
        <v>1.08</v>
      </c>
      <c r="BW72" s="236">
        <v>1.0649999999999999</v>
      </c>
      <c r="BX72" s="235">
        <v>1.3</v>
      </c>
      <c r="BY72" s="133">
        <v>2</v>
      </c>
      <c r="BZ72" s="133">
        <v>3</v>
      </c>
      <c r="CA72" s="133" t="s">
        <v>10</v>
      </c>
      <c r="CB72" s="302" t="s">
        <v>470</v>
      </c>
      <c r="CC72" s="133">
        <v>2</v>
      </c>
      <c r="CD72" s="133" t="s">
        <v>10</v>
      </c>
      <c r="CE72" s="133">
        <v>11383.2</v>
      </c>
      <c r="CF72" s="133"/>
      <c r="CG72" s="133"/>
      <c r="CH72" s="133">
        <v>2</v>
      </c>
      <c r="CI72" s="133">
        <v>0</v>
      </c>
      <c r="CJ72" s="133">
        <v>0</v>
      </c>
      <c r="CK72" s="133"/>
      <c r="CL72" s="133"/>
      <c r="CM72" s="133"/>
      <c r="CN72" s="133"/>
      <c r="CO72" s="133" t="s">
        <v>10</v>
      </c>
      <c r="CP72" s="133">
        <f>IF(Прайс[[#This Row],[Наличие подсветки на нижнем горизонте]]="Нет",0,'комплекты фурнитуры'!$C$95)</f>
        <v>0</v>
      </c>
      <c r="CQ72" s="133">
        <f>'комплекты фурнитуры'!$C$53</f>
        <v>340</v>
      </c>
      <c r="CR72" s="133"/>
      <c r="CS72" s="133"/>
      <c r="CT72" s="133"/>
      <c r="CU72" s="133">
        <f>Прайс[[#This Row],[КФ KEKU]]*4+Прайс[[#This Row],[КФ петли JET накл. 105 гр.]]*4</f>
        <v>2520</v>
      </c>
    </row>
    <row r="73" spans="1:99" s="134" customFormat="1" ht="15" customHeight="1" x14ac:dyDescent="0.25">
      <c r="A73" s="285" t="s">
        <v>405</v>
      </c>
      <c r="B73" s="132" t="s">
        <v>9</v>
      </c>
      <c r="C73" s="132" t="s">
        <v>787</v>
      </c>
      <c r="D73" s="132" t="s">
        <v>73</v>
      </c>
      <c r="E73" s="132" t="s">
        <v>71</v>
      </c>
      <c r="F73" s="132" t="s">
        <v>96</v>
      </c>
      <c r="G73" s="286">
        <v>2000</v>
      </c>
      <c r="H73" s="286">
        <v>2280</v>
      </c>
      <c r="I73" s="286">
        <v>600</v>
      </c>
      <c r="J73" s="286">
        <v>600</v>
      </c>
      <c r="K73" s="286">
        <v>560</v>
      </c>
      <c r="L73" s="286">
        <v>560</v>
      </c>
      <c r="M73" s="132"/>
      <c r="N73" s="231" t="s">
        <v>67</v>
      </c>
      <c r="O73" s="232">
        <v>7905.6</v>
      </c>
      <c r="P73" s="232"/>
      <c r="Q73" s="232"/>
      <c r="R73" s="132"/>
      <c r="S73" s="132"/>
      <c r="T73" s="132"/>
      <c r="U73" s="132"/>
      <c r="V73" s="132"/>
      <c r="W73" s="132"/>
      <c r="X73" s="132"/>
      <c r="Y73" s="132"/>
      <c r="Z73" s="132">
        <f>'комплекты фурнитуры'!$C$14</f>
        <v>940</v>
      </c>
      <c r="AA73" s="132"/>
      <c r="AB73" s="132"/>
      <c r="AC73" s="132"/>
      <c r="AD73" s="132"/>
      <c r="AE73" s="132">
        <f>'комплекты фурнитуры'!$C$23*2</f>
        <v>560</v>
      </c>
      <c r="AF73" s="132"/>
      <c r="AG73" s="132"/>
      <c r="AH73" s="233">
        <f>SUM(Прайс[[#This Row],[КФ НСТ11]:[KFPr-SB-ZPG]])</f>
        <v>1500</v>
      </c>
      <c r="AI73" s="233"/>
      <c r="AJ73" s="132"/>
      <c r="AK73" s="132"/>
      <c r="AL73" s="299">
        <f>'комплекты фурнитуры'!$C$89</f>
        <v>290</v>
      </c>
      <c r="AM73" s="233">
        <f>'комплекты фурнитуры'!$C$66</f>
        <v>620</v>
      </c>
      <c r="AN73" s="292"/>
      <c r="AO73" s="233"/>
      <c r="AP73" s="233"/>
      <c r="AQ73" s="233"/>
      <c r="AR73" s="233"/>
      <c r="AS73" s="233"/>
      <c r="AT73" s="233"/>
      <c r="AU73" s="233"/>
      <c r="AV73" s="233"/>
      <c r="AW73" s="292"/>
      <c r="AX73" s="233"/>
      <c r="AY73" s="292"/>
      <c r="AZ73" s="233"/>
      <c r="BA73" s="233"/>
      <c r="BB73" s="292"/>
      <c r="BC73" s="292"/>
      <c r="BD73" s="292"/>
      <c r="BE73" s="292"/>
      <c r="BF73" s="292"/>
      <c r="BG73" s="292"/>
      <c r="BH73" s="292"/>
      <c r="BI73" s="292"/>
      <c r="BJ73" s="233"/>
      <c r="BK73" s="233"/>
      <c r="BL73" s="233"/>
      <c r="BM73" s="233"/>
      <c r="BN73" s="233"/>
      <c r="BO73" s="233"/>
      <c r="BP73" s="234">
        <f>Прайс[[#This Row],[КФ KEKU]]*4+Прайс[[#This Row],[КФ петли SENS накл.110 гр. с крестообр. Планкой]]*4</f>
        <v>3640</v>
      </c>
      <c r="BQ73" s="234">
        <f>Прайс[[#This Row],[КФ KEKU]]*4+Прайс[[#This Row],[КФ петли SENS накл.110 гр. с крестообр. Планкой]]*4</f>
        <v>3640</v>
      </c>
      <c r="BR73" s="234">
        <f>Прайс[[#This Row],[КФ KEKU]]*4+Прайс[[#This Row],[КФ петли SENS накл.110 гр. с крестообр. Планкой]]*4</f>
        <v>3640</v>
      </c>
      <c r="BS73" s="133">
        <v>600</v>
      </c>
      <c r="BT73" s="133">
        <v>2040</v>
      </c>
      <c r="BU73" s="133" t="str">
        <f>IF(OR(Прайс[[#This Row],[Тип]]="Нижний",Прайс[[#This Row],[Тип]]="Пенал"),"560",IF(Прайс[[#This Row],[Тип]]="Верхний",315,0))</f>
        <v>560</v>
      </c>
      <c r="BV73" s="236">
        <v>1.08</v>
      </c>
      <c r="BW73" s="236">
        <v>1.0649999999999999</v>
      </c>
      <c r="BX73" s="235">
        <v>1.3</v>
      </c>
      <c r="BY73" s="133">
        <v>2</v>
      </c>
      <c r="BZ73" s="133">
        <v>3</v>
      </c>
      <c r="CA73" s="133" t="s">
        <v>10</v>
      </c>
      <c r="CB73" s="302" t="s">
        <v>470</v>
      </c>
      <c r="CC73" s="133">
        <v>2</v>
      </c>
      <c r="CD73" s="133" t="s">
        <v>10</v>
      </c>
      <c r="CE73" s="133">
        <v>11383.2</v>
      </c>
      <c r="CF73" s="133"/>
      <c r="CG73" s="133"/>
      <c r="CH73" s="133">
        <v>2</v>
      </c>
      <c r="CI73" s="133">
        <v>0</v>
      </c>
      <c r="CJ73" s="133">
        <v>0</v>
      </c>
      <c r="CK73" s="133"/>
      <c r="CL73" s="133"/>
      <c r="CM73" s="133"/>
      <c r="CN73" s="133"/>
      <c r="CO73" s="133" t="s">
        <v>10</v>
      </c>
      <c r="CP73" s="133">
        <f>IF(Прайс[[#This Row],[Наличие подсветки на нижнем горизонте]]="Нет",0,'комплекты фурнитуры'!$C$95)</f>
        <v>0</v>
      </c>
      <c r="CQ73" s="133">
        <f>'комплекты фурнитуры'!$C$53</f>
        <v>340</v>
      </c>
      <c r="CR73" s="133"/>
      <c r="CS73" s="133"/>
      <c r="CT73" s="133"/>
      <c r="CU73" s="133">
        <f>Прайс[[#This Row],[КФ KEKU]]*4+Прайс[[#This Row],[КФ петли JET накл. 105 гр.]]*4</f>
        <v>2520</v>
      </c>
    </row>
    <row r="74" spans="1:99" s="134" customFormat="1" ht="15" customHeight="1" x14ac:dyDescent="0.25">
      <c r="A74" s="285" t="s">
        <v>406</v>
      </c>
      <c r="B74" s="132" t="s">
        <v>9</v>
      </c>
      <c r="C74" s="132" t="s">
        <v>1097</v>
      </c>
      <c r="D74" s="132" t="s">
        <v>73</v>
      </c>
      <c r="E74" s="132" t="s">
        <v>10</v>
      </c>
      <c r="F74" s="132" t="s">
        <v>96</v>
      </c>
      <c r="G74" s="286">
        <v>2000</v>
      </c>
      <c r="H74" s="286">
        <v>2280</v>
      </c>
      <c r="I74" s="286">
        <v>600</v>
      </c>
      <c r="J74" s="286">
        <v>600</v>
      </c>
      <c r="K74" s="286">
        <v>560</v>
      </c>
      <c r="L74" s="286">
        <v>560</v>
      </c>
      <c r="M74" s="132"/>
      <c r="N74" s="231" t="s">
        <v>67</v>
      </c>
      <c r="O74" s="232">
        <v>8640</v>
      </c>
      <c r="P74" s="232"/>
      <c r="Q74" s="232"/>
      <c r="R74" s="132"/>
      <c r="S74" s="132"/>
      <c r="T74" s="132"/>
      <c r="U74" s="132"/>
      <c r="V74" s="132"/>
      <c r="W74" s="132"/>
      <c r="X74" s="132"/>
      <c r="Y74" s="132"/>
      <c r="Z74" s="132">
        <f>'комплекты фурнитуры'!$C$14</f>
        <v>940</v>
      </c>
      <c r="AA74" s="132"/>
      <c r="AB74" s="132"/>
      <c r="AC74" s="132"/>
      <c r="AD74" s="132"/>
      <c r="AE74" s="132">
        <f>'комплекты фурнитуры'!$C$23*2</f>
        <v>560</v>
      </c>
      <c r="AF74" s="132"/>
      <c r="AG74" s="132"/>
      <c r="AH74" s="233">
        <f>SUM(Прайс[[#This Row],[КФ НСТ11]:[KFPr-SB-ZPG]])</f>
        <v>1500</v>
      </c>
      <c r="AI74" s="233"/>
      <c r="AJ74" s="132"/>
      <c r="AK74" s="132"/>
      <c r="AL74" s="299"/>
      <c r="AM74" s="233">
        <f>'комплекты фурнитуры'!$C$66</f>
        <v>620</v>
      </c>
      <c r="AN74" s="233">
        <f>'комплекты фурнитуры'!$C$67</f>
        <v>130</v>
      </c>
      <c r="AO74" s="233"/>
      <c r="AP74" s="233"/>
      <c r="AQ74" s="233"/>
      <c r="AR74" s="233"/>
      <c r="AS74" s="233"/>
      <c r="AT74" s="233"/>
      <c r="AU74" s="233"/>
      <c r="AV74" s="233"/>
      <c r="AW74" s="292"/>
      <c r="AX74" s="233"/>
      <c r="AY74" s="292"/>
      <c r="AZ74" s="233"/>
      <c r="BA74" s="233"/>
      <c r="BB74" s="292"/>
      <c r="BC74" s="233">
        <f>'комплекты фурнитуры'!$C$26</f>
        <v>6660</v>
      </c>
      <c r="BD74" s="292"/>
      <c r="BE74" s="233">
        <f>'комплекты фурнитуры'!$C$31</f>
        <v>950</v>
      </c>
      <c r="BF74" s="233">
        <f>'комплекты фурнитуры'!$C$33</f>
        <v>170</v>
      </c>
      <c r="BG74" s="292"/>
      <c r="BH74" s="233">
        <f>'комплекты фурнитуры'!$C$34</f>
        <v>5040</v>
      </c>
      <c r="BI74" s="233">
        <f>'комплекты фурнитуры'!$C$36</f>
        <v>6440</v>
      </c>
      <c r="BJ74" s="233"/>
      <c r="BK74" s="233"/>
      <c r="BL74" s="233"/>
      <c r="BM74" s="233"/>
      <c r="BN74" s="233"/>
      <c r="BO74" s="233"/>
      <c r="BP74" s="234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4" s="235">
        <f>Прайс[[#This Row],[KFN-SB-M15]]*2+Прайс[[#This Row],[KFN-SB-MD]]*2+Прайс[[#This Row],[KFP-SB-N110]]*2</f>
        <v>2500</v>
      </c>
      <c r="BR74" s="235">
        <f>Прайс[[#This Row],[Комплект ящика INNOTECH ATIRA полного выдв. с  PUSH TO OPEN , Н70,NL470,цвет серебристый]]*2+Прайс[[#This Row],[KFP-SB-N110]]*2</f>
        <v>13140</v>
      </c>
      <c r="BS74" s="133">
        <v>600</v>
      </c>
      <c r="BT74" s="133">
        <v>2040</v>
      </c>
      <c r="BU74" s="133" t="str">
        <f>IF(OR(Прайс[[#This Row],[Тип]]="Нижний",Прайс[[#This Row],[Тип]]="Пенал"),"560",IF(Прайс[[#This Row],[Тип]]="Верхний",315,0))</f>
        <v>560</v>
      </c>
      <c r="BV74" s="236">
        <v>1.08</v>
      </c>
      <c r="BW74" s="236">
        <v>1.0649999999999999</v>
      </c>
      <c r="BX74" s="235">
        <v>0</v>
      </c>
      <c r="BY74" s="133">
        <v>1</v>
      </c>
      <c r="BZ74" s="133">
        <v>2</v>
      </c>
      <c r="CA74" s="133" t="s">
        <v>71</v>
      </c>
      <c r="CB74" s="235" t="s">
        <v>469</v>
      </c>
      <c r="CC74" s="133">
        <v>1</v>
      </c>
      <c r="CD74" s="133" t="s">
        <v>10</v>
      </c>
      <c r="CE74" s="133">
        <v>12440</v>
      </c>
      <c r="CF74" s="133"/>
      <c r="CG74" s="133"/>
      <c r="CH74" s="133">
        <v>3</v>
      </c>
      <c r="CI74" s="133">
        <v>0</v>
      </c>
      <c r="CJ74" s="133">
        <v>0</v>
      </c>
      <c r="CK74" s="133"/>
      <c r="CL74" s="133"/>
      <c r="CM74" s="133"/>
      <c r="CN74" s="133"/>
      <c r="CO74" s="133" t="s">
        <v>10</v>
      </c>
      <c r="CP74" s="133">
        <f>IF(Прайс[[#This Row],[Наличие подсветки на нижнем горизонте]]="Нет",0,'комплекты фурнитуры'!$C$95)</f>
        <v>0</v>
      </c>
      <c r="CQ74" s="133">
        <f>'комплекты фурнитуры'!$C$53</f>
        <v>340</v>
      </c>
      <c r="CR74" s="133"/>
      <c r="CS74" s="133"/>
      <c r="CT74" s="133">
        <f>'комплекты фурнитуры'!$C$56</f>
        <v>4460</v>
      </c>
      <c r="CU74" s="133">
        <f>Прайс[[#This Row],[Ящик JETBOX ULTRA 170 с доводчиком антрацит]]*2+Прайс[[#This Row],[КФ петли JET накл. 105 гр.]]*2</f>
        <v>9600</v>
      </c>
    </row>
    <row r="75" spans="1:99" s="134" customFormat="1" ht="15" customHeight="1" x14ac:dyDescent="0.25">
      <c r="A75" s="285" t="s">
        <v>407</v>
      </c>
      <c r="B75" s="132" t="s">
        <v>9</v>
      </c>
      <c r="C75" s="132" t="s">
        <v>1098</v>
      </c>
      <c r="D75" s="132" t="s">
        <v>73</v>
      </c>
      <c r="E75" s="132" t="s">
        <v>10</v>
      </c>
      <c r="F75" s="132" t="s">
        <v>96</v>
      </c>
      <c r="G75" s="286">
        <v>2000</v>
      </c>
      <c r="H75" s="286">
        <v>2280</v>
      </c>
      <c r="I75" s="286">
        <v>600</v>
      </c>
      <c r="J75" s="286">
        <v>600</v>
      </c>
      <c r="K75" s="286">
        <v>560</v>
      </c>
      <c r="L75" s="286">
        <v>560</v>
      </c>
      <c r="M75" s="132"/>
      <c r="N75" s="231" t="s">
        <v>67</v>
      </c>
      <c r="O75" s="232">
        <v>8640</v>
      </c>
      <c r="P75" s="232"/>
      <c r="Q75" s="232"/>
      <c r="R75" s="132"/>
      <c r="S75" s="132"/>
      <c r="T75" s="132"/>
      <c r="U75" s="132"/>
      <c r="V75" s="132"/>
      <c r="W75" s="132"/>
      <c r="X75" s="132"/>
      <c r="Y75" s="132"/>
      <c r="Z75" s="132">
        <f>'комплекты фурнитуры'!$C$14</f>
        <v>940</v>
      </c>
      <c r="AA75" s="132"/>
      <c r="AB75" s="132"/>
      <c r="AC75" s="132"/>
      <c r="AD75" s="132"/>
      <c r="AE75" s="132">
        <f>'комплекты фурнитуры'!$C$23*2</f>
        <v>560</v>
      </c>
      <c r="AF75" s="132"/>
      <c r="AG75" s="132"/>
      <c r="AH75" s="233">
        <f>SUM(Прайс[[#This Row],[КФ НСТ11]:[KFPr-SB-ZPG]])</f>
        <v>1500</v>
      </c>
      <c r="AI75" s="233"/>
      <c r="AJ75" s="132"/>
      <c r="AK75" s="132"/>
      <c r="AL75" s="299"/>
      <c r="AM75" s="233">
        <f>'комплекты фурнитуры'!$C$66</f>
        <v>620</v>
      </c>
      <c r="AN75" s="233">
        <f>'комплекты фурнитуры'!$C$67</f>
        <v>130</v>
      </c>
      <c r="AO75" s="233"/>
      <c r="AP75" s="233"/>
      <c r="AQ75" s="233"/>
      <c r="AR75" s="233"/>
      <c r="AS75" s="233"/>
      <c r="AT75" s="233"/>
      <c r="AU75" s="233"/>
      <c r="AV75" s="233"/>
      <c r="AW75" s="292"/>
      <c r="AX75" s="233"/>
      <c r="AY75" s="292"/>
      <c r="AZ75" s="233"/>
      <c r="BA75" s="233"/>
      <c r="BB75" s="292"/>
      <c r="BC75" s="233">
        <f>'комплекты фурнитуры'!$C$26</f>
        <v>6660</v>
      </c>
      <c r="BD75" s="292"/>
      <c r="BE75" s="233">
        <f>'комплекты фурнитуры'!$C$31</f>
        <v>950</v>
      </c>
      <c r="BF75" s="233">
        <f>'комплекты фурнитуры'!$C$33</f>
        <v>170</v>
      </c>
      <c r="BG75" s="292"/>
      <c r="BH75" s="233">
        <f>'комплекты фурнитуры'!$C$34</f>
        <v>5040</v>
      </c>
      <c r="BI75" s="233">
        <f>'комплекты фурнитуры'!$C$36</f>
        <v>6440</v>
      </c>
      <c r="BJ75" s="233"/>
      <c r="BK75" s="233"/>
      <c r="BL75" s="233"/>
      <c r="BM75" s="233"/>
      <c r="BN75" s="233"/>
      <c r="BO75" s="233"/>
      <c r="BP75" s="234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5" s="235">
        <f>Прайс[[#This Row],[KFN-SB-M15]]*2+Прайс[[#This Row],[KFN-SB-MD]]*2+Прайс[[#This Row],[KFP-SB-N110]]*2</f>
        <v>2500</v>
      </c>
      <c r="BR75" s="235">
        <f>Прайс[[#This Row],[Комплект ящика INNOTECH ATIRA полного выдв. с  PUSH TO OPEN , Н70,NL470,цвет серебристый]]*2+Прайс[[#This Row],[KFP-SB-N110]]*2</f>
        <v>13140</v>
      </c>
      <c r="BS75" s="133">
        <v>600</v>
      </c>
      <c r="BT75" s="133">
        <v>2040</v>
      </c>
      <c r="BU75" s="133" t="str">
        <f>IF(OR(Прайс[[#This Row],[Тип]]="Нижний",Прайс[[#This Row],[Тип]]="Пенал"),"560",IF(Прайс[[#This Row],[Тип]]="Верхний",315,0))</f>
        <v>560</v>
      </c>
      <c r="BV75" s="236">
        <v>1.08</v>
      </c>
      <c r="BW75" s="236">
        <v>1.0649999999999999</v>
      </c>
      <c r="BX75" s="235">
        <v>0</v>
      </c>
      <c r="BY75" s="133">
        <v>1</v>
      </c>
      <c r="BZ75" s="133">
        <v>2</v>
      </c>
      <c r="CA75" s="133" t="s">
        <v>71</v>
      </c>
      <c r="CB75" s="235" t="s">
        <v>469</v>
      </c>
      <c r="CC75" s="133">
        <v>1</v>
      </c>
      <c r="CD75" s="133" t="s">
        <v>10</v>
      </c>
      <c r="CE75" s="133">
        <v>12440</v>
      </c>
      <c r="CF75" s="133"/>
      <c r="CG75" s="133"/>
      <c r="CH75" s="133">
        <v>3</v>
      </c>
      <c r="CI75" s="133">
        <v>0</v>
      </c>
      <c r="CJ75" s="133">
        <v>0</v>
      </c>
      <c r="CK75" s="133"/>
      <c r="CL75" s="133"/>
      <c r="CM75" s="133"/>
      <c r="CN75" s="133"/>
      <c r="CO75" s="133" t="s">
        <v>10</v>
      </c>
      <c r="CP75" s="133">
        <f>IF(Прайс[[#This Row],[Наличие подсветки на нижнем горизонте]]="Нет",0,'комплекты фурнитуры'!$C$95)</f>
        <v>0</v>
      </c>
      <c r="CQ75" s="133">
        <f>'комплекты фурнитуры'!$C$53</f>
        <v>340</v>
      </c>
      <c r="CR75" s="133"/>
      <c r="CS75" s="133"/>
      <c r="CT75" s="133">
        <f>'комплекты фурнитуры'!$C$56</f>
        <v>4460</v>
      </c>
      <c r="CU75" s="133">
        <f>Прайс[[#This Row],[Ящик JETBOX ULTRA 170 с доводчиком антрацит]]*2+Прайс[[#This Row],[КФ петли JET накл. 105 гр.]]*2</f>
        <v>9600</v>
      </c>
    </row>
    <row r="76" spans="1:99" s="134" customFormat="1" ht="15" customHeight="1" x14ac:dyDescent="0.25">
      <c r="A76" s="285" t="s">
        <v>408</v>
      </c>
      <c r="B76" s="132" t="s">
        <v>9</v>
      </c>
      <c r="C76" s="132" t="s">
        <v>1099</v>
      </c>
      <c r="D76" s="132" t="s">
        <v>73</v>
      </c>
      <c r="E76" s="132" t="s">
        <v>10</v>
      </c>
      <c r="F76" s="132" t="s">
        <v>96</v>
      </c>
      <c r="G76" s="286">
        <v>2000</v>
      </c>
      <c r="H76" s="286">
        <v>2280</v>
      </c>
      <c r="I76" s="286">
        <v>600</v>
      </c>
      <c r="J76" s="286">
        <v>600</v>
      </c>
      <c r="K76" s="286">
        <v>560</v>
      </c>
      <c r="L76" s="286">
        <v>560</v>
      </c>
      <c r="M76" s="132"/>
      <c r="N76" s="231" t="s">
        <v>67</v>
      </c>
      <c r="O76" s="232">
        <v>8640</v>
      </c>
      <c r="P76" s="232"/>
      <c r="Q76" s="232"/>
      <c r="R76" s="132"/>
      <c r="S76" s="132"/>
      <c r="T76" s="132"/>
      <c r="U76" s="132"/>
      <c r="V76" s="132"/>
      <c r="W76" s="132"/>
      <c r="X76" s="132"/>
      <c r="Y76" s="132"/>
      <c r="Z76" s="132">
        <f>'комплекты фурнитуры'!$C$14</f>
        <v>940</v>
      </c>
      <c r="AA76" s="132"/>
      <c r="AB76" s="132"/>
      <c r="AC76" s="132"/>
      <c r="AD76" s="132"/>
      <c r="AE76" s="132">
        <f>'комплекты фурнитуры'!$C$23*2</f>
        <v>560</v>
      </c>
      <c r="AF76" s="132"/>
      <c r="AG76" s="132"/>
      <c r="AH76" s="233">
        <f>SUM(Прайс[[#This Row],[КФ НСТ11]:[KFPr-SB-ZPG]])</f>
        <v>1500</v>
      </c>
      <c r="AI76" s="233"/>
      <c r="AJ76" s="132"/>
      <c r="AK76" s="132"/>
      <c r="AL76" s="299"/>
      <c r="AM76" s="233">
        <f>'комплекты фурнитуры'!$C$66</f>
        <v>620</v>
      </c>
      <c r="AN76" s="233">
        <f>'комплекты фурнитуры'!$C$67</f>
        <v>130</v>
      </c>
      <c r="AO76" s="233"/>
      <c r="AP76" s="233"/>
      <c r="AQ76" s="233"/>
      <c r="AR76" s="233"/>
      <c r="AS76" s="233"/>
      <c r="AT76" s="233"/>
      <c r="AU76" s="233"/>
      <c r="AV76" s="233"/>
      <c r="AW76" s="292"/>
      <c r="AX76" s="233"/>
      <c r="AY76" s="292"/>
      <c r="AZ76" s="233"/>
      <c r="BA76" s="233"/>
      <c r="BB76" s="292"/>
      <c r="BC76" s="233">
        <f>'комплекты фурнитуры'!$C$26</f>
        <v>6660</v>
      </c>
      <c r="BD76" s="292"/>
      <c r="BE76" s="233">
        <f>'комплекты фурнитуры'!$C$31</f>
        <v>950</v>
      </c>
      <c r="BF76" s="233">
        <f>'комплекты фурнитуры'!$C$33</f>
        <v>170</v>
      </c>
      <c r="BG76" s="292"/>
      <c r="BH76" s="233">
        <f>'комплекты фурнитуры'!$C$34</f>
        <v>5040</v>
      </c>
      <c r="BI76" s="233">
        <f>'комплекты фурнитуры'!$C$36</f>
        <v>6440</v>
      </c>
      <c r="BJ76" s="233"/>
      <c r="BK76" s="233"/>
      <c r="BL76" s="233"/>
      <c r="BM76" s="233"/>
      <c r="BN76" s="233"/>
      <c r="BO76" s="233"/>
      <c r="BP76" s="234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6" s="235">
        <f>Прайс[[#This Row],[KFN-SB-M15]]*2+Прайс[[#This Row],[KFN-SB-MD]]*2+Прайс[[#This Row],[KFP-SB-N110]]*2</f>
        <v>2500</v>
      </c>
      <c r="BR76" s="235">
        <f>Прайс[[#This Row],[Комплект ящика INNOTECH ATIRA полного выдв. с  PUSH TO OPEN , Н70,NL470,цвет серебристый]]*2+Прайс[[#This Row],[KFP-SB-N110]]*2</f>
        <v>13140</v>
      </c>
      <c r="BS76" s="133">
        <v>600</v>
      </c>
      <c r="BT76" s="133">
        <v>2040</v>
      </c>
      <c r="BU76" s="133" t="str">
        <f>IF(OR(Прайс[[#This Row],[Тип]]="Нижний",Прайс[[#This Row],[Тип]]="Пенал"),"560",IF(Прайс[[#This Row],[Тип]]="Верхний",315,0))</f>
        <v>560</v>
      </c>
      <c r="BV76" s="236">
        <v>1.08</v>
      </c>
      <c r="BW76" s="236">
        <v>1.0649999999999999</v>
      </c>
      <c r="BX76" s="235">
        <v>0</v>
      </c>
      <c r="BY76" s="133">
        <v>1</v>
      </c>
      <c r="BZ76" s="133">
        <v>2</v>
      </c>
      <c r="CA76" s="133" t="s">
        <v>71</v>
      </c>
      <c r="CB76" s="235" t="s">
        <v>469</v>
      </c>
      <c r="CC76" s="133">
        <v>1</v>
      </c>
      <c r="CD76" s="133" t="s">
        <v>10</v>
      </c>
      <c r="CE76" s="133">
        <v>12440</v>
      </c>
      <c r="CF76" s="133"/>
      <c r="CG76" s="133"/>
      <c r="CH76" s="133">
        <v>3</v>
      </c>
      <c r="CI76" s="133">
        <v>0</v>
      </c>
      <c r="CJ76" s="133">
        <v>0</v>
      </c>
      <c r="CK76" s="133"/>
      <c r="CL76" s="133"/>
      <c r="CM76" s="133"/>
      <c r="CN76" s="133"/>
      <c r="CO76" s="133" t="s">
        <v>10</v>
      </c>
      <c r="CP76" s="133">
        <f>IF(Прайс[[#This Row],[Наличие подсветки на нижнем горизонте]]="Нет",0,'комплекты фурнитуры'!$C$95)</f>
        <v>0</v>
      </c>
      <c r="CQ76" s="133">
        <f>'комплекты фурнитуры'!$C$53</f>
        <v>340</v>
      </c>
      <c r="CR76" s="133"/>
      <c r="CS76" s="133"/>
      <c r="CT76" s="133">
        <f>'комплекты фурнитуры'!$C$56</f>
        <v>4460</v>
      </c>
      <c r="CU76" s="133">
        <f>Прайс[[#This Row],[Ящик JETBOX ULTRA 170 с доводчиком антрацит]]*2+Прайс[[#This Row],[КФ петли JET накл. 105 гр.]]*2</f>
        <v>9600</v>
      </c>
    </row>
    <row r="77" spans="1:99" s="134" customFormat="1" ht="15" customHeight="1" x14ac:dyDescent="0.25">
      <c r="A77" s="285" t="s">
        <v>713</v>
      </c>
      <c r="B77" s="132" t="s">
        <v>9</v>
      </c>
      <c r="C77" s="132" t="s">
        <v>788</v>
      </c>
      <c r="D77" s="132" t="s">
        <v>73</v>
      </c>
      <c r="E77" s="132" t="s">
        <v>10</v>
      </c>
      <c r="F77" s="132" t="s">
        <v>98</v>
      </c>
      <c r="G77" s="286">
        <v>2000</v>
      </c>
      <c r="H77" s="286">
        <v>2280</v>
      </c>
      <c r="I77" s="286">
        <v>600</v>
      </c>
      <c r="J77" s="286">
        <v>600</v>
      </c>
      <c r="K77" s="286">
        <v>560</v>
      </c>
      <c r="L77" s="286">
        <v>560</v>
      </c>
      <c r="M77" s="132"/>
      <c r="N77" s="231" t="s">
        <v>67</v>
      </c>
      <c r="O77" s="232">
        <v>7500</v>
      </c>
      <c r="P77" s="232"/>
      <c r="Q77" s="232"/>
      <c r="R77" s="132"/>
      <c r="S77" s="132"/>
      <c r="T77" s="132"/>
      <c r="U77" s="132"/>
      <c r="V77" s="132"/>
      <c r="W77" s="132"/>
      <c r="X77" s="132"/>
      <c r="Y77" s="132"/>
      <c r="Z77" s="132"/>
      <c r="AA77" s="132">
        <f>'комплекты фурнитуры'!$C$15</f>
        <v>1130</v>
      </c>
      <c r="AB77" s="132"/>
      <c r="AC77" s="132"/>
      <c r="AD77" s="132"/>
      <c r="AE77" s="132">
        <f>'комплекты фурнитуры'!$C$23*2</f>
        <v>560</v>
      </c>
      <c r="AF77" s="132"/>
      <c r="AG77" s="132"/>
      <c r="AH77" s="233">
        <f>SUM(Прайс[[#This Row],[КФ НСТ11]:[KFPr-SB-ZPG]])</f>
        <v>1690</v>
      </c>
      <c r="AI77" s="233"/>
      <c r="AJ77" s="132"/>
      <c r="AK77" s="132"/>
      <c r="AL77" s="299"/>
      <c r="AM77" s="233">
        <f>'комплекты фурнитуры'!$C$66</f>
        <v>620</v>
      </c>
      <c r="AN77" s="233">
        <f>'комплекты фурнитуры'!$C$67</f>
        <v>130</v>
      </c>
      <c r="AO77" s="233"/>
      <c r="AP77" s="233"/>
      <c r="AQ77" s="233"/>
      <c r="AR77" s="233"/>
      <c r="AS77" s="233"/>
      <c r="AT77" s="233"/>
      <c r="AU77" s="233"/>
      <c r="AV77" s="233"/>
      <c r="AW77" s="233">
        <f>'комплекты фурнитуры'!$C$71</f>
        <v>6080</v>
      </c>
      <c r="AX77" s="233">
        <f>'комплекты фурнитуры'!$C$72</f>
        <v>6940</v>
      </c>
      <c r="AY77" s="233">
        <f>'комплекты фурнитуры'!$C$74</f>
        <v>2290</v>
      </c>
      <c r="AZ77" s="233"/>
      <c r="BA77" s="233"/>
      <c r="BB77" s="292"/>
      <c r="BC77" s="292"/>
      <c r="BD77" s="292"/>
      <c r="BE77" s="292"/>
      <c r="BF77" s="292"/>
      <c r="BG77" s="292"/>
      <c r="BH77" s="292"/>
      <c r="BI77" s="292"/>
      <c r="BJ77" s="233"/>
      <c r="BK77" s="233"/>
      <c r="BL77" s="233"/>
      <c r="BM77" s="233"/>
      <c r="BN77" s="233"/>
      <c r="BO77" s="233"/>
      <c r="BP77" s="234">
        <f>Прайс[[#This Row],[KFP-SP-PPGK]]+Прайс[[#This Row],[КФ петли SENS накл.110 гр. с крестообр. Планкой]]*2</f>
        <v>7320</v>
      </c>
      <c r="BQ77" s="235">
        <f>Прайс[[#This Row],[KFP-SP-PPA]]+Прайс[[#This Row],[KFP-SB-N110]]*4</f>
        <v>2810</v>
      </c>
      <c r="BR77" s="235">
        <f>Прайс[[#This Row],[KFP-SP-PPA]]+Прайс[[#This Row],[KFP-SB-N110]]*4</f>
        <v>2810</v>
      </c>
      <c r="BS77" s="133">
        <v>600</v>
      </c>
      <c r="BT77" s="133">
        <v>2040</v>
      </c>
      <c r="BU77" s="133" t="str">
        <f>IF(OR(Прайс[[#This Row],[Тип]]="Нижний",Прайс[[#This Row],[Тип]]="Пенал"),"560",IF(Прайс[[#This Row],[Тип]]="Верхний",315,0))</f>
        <v>560</v>
      </c>
      <c r="BV77" s="236">
        <v>1.08</v>
      </c>
      <c r="BW77" s="236">
        <v>1.0649999999999999</v>
      </c>
      <c r="BX77" s="235">
        <v>0</v>
      </c>
      <c r="BY77" s="133">
        <v>1</v>
      </c>
      <c r="BZ77" s="133">
        <v>2</v>
      </c>
      <c r="CA77" s="133" t="s">
        <v>10</v>
      </c>
      <c r="CB77" s="235" t="s">
        <v>471</v>
      </c>
      <c r="CC77" s="133">
        <v>1</v>
      </c>
      <c r="CD77" s="133" t="s">
        <v>10</v>
      </c>
      <c r="CE77" s="133">
        <v>10930</v>
      </c>
      <c r="CF77" s="133"/>
      <c r="CG77" s="133"/>
      <c r="CH77" s="133">
        <v>2</v>
      </c>
      <c r="CI77" s="133">
        <v>0</v>
      </c>
      <c r="CJ77" s="133">
        <v>0</v>
      </c>
      <c r="CK77" s="133"/>
      <c r="CL77" s="133"/>
      <c r="CM77" s="133"/>
      <c r="CN77" s="133"/>
      <c r="CO77" s="133" t="s">
        <v>10</v>
      </c>
      <c r="CP77" s="133">
        <f>IF(Прайс[[#This Row],[Наличие подсветки на нижнем горизонте]]="Нет",0,'комплекты фурнитуры'!$C$95)</f>
        <v>0</v>
      </c>
      <c r="CQ77" s="133">
        <f>'комплекты фурнитуры'!$C$53</f>
        <v>340</v>
      </c>
      <c r="CR77" s="133"/>
      <c r="CS77" s="133"/>
      <c r="CT77" s="138"/>
      <c r="CU77" s="311">
        <f>Прайс[[#This Row],[KFP-SP-PPGK]]+Прайс[[#This Row],[КФ петли JET накл. 105 гр.]]*2</f>
        <v>6760</v>
      </c>
    </row>
    <row r="78" spans="1:99" s="134" customFormat="1" ht="15" customHeight="1" x14ac:dyDescent="0.25">
      <c r="A78" s="285" t="s">
        <v>1247</v>
      </c>
      <c r="B78" s="132" t="s">
        <v>9</v>
      </c>
      <c r="C78" s="132" t="s">
        <v>1248</v>
      </c>
      <c r="D78" s="132" t="s">
        <v>73</v>
      </c>
      <c r="E78" s="132" t="s">
        <v>71</v>
      </c>
      <c r="F78" s="132" t="s">
        <v>98</v>
      </c>
      <c r="G78" s="286">
        <v>1910</v>
      </c>
      <c r="H78" s="286">
        <v>2610</v>
      </c>
      <c r="I78" s="286">
        <v>600</v>
      </c>
      <c r="J78" s="286">
        <v>600</v>
      </c>
      <c r="K78" s="286">
        <v>560</v>
      </c>
      <c r="L78" s="286">
        <v>600</v>
      </c>
      <c r="M78" s="132"/>
      <c r="N78" s="231" t="s">
        <v>67</v>
      </c>
      <c r="O78" s="232">
        <v>8078.4</v>
      </c>
      <c r="P78" s="232"/>
      <c r="Q78" s="232"/>
      <c r="R78" s="132"/>
      <c r="S78" s="132"/>
      <c r="T78" s="132"/>
      <c r="U78" s="132"/>
      <c r="V78" s="132"/>
      <c r="W78" s="132"/>
      <c r="X78" s="132"/>
      <c r="Y78" s="132"/>
      <c r="Z78" s="132"/>
      <c r="AA78" s="132"/>
      <c r="AB78" s="132"/>
      <c r="AC78" s="132"/>
      <c r="AD78" s="132"/>
      <c r="AE78" s="132">
        <f>'комплекты фурнитуры'!$C$23*2</f>
        <v>560</v>
      </c>
      <c r="AF78" s="132"/>
      <c r="AG78" s="132"/>
      <c r="AH78" s="233">
        <f>SUM(Прайс[[#This Row],[КФ НСТ11]:[KFPr-SB-ZPG]])+Прайс[[#This Row],[КФ НСТ12]]</f>
        <v>1500</v>
      </c>
      <c r="AI78" s="233"/>
      <c r="AJ78" s="132"/>
      <c r="AK78" s="132"/>
      <c r="AL78" s="299">
        <f>'комплекты фурнитуры'!$C$89</f>
        <v>290</v>
      </c>
      <c r="AM78" s="233">
        <f>'комплекты фурнитуры'!$C$66</f>
        <v>620</v>
      </c>
      <c r="AN78" s="292"/>
      <c r="AO78" s="233"/>
      <c r="AP78" s="233"/>
      <c r="AQ78" s="233"/>
      <c r="AR78" s="233"/>
      <c r="AS78" s="233"/>
      <c r="AT78" s="233"/>
      <c r="AU78" s="233"/>
      <c r="AV78" s="233"/>
      <c r="AW78" s="292"/>
      <c r="AX78" s="233"/>
      <c r="AY78" s="292"/>
      <c r="AZ78" s="233"/>
      <c r="BA78" s="233"/>
      <c r="BB78" s="292"/>
      <c r="BC78" s="233">
        <f>'комплекты фурнитуры'!$C$26</f>
        <v>6660</v>
      </c>
      <c r="BD78" s="292"/>
      <c r="BE78" s="292"/>
      <c r="BF78" s="292"/>
      <c r="BG78" s="292"/>
      <c r="BH78" s="233">
        <f>'комплекты фурнитуры'!$C$34</f>
        <v>5040</v>
      </c>
      <c r="BI78" s="292"/>
      <c r="BJ78" s="233"/>
      <c r="BK78" s="233"/>
      <c r="BL78" s="233"/>
      <c r="BM78" s="233"/>
      <c r="BN78" s="233"/>
      <c r="BO78" s="233"/>
      <c r="BP78" s="234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BQ78" s="234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BR78" s="234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BS78" s="133">
        <v>600</v>
      </c>
      <c r="BT78" s="133">
        <v>2040</v>
      </c>
      <c r="BU78" s="133" t="str">
        <f>IF(OR(Прайс[[#This Row],[Тип]]="Нижний",Прайс[[#This Row],[Тип]]="Пенал"),"560",IF(Прайс[[#This Row],[Тип]]="Верхний",315,0))</f>
        <v>560</v>
      </c>
      <c r="BV78" s="236">
        <v>1.08</v>
      </c>
      <c r="BW78" s="236">
        <v>1.0649999999999999</v>
      </c>
      <c r="BX78" s="235">
        <v>0</v>
      </c>
      <c r="BY78" s="133">
        <v>1</v>
      </c>
      <c r="BZ78" s="133">
        <v>1</v>
      </c>
      <c r="CA78" s="133" t="s">
        <v>10</v>
      </c>
      <c r="CB78" s="235" t="s">
        <v>470</v>
      </c>
      <c r="CC78" s="133">
        <v>1</v>
      </c>
      <c r="CD78" s="133" t="s">
        <v>10</v>
      </c>
      <c r="CE78" s="133">
        <v>11664</v>
      </c>
      <c r="CF78" s="133"/>
      <c r="CG78" s="133"/>
      <c r="CH78" s="133">
        <v>2</v>
      </c>
      <c r="CI78" s="133">
        <v>0</v>
      </c>
      <c r="CJ78" s="133">
        <v>0</v>
      </c>
      <c r="CK78" s="133"/>
      <c r="CL78" s="133">
        <f>'комплекты фурнитуры'!$C$22</f>
        <v>940</v>
      </c>
      <c r="CM78" s="133"/>
      <c r="CN78" s="133"/>
      <c r="CO78" s="133" t="s">
        <v>10</v>
      </c>
      <c r="CP78" s="133">
        <f>IF(Прайс[[#This Row],[Наличие подсветки на нижнем горизонте]]="Нет",0,'комплекты фурнитуры'!$C$95)</f>
        <v>0</v>
      </c>
      <c r="CQ78" s="133">
        <f>'комплекты фурнитуры'!$C$53</f>
        <v>340</v>
      </c>
      <c r="CR78" s="133"/>
      <c r="CS78" s="133"/>
      <c r="CT78" s="133">
        <f>'комплекты фурнитуры'!$C$56</f>
        <v>4460</v>
      </c>
      <c r="CU78" s="133">
        <f>Прайс[[#This Row],[КФ петли JET накл. 105 гр.]]*2+Прайс[[#This Row],[Ящик JETBOX ULTRA 170 с доводчиком антрацит]]+Прайс[[#This Row],[КФ KEKU]]*4</f>
        <v>6300</v>
      </c>
    </row>
    <row r="79" spans="1:99" s="134" customFormat="1" ht="15" customHeight="1" x14ac:dyDescent="0.25">
      <c r="A79" s="285" t="s">
        <v>44</v>
      </c>
      <c r="B79" s="132" t="s">
        <v>9</v>
      </c>
      <c r="C79" s="132" t="s">
        <v>789</v>
      </c>
      <c r="D79" s="132" t="s">
        <v>73</v>
      </c>
      <c r="E79" s="132" t="s">
        <v>10</v>
      </c>
      <c r="F79" s="132" t="s">
        <v>97</v>
      </c>
      <c r="G79" s="286">
        <v>2280</v>
      </c>
      <c r="H79" s="286">
        <v>2280</v>
      </c>
      <c r="I79" s="286">
        <v>600</v>
      </c>
      <c r="J79" s="286">
        <v>600</v>
      </c>
      <c r="K79" s="286">
        <v>560</v>
      </c>
      <c r="L79" s="286">
        <v>560</v>
      </c>
      <c r="M79" s="132"/>
      <c r="N79" s="231" t="s">
        <v>67</v>
      </c>
      <c r="O79" s="232">
        <v>6800</v>
      </c>
      <c r="P79" s="232"/>
      <c r="Q79" s="232"/>
      <c r="R79" s="132"/>
      <c r="S79" s="132"/>
      <c r="T79" s="132"/>
      <c r="U79" s="132"/>
      <c r="V79" s="132"/>
      <c r="W79" s="132"/>
      <c r="X79" s="132"/>
      <c r="Y79" s="132"/>
      <c r="Z79" s="132"/>
      <c r="AA79" s="132">
        <f>'комплекты фурнитуры'!$C$15</f>
        <v>1130</v>
      </c>
      <c r="AB79" s="132"/>
      <c r="AC79" s="132"/>
      <c r="AD79" s="132"/>
      <c r="AE79" s="132">
        <f>'комплекты фурнитуры'!$C$23*2</f>
        <v>560</v>
      </c>
      <c r="AF79" s="132"/>
      <c r="AG79" s="132"/>
      <c r="AH79" s="233">
        <f>SUM(Прайс[[#This Row],[КФ НСТ11]:[KFPr-SB-ZPG]])</f>
        <v>1690</v>
      </c>
      <c r="AI79" s="233"/>
      <c r="AJ79" s="132"/>
      <c r="AK79" s="132"/>
      <c r="AL79" s="303"/>
      <c r="AM79" s="233">
        <f>'комплекты фурнитуры'!$C$66</f>
        <v>620</v>
      </c>
      <c r="AN79" s="233">
        <f>'комплекты фурнитуры'!$C$67</f>
        <v>130</v>
      </c>
      <c r="AO79" s="233"/>
      <c r="AP79" s="233"/>
      <c r="AQ79" s="233"/>
      <c r="AR79" s="233"/>
      <c r="AS79" s="233"/>
      <c r="AT79" s="233"/>
      <c r="AU79" s="233"/>
      <c r="AV79" s="233"/>
      <c r="AW79" s="233">
        <f>'комплекты фурнитуры'!$C$71</f>
        <v>6080</v>
      </c>
      <c r="AX79" s="233"/>
      <c r="AY79" s="233">
        <f>'комплекты фурнитуры'!$C$74</f>
        <v>2290</v>
      </c>
      <c r="AZ79" s="233"/>
      <c r="BA79" s="233"/>
      <c r="BB79" s="242"/>
      <c r="BC79" s="242"/>
      <c r="BD79" s="242"/>
      <c r="BE79" s="242"/>
      <c r="BF79" s="242"/>
      <c r="BG79" s="242"/>
      <c r="BH79" s="242"/>
      <c r="BI79" s="242"/>
      <c r="BJ79" s="233"/>
      <c r="BK79" s="233"/>
      <c r="BL79" s="233"/>
      <c r="BM79" s="233"/>
      <c r="BN79" s="233"/>
      <c r="BO79" s="233"/>
      <c r="BP79" s="234">
        <f>Прайс[[#This Row],[KFP-SP-PPGK]]+Прайс[[#This Row],[КФ петли SENS накл.110 гр. с крестообр. Планкой]]*5</f>
        <v>9180</v>
      </c>
      <c r="BQ79" s="235">
        <f>Прайс[[#This Row],[KFP-SP-PPA]]+Прайс[[#This Row],[KFP-SB-N110]]*7</f>
        <v>3200</v>
      </c>
      <c r="BR79" s="235">
        <v>0</v>
      </c>
      <c r="BS79" s="133">
        <v>600</v>
      </c>
      <c r="BT79" s="133">
        <v>2280</v>
      </c>
      <c r="BU79" s="133" t="str">
        <f>IF(OR(Прайс[[#This Row],[Тип]]="Нижний",Прайс[[#This Row],[Тип]]="Пенал"),"560",IF(Прайс[[#This Row],[Тип]]="Верхний",315,0))</f>
        <v>560</v>
      </c>
      <c r="BV79" s="236">
        <v>1.08</v>
      </c>
      <c r="BW79" s="236">
        <v>1.0649999999999999</v>
      </c>
      <c r="BX79" s="235">
        <v>1.3</v>
      </c>
      <c r="BY79" s="133">
        <v>0</v>
      </c>
      <c r="BZ79" s="133">
        <v>0</v>
      </c>
      <c r="CA79" s="133" t="s">
        <v>10</v>
      </c>
      <c r="CB79" s="235" t="s">
        <v>471</v>
      </c>
      <c r="CC79" s="133">
        <v>0</v>
      </c>
      <c r="CD79" s="133" t="s">
        <v>10</v>
      </c>
      <c r="CE79" s="133">
        <v>9980</v>
      </c>
      <c r="CF79" s="133"/>
      <c r="CG79" s="133"/>
      <c r="CH79" s="133">
        <v>3</v>
      </c>
      <c r="CI79" s="133">
        <v>0</v>
      </c>
      <c r="CJ79" s="133">
        <v>0</v>
      </c>
      <c r="CK79" s="133"/>
      <c r="CL79" s="133"/>
      <c r="CM79" s="133"/>
      <c r="CN79" s="133"/>
      <c r="CO79" s="133" t="s">
        <v>10</v>
      </c>
      <c r="CP79" s="133">
        <f>IF(Прайс[[#This Row],[Наличие подсветки на нижнем горизонте]]="Нет",0,'комплекты фурнитуры'!$C$95)</f>
        <v>0</v>
      </c>
      <c r="CQ79" s="133">
        <f>'комплекты фурнитуры'!$C$53</f>
        <v>340</v>
      </c>
      <c r="CR79" s="133"/>
      <c r="CS79" s="133"/>
      <c r="CT79" s="133"/>
      <c r="CU79" s="311">
        <f>Прайс[[#This Row],[KFP-SP-PPGK]]+5*Прайс[[#This Row],[КФ петли JET накл. 105 гр.]]</f>
        <v>7780</v>
      </c>
    </row>
    <row r="80" spans="1:99" s="134" customFormat="1" ht="15" customHeight="1" x14ac:dyDescent="0.25">
      <c r="A80" s="304" t="s">
        <v>837</v>
      </c>
      <c r="B80" s="237" t="s">
        <v>7</v>
      </c>
      <c r="C80" s="237" t="s">
        <v>847</v>
      </c>
      <c r="D80" s="132" t="s">
        <v>73</v>
      </c>
      <c r="E80" s="237" t="s">
        <v>10</v>
      </c>
      <c r="F80" s="237" t="s">
        <v>846</v>
      </c>
      <c r="G80" s="305">
        <v>480</v>
      </c>
      <c r="H80" s="305">
        <v>1250</v>
      </c>
      <c r="I80" s="305">
        <v>250</v>
      </c>
      <c r="J80" s="305">
        <v>600</v>
      </c>
      <c r="K80" s="305">
        <v>260</v>
      </c>
      <c r="L80" s="305">
        <v>560</v>
      </c>
      <c r="M80" s="237"/>
      <c r="N80" s="238"/>
      <c r="O80" s="232">
        <v>2530</v>
      </c>
      <c r="P80" s="239"/>
      <c r="Q80" s="239"/>
      <c r="R80" s="240"/>
      <c r="S80" s="237"/>
      <c r="T80" s="237"/>
      <c r="U80" s="237"/>
      <c r="V80" s="237"/>
      <c r="W80" s="237"/>
      <c r="X80" s="237"/>
      <c r="Y80" s="237"/>
      <c r="Z80" s="237"/>
      <c r="AA80" s="237"/>
      <c r="AB80" s="237"/>
      <c r="AC80" s="237"/>
      <c r="AD80" s="237"/>
      <c r="AE80" s="237"/>
      <c r="AF80" s="132">
        <f>'комплекты фурнитуры'!$C$76</f>
        <v>210</v>
      </c>
      <c r="AG80" s="132">
        <f>'комплекты фурнитуры'!$C$77</f>
        <v>30</v>
      </c>
      <c r="AH80" s="237">
        <f>SUM(Прайс[[#This Row],[КФ НСТ11]:[KFPr-SB-ZPG]])+Прайс[[#This Row],[КФ EMV1DL/2DL]]</f>
        <v>1930</v>
      </c>
      <c r="AI80" s="241"/>
      <c r="AJ80" s="241"/>
      <c r="AK80" s="241"/>
      <c r="AL80" s="237"/>
      <c r="AM80" s="233">
        <f>'комплекты фурнитуры'!$C$66</f>
        <v>620</v>
      </c>
      <c r="AN80" s="233">
        <f>'комплекты фурнитуры'!$C$67</f>
        <v>130</v>
      </c>
      <c r="AO80" s="241"/>
      <c r="AP80" s="241"/>
      <c r="AQ80" s="241"/>
      <c r="AR80" s="241"/>
      <c r="AS80" s="241"/>
      <c r="AT80" s="241"/>
      <c r="AU80" s="241"/>
      <c r="AV80" s="241"/>
      <c r="AW80" s="241"/>
      <c r="AX80" s="241"/>
      <c r="AY80" s="241"/>
      <c r="AZ80" s="241"/>
      <c r="BA80" s="241"/>
      <c r="BB80" s="241"/>
      <c r="BC80" s="241"/>
      <c r="BD80" s="241"/>
      <c r="BE80" s="241"/>
      <c r="BF80" s="241"/>
      <c r="BG80" s="241"/>
      <c r="BH80" s="242"/>
      <c r="BI80" s="241"/>
      <c r="BJ80" s="241"/>
      <c r="BK80" s="241"/>
      <c r="BL80" s="241"/>
      <c r="BM80" s="241"/>
      <c r="BN80" s="241"/>
      <c r="BO80" s="241"/>
      <c r="BP80" s="243">
        <f>Прайс[[#This Row],[КФ петли SENS накл.110 гр. с крестообр. Планкой]]*2</f>
        <v>1240</v>
      </c>
      <c r="BQ80" s="243">
        <f>Прайс[[#This Row],[KFP-SB-N110]]*2</f>
        <v>260</v>
      </c>
      <c r="BR80" s="244">
        <f>Прайс[[#This Row],[KFP-SB-N110]]*2</f>
        <v>260</v>
      </c>
      <c r="BS80" s="245">
        <v>300</v>
      </c>
      <c r="BT80" s="245">
        <v>720</v>
      </c>
      <c r="BU80" s="245">
        <f>IF(OR(Прайс[[#This Row],[Тип]]="Нижний",Прайс[[#This Row],[Тип]]="Пенал"),"560",IF(Прайс[[#This Row],[Тип]]="Верхний",315,0))</f>
        <v>315</v>
      </c>
      <c r="BV80" s="236">
        <v>1.08</v>
      </c>
      <c r="BW80" s="236">
        <v>1.0649999999999999</v>
      </c>
      <c r="BX80" s="235">
        <v>1.3</v>
      </c>
      <c r="BY80" s="245">
        <v>0</v>
      </c>
      <c r="BZ80" s="245">
        <v>3</v>
      </c>
      <c r="CA80" s="245" t="s">
        <v>71</v>
      </c>
      <c r="CB80" s="235" t="s">
        <v>469</v>
      </c>
      <c r="CC80" s="245">
        <v>0</v>
      </c>
      <c r="CD80" s="245" t="s">
        <v>71</v>
      </c>
      <c r="CE80" s="133">
        <v>3320</v>
      </c>
      <c r="CF80" s="245"/>
      <c r="CG80" s="245"/>
      <c r="CH80" s="245">
        <v>1</v>
      </c>
      <c r="CI80" s="133">
        <f>Прайс[[#This Row],[Комплект петли Hettich с доводчиком для алюм.профиля]]*2</f>
        <v>2400</v>
      </c>
      <c r="CJ80" s="133">
        <f>Прайс[[#This Row],[Комплект петли Hettich с доводчиком для алюм.профиля]]*2</f>
        <v>2400</v>
      </c>
      <c r="CK80" s="133"/>
      <c r="CL80" s="133"/>
      <c r="CM80" s="133">
        <f>'комплекты фурнитуры'!$C$21</f>
        <v>1690</v>
      </c>
      <c r="CN80" s="133">
        <f>'комплекты фурнитуры'!$C$52</f>
        <v>1200</v>
      </c>
      <c r="CO80" s="133" t="s">
        <v>71</v>
      </c>
      <c r="CP80" s="133">
        <f>IF(Прайс[[#This Row],[Наличие подсветки на нижнем горизонте]]="Нет",0,'комплекты фурнитуры'!$C$95)</f>
        <v>400</v>
      </c>
      <c r="CQ80" s="133">
        <f>'комплекты фурнитуры'!$C$53</f>
        <v>340</v>
      </c>
      <c r="CR80" s="133"/>
      <c r="CS80" s="133"/>
      <c r="CT80" s="133"/>
      <c r="CU80" s="133">
        <f>Прайс[[#This Row],[КФ петли JET накл. 105 гр.]]*2</f>
        <v>680</v>
      </c>
    </row>
    <row r="81" spans="1:99" s="134" customFormat="1" ht="15" customHeight="1" x14ac:dyDescent="0.25">
      <c r="A81" s="304" t="s">
        <v>838</v>
      </c>
      <c r="B81" s="237" t="s">
        <v>7</v>
      </c>
      <c r="C81" s="237" t="s">
        <v>848</v>
      </c>
      <c r="D81" s="132" t="s">
        <v>73</v>
      </c>
      <c r="E81" s="237" t="s">
        <v>10</v>
      </c>
      <c r="F81" s="237" t="s">
        <v>846</v>
      </c>
      <c r="G81" s="305">
        <v>480</v>
      </c>
      <c r="H81" s="305">
        <v>1250</v>
      </c>
      <c r="I81" s="305">
        <v>600</v>
      </c>
      <c r="J81" s="305">
        <v>800</v>
      </c>
      <c r="K81" s="305">
        <v>260</v>
      </c>
      <c r="L81" s="305">
        <v>560</v>
      </c>
      <c r="M81" s="237"/>
      <c r="N81" s="238"/>
      <c r="O81" s="232">
        <v>2530</v>
      </c>
      <c r="P81" s="239"/>
      <c r="Q81" s="239"/>
      <c r="R81" s="240"/>
      <c r="S81" s="237"/>
      <c r="T81" s="237"/>
      <c r="U81" s="237"/>
      <c r="V81" s="237"/>
      <c r="W81" s="237"/>
      <c r="X81" s="237"/>
      <c r="Y81" s="237"/>
      <c r="Z81" s="237"/>
      <c r="AA81" s="237"/>
      <c r="AB81" s="237"/>
      <c r="AC81" s="237"/>
      <c r="AD81" s="237"/>
      <c r="AE81" s="237"/>
      <c r="AF81" s="132">
        <f>'комплекты фурнитуры'!$C$76</f>
        <v>210</v>
      </c>
      <c r="AG81" s="132">
        <f>'комплекты фурнитуры'!$C$77</f>
        <v>30</v>
      </c>
      <c r="AH81" s="237">
        <f>SUM(Прайс[[#This Row],[КФ НСТ11]:[KFPr-SB-ZPG]])+Прайс[[#This Row],[КФ EMV1DL/2DL]]</f>
        <v>1930</v>
      </c>
      <c r="AI81" s="241"/>
      <c r="AJ81" s="241"/>
      <c r="AK81" s="241"/>
      <c r="AL81" s="237"/>
      <c r="AM81" s="233">
        <f>'комплекты фурнитуры'!$C$66</f>
        <v>620</v>
      </c>
      <c r="AN81" s="233">
        <f>'комплекты фурнитуры'!$C$67</f>
        <v>130</v>
      </c>
      <c r="AO81" s="241"/>
      <c r="AP81" s="241"/>
      <c r="AQ81" s="241"/>
      <c r="AR81" s="241"/>
      <c r="AS81" s="241"/>
      <c r="AT81" s="241"/>
      <c r="AU81" s="241"/>
      <c r="AV81" s="241"/>
      <c r="AW81" s="241"/>
      <c r="AX81" s="241"/>
      <c r="AY81" s="241"/>
      <c r="AZ81" s="241"/>
      <c r="BA81" s="241"/>
      <c r="BB81" s="241"/>
      <c r="BC81" s="241"/>
      <c r="BD81" s="241"/>
      <c r="BE81" s="241"/>
      <c r="BF81" s="241"/>
      <c r="BG81" s="241"/>
      <c r="BH81" s="242"/>
      <c r="BI81" s="241"/>
      <c r="BJ81" s="241"/>
      <c r="BK81" s="241"/>
      <c r="BL81" s="241"/>
      <c r="BM81" s="241"/>
      <c r="BN81" s="241"/>
      <c r="BO81" s="241"/>
      <c r="BP81" s="243">
        <f>Прайс[[#This Row],[КФ петли SENS накл.110 гр. с крестообр. Планкой]]*4</f>
        <v>2480</v>
      </c>
      <c r="BQ81" s="243">
        <f>Прайс[[#This Row],[KFP-SB-N110]]*4</f>
        <v>520</v>
      </c>
      <c r="BR81" s="244">
        <f>Прайс[[#This Row],[KFP-SB-N110]]*4</f>
        <v>520</v>
      </c>
      <c r="BS81" s="245">
        <v>300</v>
      </c>
      <c r="BT81" s="245">
        <v>720</v>
      </c>
      <c r="BU81" s="245">
        <f>IF(OR(Прайс[[#This Row],[Тип]]="Нижний",Прайс[[#This Row],[Тип]]="Пенал"),"560",IF(Прайс[[#This Row],[Тип]]="Верхний",315,0))</f>
        <v>315</v>
      </c>
      <c r="BV81" s="236">
        <v>1.08</v>
      </c>
      <c r="BW81" s="236">
        <v>1.0649999999999999</v>
      </c>
      <c r="BX81" s="235">
        <v>1.3</v>
      </c>
      <c r="BY81" s="245">
        <v>0</v>
      </c>
      <c r="BZ81" s="245">
        <v>3</v>
      </c>
      <c r="CA81" s="245" t="s">
        <v>71</v>
      </c>
      <c r="CB81" s="235" t="s">
        <v>469</v>
      </c>
      <c r="CC81" s="245">
        <v>0</v>
      </c>
      <c r="CD81" s="245" t="s">
        <v>71</v>
      </c>
      <c r="CE81" s="133">
        <v>3320</v>
      </c>
      <c r="CF81" s="245"/>
      <c r="CG81" s="245"/>
      <c r="CH81" s="245">
        <v>2</v>
      </c>
      <c r="CI81" s="133">
        <f>Прайс[[#This Row],[Комплект петли Hettich с доводчиком для алюм.профиля]]*4</f>
        <v>4800</v>
      </c>
      <c r="CJ81" s="133">
        <f>Прайс[[#This Row],[Комплект петли Hettich с доводчиком для алюм.профиля]]*4</f>
        <v>4800</v>
      </c>
      <c r="CK81" s="133"/>
      <c r="CL81" s="133"/>
      <c r="CM81" s="133">
        <f>'комплекты фурнитуры'!$C$21</f>
        <v>1690</v>
      </c>
      <c r="CN81" s="133">
        <f>'комплекты фурнитуры'!$C$52</f>
        <v>1200</v>
      </c>
      <c r="CO81" s="133" t="s">
        <v>71</v>
      </c>
      <c r="CP81" s="133">
        <f>IF(Прайс[[#This Row],[Наличие подсветки на нижнем горизонте]]="Нет",0,'комплекты фурнитуры'!$C$95)</f>
        <v>400</v>
      </c>
      <c r="CQ81" s="133">
        <f>'комплекты фурнитуры'!$C$53</f>
        <v>340</v>
      </c>
      <c r="CR81" s="133"/>
      <c r="CS81" s="133"/>
      <c r="CT81" s="133"/>
      <c r="CU81" s="133">
        <f>Прайс[[#This Row],[КФ петли JET накл. 105 гр.]]*4</f>
        <v>1360</v>
      </c>
    </row>
    <row r="82" spans="1:99" s="134" customFormat="1" ht="15" customHeight="1" x14ac:dyDescent="0.25">
      <c r="A82" s="304" t="s">
        <v>839</v>
      </c>
      <c r="B82" s="237" t="s">
        <v>7</v>
      </c>
      <c r="C82" s="132" t="s">
        <v>850</v>
      </c>
      <c r="D82" s="132" t="s">
        <v>73</v>
      </c>
      <c r="E82" s="237" t="s">
        <v>10</v>
      </c>
      <c r="F82" s="237" t="s">
        <v>93</v>
      </c>
      <c r="G82" s="305">
        <v>711</v>
      </c>
      <c r="H82" s="305">
        <v>1250</v>
      </c>
      <c r="I82" s="305">
        <v>500</v>
      </c>
      <c r="J82" s="305">
        <v>600</v>
      </c>
      <c r="K82" s="305">
        <v>315</v>
      </c>
      <c r="L82" s="305">
        <v>315</v>
      </c>
      <c r="M82" s="237"/>
      <c r="N82" s="238"/>
      <c r="O82" s="232">
        <v>3340</v>
      </c>
      <c r="P82" s="239"/>
      <c r="Q82" s="239"/>
      <c r="R82" s="240"/>
      <c r="S82" s="237"/>
      <c r="T82" s="237"/>
      <c r="U82" s="237"/>
      <c r="V82" s="237"/>
      <c r="W82" s="237"/>
      <c r="X82" s="237"/>
      <c r="Y82" s="237"/>
      <c r="Z82" s="237"/>
      <c r="AA82" s="237"/>
      <c r="AB82" s="237"/>
      <c r="AC82" s="237"/>
      <c r="AD82" s="237"/>
      <c r="AE82" s="237"/>
      <c r="AF82" s="132">
        <f>'комплекты фурнитуры'!$C$76</f>
        <v>210</v>
      </c>
      <c r="AG82" s="132">
        <f>'комплекты фурнитуры'!$C$77</f>
        <v>30</v>
      </c>
      <c r="AH82" s="237">
        <f>SUM(Прайс[[#This Row],[КФ НСТ11]:[KFPr-SB-ZPG]])+Прайс[[#This Row],[КФ НСТ20]]</f>
        <v>1180</v>
      </c>
      <c r="AI82" s="241"/>
      <c r="AJ82" s="241"/>
      <c r="AK82" s="241"/>
      <c r="AL82" s="237"/>
      <c r="AM82" s="233">
        <f>'комплекты фурнитуры'!$C$66</f>
        <v>620</v>
      </c>
      <c r="AN82" s="233">
        <f>'комплекты фурнитуры'!$C$67</f>
        <v>130</v>
      </c>
      <c r="AO82" s="241"/>
      <c r="AP82" s="241"/>
      <c r="AQ82" s="241"/>
      <c r="AR82" s="241"/>
      <c r="AS82" s="241"/>
      <c r="AT82" s="241"/>
      <c r="AU82" s="241"/>
      <c r="AV82" s="241"/>
      <c r="AW82" s="241"/>
      <c r="AX82" s="241"/>
      <c r="AY82" s="241"/>
      <c r="AZ82" s="241"/>
      <c r="BA82" s="241"/>
      <c r="BB82" s="241"/>
      <c r="BC82" s="241"/>
      <c r="BD82" s="241"/>
      <c r="BE82" s="241"/>
      <c r="BF82" s="241"/>
      <c r="BG82" s="241"/>
      <c r="BH82" s="242"/>
      <c r="BI82" s="241"/>
      <c r="BJ82" s="241"/>
      <c r="BK82" s="241"/>
      <c r="BL82" s="241"/>
      <c r="BM82" s="241"/>
      <c r="BN82" s="241"/>
      <c r="BO82" s="241"/>
      <c r="BP82" s="243">
        <f>Прайс[[#This Row],[КФ петли SENS накл.110 гр. с крестообр. Планкой]]*2</f>
        <v>1240</v>
      </c>
      <c r="BQ82" s="243">
        <f>Прайс[[#This Row],[KFP-SB-N110]]*2</f>
        <v>260</v>
      </c>
      <c r="BR82" s="244">
        <f>Прайс[[#This Row],[KFP-SB-N110]]*2</f>
        <v>260</v>
      </c>
      <c r="BS82" s="245">
        <v>500</v>
      </c>
      <c r="BT82" s="245">
        <v>720</v>
      </c>
      <c r="BU82" s="245">
        <f>IF(OR(Прайс[[#This Row],[Тип]]="Нижний",Прайс[[#This Row],[Тип]]="Пенал"),"560",IF(Прайс[[#This Row],[Тип]]="Верхний",315,0))</f>
        <v>315</v>
      </c>
      <c r="BV82" s="236">
        <v>1.095</v>
      </c>
      <c r="BW82" s="236">
        <v>1.0649999999999999</v>
      </c>
      <c r="BX82" s="235">
        <v>1.3</v>
      </c>
      <c r="BY82" s="245">
        <v>1</v>
      </c>
      <c r="BZ82" s="245">
        <v>2</v>
      </c>
      <c r="CA82" s="245" t="s">
        <v>71</v>
      </c>
      <c r="CB82" s="235" t="s">
        <v>469</v>
      </c>
      <c r="CC82" s="245">
        <v>1</v>
      </c>
      <c r="CD82" s="245" t="s">
        <v>10</v>
      </c>
      <c r="CE82" s="133">
        <v>4640</v>
      </c>
      <c r="CF82" s="245"/>
      <c r="CG82" s="245"/>
      <c r="CH82" s="245">
        <v>1</v>
      </c>
      <c r="CI82" s="133">
        <v>0</v>
      </c>
      <c r="CJ82" s="133">
        <v>0</v>
      </c>
      <c r="CK82" s="133">
        <f>'комплекты фурнитуры'!$C$20</f>
        <v>940</v>
      </c>
      <c r="CL82" s="133"/>
      <c r="CM82" s="133"/>
      <c r="CN82" s="133"/>
      <c r="CO82" s="133" t="s">
        <v>10</v>
      </c>
      <c r="CP82" s="133">
        <f>IF(Прайс[[#This Row],[Наличие подсветки на нижнем горизонте]]="Нет",0,'комплекты фурнитуры'!$C$95)</f>
        <v>0</v>
      </c>
      <c r="CQ82" s="133">
        <f>'комплекты фурнитуры'!$C$53</f>
        <v>340</v>
      </c>
      <c r="CR82" s="133"/>
      <c r="CS82" s="133"/>
      <c r="CT82" s="133"/>
      <c r="CU82" s="133">
        <f>Прайс[[#This Row],[КФ петли JET накл. 105 гр.]]*2</f>
        <v>680</v>
      </c>
    </row>
    <row r="83" spans="1:99" s="134" customFormat="1" ht="15" customHeight="1" x14ac:dyDescent="0.25">
      <c r="A83" s="304" t="s">
        <v>840</v>
      </c>
      <c r="B83" s="237" t="s">
        <v>7</v>
      </c>
      <c r="C83" s="132" t="s">
        <v>849</v>
      </c>
      <c r="D83" s="132" t="s">
        <v>73</v>
      </c>
      <c r="E83" s="237" t="s">
        <v>10</v>
      </c>
      <c r="F83" s="237" t="s">
        <v>93</v>
      </c>
      <c r="G83" s="305">
        <v>711</v>
      </c>
      <c r="H83" s="305">
        <v>1250</v>
      </c>
      <c r="I83" s="305">
        <v>600</v>
      </c>
      <c r="J83" s="305">
        <v>900</v>
      </c>
      <c r="K83" s="305">
        <v>315</v>
      </c>
      <c r="L83" s="305">
        <v>315</v>
      </c>
      <c r="M83" s="237"/>
      <c r="N83" s="238"/>
      <c r="O83" s="232">
        <v>3340</v>
      </c>
      <c r="P83" s="239"/>
      <c r="Q83" s="239"/>
      <c r="R83" s="240"/>
      <c r="S83" s="237"/>
      <c r="T83" s="237"/>
      <c r="U83" s="237"/>
      <c r="V83" s="237"/>
      <c r="W83" s="237"/>
      <c r="X83" s="237"/>
      <c r="Y83" s="237"/>
      <c r="Z83" s="237"/>
      <c r="AA83" s="237"/>
      <c r="AB83" s="237"/>
      <c r="AC83" s="237"/>
      <c r="AD83" s="237"/>
      <c r="AE83" s="237"/>
      <c r="AF83" s="132">
        <f>'комплекты фурнитуры'!$C$76</f>
        <v>210</v>
      </c>
      <c r="AG83" s="132">
        <f>'комплекты фурнитуры'!$C$77</f>
        <v>30</v>
      </c>
      <c r="AH83" s="237">
        <f>SUM(Прайс[[#This Row],[КФ НСТ11]:[KFPr-SB-ZPG]])+Прайс[[#This Row],[КФ НСТ20]]</f>
        <v>1180</v>
      </c>
      <c r="AI83" s="241"/>
      <c r="AJ83" s="241"/>
      <c r="AK83" s="241"/>
      <c r="AL83" s="237"/>
      <c r="AM83" s="233">
        <f>'комплекты фурнитуры'!$C$66</f>
        <v>620</v>
      </c>
      <c r="AN83" s="233">
        <f>'комплекты фурнитуры'!$C$67</f>
        <v>130</v>
      </c>
      <c r="AO83" s="241"/>
      <c r="AP83" s="241"/>
      <c r="AQ83" s="241"/>
      <c r="AR83" s="241"/>
      <c r="AS83" s="241"/>
      <c r="AT83" s="241"/>
      <c r="AU83" s="241"/>
      <c r="AV83" s="241"/>
      <c r="AW83" s="241"/>
      <c r="AX83" s="241"/>
      <c r="AY83" s="241"/>
      <c r="AZ83" s="241"/>
      <c r="BA83" s="241"/>
      <c r="BB83" s="241"/>
      <c r="BC83" s="241"/>
      <c r="BD83" s="241"/>
      <c r="BE83" s="241"/>
      <c r="BF83" s="241"/>
      <c r="BG83" s="241"/>
      <c r="BH83" s="242"/>
      <c r="BI83" s="241"/>
      <c r="BJ83" s="241"/>
      <c r="BK83" s="241"/>
      <c r="BL83" s="241"/>
      <c r="BM83" s="241"/>
      <c r="BN83" s="241"/>
      <c r="BO83" s="241"/>
      <c r="BP83" s="243">
        <f>Прайс[[#This Row],[КФ петли SENS накл.110 гр. с крестообр. Планкой]]*4</f>
        <v>2480</v>
      </c>
      <c r="BQ83" s="243">
        <f>Прайс[[#This Row],[KFP-SB-N110]]*4</f>
        <v>520</v>
      </c>
      <c r="BR83" s="244">
        <f>Прайс[[#This Row],[KFP-SB-N110]]*4</f>
        <v>520</v>
      </c>
      <c r="BS83" s="245">
        <v>500</v>
      </c>
      <c r="BT83" s="245">
        <v>720</v>
      </c>
      <c r="BU83" s="245">
        <f>IF(OR(Прайс[[#This Row],[Тип]]="Нижний",Прайс[[#This Row],[Тип]]="Пенал"),"560",IF(Прайс[[#This Row],[Тип]]="Верхний",315,0))</f>
        <v>315</v>
      </c>
      <c r="BV83" s="236">
        <v>1.095</v>
      </c>
      <c r="BW83" s="236">
        <v>1.0649999999999999</v>
      </c>
      <c r="BX83" s="235">
        <v>1.3</v>
      </c>
      <c r="BY83" s="245">
        <v>1</v>
      </c>
      <c r="BZ83" s="245">
        <v>2</v>
      </c>
      <c r="CA83" s="245" t="s">
        <v>71</v>
      </c>
      <c r="CB83" s="235" t="s">
        <v>469</v>
      </c>
      <c r="CC83" s="245">
        <v>1</v>
      </c>
      <c r="CD83" s="245" t="s">
        <v>10</v>
      </c>
      <c r="CE83" s="133">
        <v>4640</v>
      </c>
      <c r="CF83" s="245"/>
      <c r="CG83" s="245"/>
      <c r="CH83" s="245">
        <v>2</v>
      </c>
      <c r="CI83" s="133">
        <v>0</v>
      </c>
      <c r="CJ83" s="133">
        <v>0</v>
      </c>
      <c r="CK83" s="133">
        <f>'комплекты фурнитуры'!$C$20</f>
        <v>940</v>
      </c>
      <c r="CL83" s="133"/>
      <c r="CM83" s="133"/>
      <c r="CN83" s="133"/>
      <c r="CO83" s="133" t="s">
        <v>10</v>
      </c>
      <c r="CP83" s="133">
        <f>IF(Прайс[[#This Row],[Наличие подсветки на нижнем горизонте]]="Нет",0,'комплекты фурнитуры'!$C$95)</f>
        <v>0</v>
      </c>
      <c r="CQ83" s="133">
        <f>'комплекты фурнитуры'!$C$53</f>
        <v>340</v>
      </c>
      <c r="CR83" s="133"/>
      <c r="CS83" s="133"/>
      <c r="CT83" s="133"/>
      <c r="CU83" s="133">
        <f>Прайс[[#This Row],[КФ петли JET накл. 105 гр.]]*4</f>
        <v>1360</v>
      </c>
    </row>
    <row r="84" spans="1:99" s="134" customFormat="1" ht="15" customHeight="1" x14ac:dyDescent="0.25">
      <c r="A84" s="306" t="s">
        <v>1085</v>
      </c>
      <c r="B84" s="237" t="s">
        <v>9</v>
      </c>
      <c r="C84" s="237" t="s">
        <v>1227</v>
      </c>
      <c r="D84" s="132" t="s">
        <v>73</v>
      </c>
      <c r="E84" s="132" t="s">
        <v>10</v>
      </c>
      <c r="F84" s="132" t="s">
        <v>96</v>
      </c>
      <c r="G84" s="305">
        <v>1910</v>
      </c>
      <c r="H84" s="305">
        <v>2610</v>
      </c>
      <c r="I84" s="305">
        <v>600</v>
      </c>
      <c r="J84" s="305">
        <v>600</v>
      </c>
      <c r="K84" s="305">
        <v>560</v>
      </c>
      <c r="L84" s="305">
        <v>600</v>
      </c>
      <c r="M84" s="237"/>
      <c r="N84" s="238"/>
      <c r="O84" s="232">
        <v>7320</v>
      </c>
      <c r="P84" s="239"/>
      <c r="Q84" s="239"/>
      <c r="R84" s="240"/>
      <c r="S84" s="237"/>
      <c r="T84" s="237"/>
      <c r="U84" s="237"/>
      <c r="V84" s="237"/>
      <c r="W84" s="237"/>
      <c r="X84" s="237"/>
      <c r="Y84" s="237"/>
      <c r="Z84" s="237"/>
      <c r="AA84" s="237"/>
      <c r="AB84" s="237"/>
      <c r="AC84" s="237"/>
      <c r="AD84" s="237"/>
      <c r="AE84" s="132">
        <f>'комплекты фурнитуры'!$C$23*2</f>
        <v>560</v>
      </c>
      <c r="AF84" s="237"/>
      <c r="AG84" s="237"/>
      <c r="AH84" s="237">
        <f>SUM(Прайс[[#This Row],[КФ НСТ11]:[KFPr-SB-ZPG]])+Прайс[[#This Row],[КФ НСТ12]]</f>
        <v>1500</v>
      </c>
      <c r="AI84" s="241"/>
      <c r="AJ84" s="241"/>
      <c r="AK84" s="241"/>
      <c r="AL84" s="237"/>
      <c r="AM84" s="233">
        <f>'комплекты фурнитуры'!$C$66</f>
        <v>620</v>
      </c>
      <c r="AN84" s="233">
        <f>'комплекты фурнитуры'!$C$67</f>
        <v>130</v>
      </c>
      <c r="AO84" s="241"/>
      <c r="AP84" s="241"/>
      <c r="AQ84" s="241"/>
      <c r="AR84" s="241"/>
      <c r="AS84" s="241"/>
      <c r="AT84" s="241"/>
      <c r="AU84" s="241"/>
      <c r="AV84" s="241"/>
      <c r="AW84" s="241"/>
      <c r="AX84" s="241"/>
      <c r="AY84" s="241"/>
      <c r="AZ84" s="241"/>
      <c r="BA84" s="241"/>
      <c r="BB84" s="241"/>
      <c r="BC84" s="241"/>
      <c r="BD84" s="241"/>
      <c r="BE84" s="241"/>
      <c r="BF84" s="241"/>
      <c r="BG84" s="241"/>
      <c r="BH84" s="242"/>
      <c r="BI84" s="241"/>
      <c r="BJ84" s="241"/>
      <c r="BK84" s="241"/>
      <c r="BL84" s="241"/>
      <c r="BM84" s="241"/>
      <c r="BN84" s="241"/>
      <c r="BO84" s="241"/>
      <c r="BP84" s="243">
        <f>Прайс[[#This Row],[КФ петли SENS накл.110 гр. с крестообр. Планкой]]*4</f>
        <v>2480</v>
      </c>
      <c r="BQ84" s="243">
        <f>Прайс[[#This Row],[KFP-SB-N110]]*4</f>
        <v>520</v>
      </c>
      <c r="BR84" s="244">
        <f>Прайс[[#This Row],[KFP-SB-N110]]*4</f>
        <v>520</v>
      </c>
      <c r="BS84" s="245">
        <v>600</v>
      </c>
      <c r="BT84" s="245">
        <v>2040</v>
      </c>
      <c r="BU84" s="245" t="str">
        <f>IF(OR(Прайс[[#This Row],[Тип]]="Нижний",Прайс[[#This Row],[Тип]]="Пенал"),"560",IF(Прайс[[#This Row],[Тип]]="Верхний",315,0))</f>
        <v>560</v>
      </c>
      <c r="BV84" s="236">
        <v>1.08</v>
      </c>
      <c r="BW84" s="236">
        <v>1.0649999999999999</v>
      </c>
      <c r="BX84" s="235">
        <v>1.3</v>
      </c>
      <c r="BY84" s="245">
        <v>2</v>
      </c>
      <c r="BZ84" s="245">
        <v>4</v>
      </c>
      <c r="CA84" s="245" t="s">
        <v>71</v>
      </c>
      <c r="CB84" s="235" t="s">
        <v>469</v>
      </c>
      <c r="CC84" s="245">
        <v>2</v>
      </c>
      <c r="CD84" s="245" t="s">
        <v>10</v>
      </c>
      <c r="CE84" s="133">
        <v>10540</v>
      </c>
      <c r="CF84" s="245"/>
      <c r="CG84" s="245"/>
      <c r="CH84" s="245">
        <v>2</v>
      </c>
      <c r="CI84" s="133">
        <v>0</v>
      </c>
      <c r="CJ84" s="133">
        <v>0</v>
      </c>
      <c r="CK84" s="133"/>
      <c r="CL84" s="133">
        <f>'комплекты фурнитуры'!$C$22</f>
        <v>940</v>
      </c>
      <c r="CM84" s="133"/>
      <c r="CN84" s="133"/>
      <c r="CO84" s="133" t="s">
        <v>10</v>
      </c>
      <c r="CP84" s="133">
        <f>IF(Прайс[[#This Row],[Наличие подсветки на нижнем горизонте]]="Нет",0,'комплекты фурнитуры'!$C$95)</f>
        <v>0</v>
      </c>
      <c r="CQ84" s="133">
        <f>'комплекты фурнитуры'!$C$53</f>
        <v>340</v>
      </c>
      <c r="CR84" s="133"/>
      <c r="CS84" s="133"/>
      <c r="CT84" s="133"/>
      <c r="CU84" s="133">
        <f>Прайс[[#This Row],[КФ петли JET накл. 105 гр.]]*4</f>
        <v>1360</v>
      </c>
    </row>
    <row r="85" spans="1:99" s="134" customFormat="1" ht="17.25" customHeight="1" x14ac:dyDescent="0.25">
      <c r="A85" s="306" t="s">
        <v>1083</v>
      </c>
      <c r="B85" s="237" t="s">
        <v>9</v>
      </c>
      <c r="C85" s="237" t="s">
        <v>1228</v>
      </c>
      <c r="D85" s="132" t="s">
        <v>73</v>
      </c>
      <c r="E85" s="132" t="s">
        <v>10</v>
      </c>
      <c r="F85" s="132" t="s">
        <v>96</v>
      </c>
      <c r="G85" s="305">
        <v>1910</v>
      </c>
      <c r="H85" s="305">
        <v>2610</v>
      </c>
      <c r="I85" s="305">
        <v>600</v>
      </c>
      <c r="J85" s="305">
        <v>600</v>
      </c>
      <c r="K85" s="305">
        <v>560</v>
      </c>
      <c r="L85" s="305">
        <v>600</v>
      </c>
      <c r="M85" s="237"/>
      <c r="N85" s="238"/>
      <c r="O85" s="232">
        <v>7480</v>
      </c>
      <c r="P85" s="239"/>
      <c r="Q85" s="239"/>
      <c r="R85" s="240"/>
      <c r="S85" s="237"/>
      <c r="T85" s="237"/>
      <c r="U85" s="237"/>
      <c r="V85" s="237"/>
      <c r="W85" s="237"/>
      <c r="X85" s="237"/>
      <c r="Y85" s="237"/>
      <c r="Z85" s="237"/>
      <c r="AA85" s="237"/>
      <c r="AB85" s="237"/>
      <c r="AC85" s="237"/>
      <c r="AD85" s="237"/>
      <c r="AE85" s="132">
        <f>'комплекты фурнитуры'!$C$23*2</f>
        <v>560</v>
      </c>
      <c r="AF85" s="237"/>
      <c r="AG85" s="237"/>
      <c r="AH85" s="237">
        <f>SUM(Прайс[[#This Row],[КФ НСТ11]:[KFPr-SB-ZPG]])+Прайс[[#This Row],[КФ НСТ12]]</f>
        <v>1500</v>
      </c>
      <c r="AI85" s="241"/>
      <c r="AJ85" s="241"/>
      <c r="AK85" s="241"/>
      <c r="AL85" s="237"/>
      <c r="AM85" s="233">
        <f>'комплекты фурнитуры'!$C$66</f>
        <v>620</v>
      </c>
      <c r="AN85" s="233">
        <f>'комплекты фурнитуры'!$C$67</f>
        <v>130</v>
      </c>
      <c r="AO85" s="241"/>
      <c r="AP85" s="241"/>
      <c r="AQ85" s="241"/>
      <c r="AR85" s="241"/>
      <c r="AS85" s="241"/>
      <c r="AT85" s="241"/>
      <c r="AU85" s="241"/>
      <c r="AV85" s="241"/>
      <c r="AW85" s="241"/>
      <c r="AX85" s="241"/>
      <c r="AY85" s="241"/>
      <c r="AZ85" s="241"/>
      <c r="BA85" s="241"/>
      <c r="BB85" s="241"/>
      <c r="BC85" s="233">
        <f>'комплекты фурнитуры'!$C$26</f>
        <v>6660</v>
      </c>
      <c r="BD85" s="241"/>
      <c r="BE85" s="233">
        <f>'комплекты фурнитуры'!$C$31</f>
        <v>950</v>
      </c>
      <c r="BF85" s="241"/>
      <c r="BG85" s="241"/>
      <c r="BH85" s="242"/>
      <c r="BI85" s="233"/>
      <c r="BJ85" s="233">
        <f>'комплекты фурнитуры'!$C$37</f>
        <v>7970</v>
      </c>
      <c r="BK85" s="241"/>
      <c r="BL85" s="241"/>
      <c r="BM85" s="241"/>
      <c r="BN85" s="241"/>
      <c r="BO85" s="241"/>
      <c r="BP85" s="243">
        <f>Прайс[[#This Row],[КФ петли SENS накл.110 гр. с крестообр. Планкой]]*2+Прайс[[#This Row],[Комплект для ящика Hettich ATIRA Серый с реллингом, NL-470, H-176]]</f>
        <v>7900</v>
      </c>
      <c r="BQ85" s="243">
        <f>Прайс[[#This Row],[KFP-SB-N110]]*2+Прайс[[#This Row],[KFN-SB-M15]]</f>
        <v>1210</v>
      </c>
      <c r="BR85" s="244">
        <f>Прайс[[#This Row],[KFP-SB-N110]]*2+Прайс[[#This Row],[Комплект короба INNOTECH ATIRA полного выдв. с Push to open, Н176,NL470,рейлинги, цвет серебристый]]</f>
        <v>8230</v>
      </c>
      <c r="BS85" s="245">
        <v>600</v>
      </c>
      <c r="BT85" s="245">
        <v>2040</v>
      </c>
      <c r="BU85" s="245" t="str">
        <f>IF(OR(Прайс[[#This Row],[Тип]]="Нижний",Прайс[[#This Row],[Тип]]="Пенал"),"560",IF(Прайс[[#This Row],[Тип]]="Верхний",315,0))</f>
        <v>560</v>
      </c>
      <c r="BV85" s="236">
        <v>1.08</v>
      </c>
      <c r="BW85" s="236">
        <v>1.0649999999999999</v>
      </c>
      <c r="BX85" s="235">
        <v>1.3</v>
      </c>
      <c r="BY85" s="245">
        <v>1</v>
      </c>
      <c r="BZ85" s="245">
        <v>4</v>
      </c>
      <c r="CA85" s="245" t="s">
        <v>10</v>
      </c>
      <c r="CB85" s="235" t="s">
        <v>471</v>
      </c>
      <c r="CC85" s="245">
        <v>1</v>
      </c>
      <c r="CD85" s="245" t="s">
        <v>10</v>
      </c>
      <c r="CE85" s="133">
        <v>10800</v>
      </c>
      <c r="CF85" s="245"/>
      <c r="CG85" s="245"/>
      <c r="CH85" s="245">
        <v>2</v>
      </c>
      <c r="CI85" s="133">
        <v>0</v>
      </c>
      <c r="CJ85" s="133">
        <v>0</v>
      </c>
      <c r="CK85" s="133"/>
      <c r="CL85" s="133">
        <f>'комплекты фурнитуры'!$C$22</f>
        <v>940</v>
      </c>
      <c r="CM85" s="133"/>
      <c r="CN85" s="133"/>
      <c r="CO85" s="133" t="s">
        <v>10</v>
      </c>
      <c r="CP85" s="133">
        <f>IF(Прайс[[#This Row],[Наличие подсветки на нижнем горизонте]]="Нет",0,'комплекты фурнитуры'!$C$95)</f>
        <v>0</v>
      </c>
      <c r="CQ85" s="133">
        <f>'комплекты фурнитуры'!$C$53</f>
        <v>340</v>
      </c>
      <c r="CR85" s="133"/>
      <c r="CS85" s="133"/>
      <c r="CT85" s="133">
        <f>'комплекты фурнитуры'!$C$56</f>
        <v>4460</v>
      </c>
      <c r="CU85" s="133">
        <f>Прайс[[#This Row],[Ящик JETBOX ULTRA 170 с доводчиком антрацит]]+Прайс[[#This Row],[КФ петли JET накл. 105 гр.]]*2</f>
        <v>5140</v>
      </c>
    </row>
    <row r="86" spans="1:99" x14ac:dyDescent="0.25">
      <c r="A86" s="101"/>
    </row>
    <row r="87" spans="1:99" x14ac:dyDescent="0.25">
      <c r="A87" s="101"/>
    </row>
    <row r="88" spans="1:99" x14ac:dyDescent="0.25">
      <c r="A88" s="101"/>
    </row>
    <row r="89" spans="1:99" ht="15.75" x14ac:dyDescent="0.25">
      <c r="A89" s="101"/>
      <c r="AF89" s="17"/>
    </row>
    <row r="90" spans="1:99" x14ac:dyDescent="0.25">
      <c r="A90" s="101"/>
    </row>
    <row r="91" spans="1:99" x14ac:dyDescent="0.25">
      <c r="A91" s="101"/>
    </row>
    <row r="92" spans="1:99" x14ac:dyDescent="0.25">
      <c r="A92" s="139" t="s">
        <v>843</v>
      </c>
    </row>
    <row r="93" spans="1:99" ht="42.75" x14ac:dyDescent="0.25">
      <c r="A93" s="140" t="s">
        <v>844</v>
      </c>
    </row>
    <row r="94" spans="1:99" ht="28.5" x14ac:dyDescent="0.25">
      <c r="A94" s="141" t="s">
        <v>845</v>
      </c>
    </row>
    <row r="95" spans="1:99" ht="28.5" x14ac:dyDescent="0.25">
      <c r="A95" s="142" t="s">
        <v>851</v>
      </c>
    </row>
    <row r="96" spans="1:99" x14ac:dyDescent="0.25">
      <c r="A96" s="147" t="s">
        <v>854</v>
      </c>
    </row>
    <row r="97" spans="1:1" x14ac:dyDescent="0.25">
      <c r="A97" s="101"/>
    </row>
    <row r="98" spans="1:1" x14ac:dyDescent="0.25">
      <c r="A98" s="101"/>
    </row>
    <row r="99" spans="1:1" x14ac:dyDescent="0.25">
      <c r="A99" s="101"/>
    </row>
    <row r="100" spans="1:1" x14ac:dyDescent="0.25">
      <c r="A100" s="101"/>
    </row>
    <row r="101" spans="1:1" x14ac:dyDescent="0.25">
      <c r="A101" s="101"/>
    </row>
    <row r="102" spans="1:1" x14ac:dyDescent="0.25">
      <c r="A102" s="101"/>
    </row>
    <row r="103" spans="1:1" x14ac:dyDescent="0.25">
      <c r="A103" s="101"/>
    </row>
    <row r="104" spans="1:1" x14ac:dyDescent="0.25">
      <c r="A104" s="101"/>
    </row>
    <row r="105" spans="1:1" x14ac:dyDescent="0.25">
      <c r="A105" s="101"/>
    </row>
    <row r="106" spans="1:1" x14ac:dyDescent="0.25">
      <c r="A106" s="101"/>
    </row>
    <row r="107" spans="1:1" x14ac:dyDescent="0.25">
      <c r="A107" s="101"/>
    </row>
    <row r="108" spans="1:1" x14ac:dyDescent="0.25">
      <c r="A108" s="101"/>
    </row>
    <row r="109" spans="1:1" x14ac:dyDescent="0.25">
      <c r="A109" s="101"/>
    </row>
    <row r="110" spans="1:1" x14ac:dyDescent="0.25">
      <c r="A110" s="101"/>
    </row>
    <row r="111" spans="1:1" x14ac:dyDescent="0.25">
      <c r="A111" s="101"/>
    </row>
    <row r="112" spans="1:1" x14ac:dyDescent="0.25">
      <c r="A112" s="101"/>
    </row>
    <row r="113" spans="1:29" x14ac:dyDescent="0.25">
      <c r="A113" s="101"/>
    </row>
    <row r="114" spans="1:29" x14ac:dyDescent="0.25">
      <c r="A114" s="101"/>
    </row>
    <row r="115" spans="1:29" x14ac:dyDescent="0.25">
      <c r="A115" s="101"/>
      <c r="P115" s="329"/>
      <c r="Q115" s="329"/>
      <c r="R115" s="329"/>
      <c r="S115" s="329"/>
      <c r="T115" s="329"/>
      <c r="U115" s="329"/>
      <c r="V115" s="329"/>
      <c r="W115" s="329"/>
      <c r="X115" s="329"/>
      <c r="Y115" s="4"/>
    </row>
    <row r="116" spans="1:29" x14ac:dyDescent="0.25">
      <c r="A116" s="101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</row>
    <row r="117" spans="1:29" x14ac:dyDescent="0.25">
      <c r="A117" s="101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</row>
    <row r="118" spans="1:29" x14ac:dyDescent="0.25">
      <c r="A118" s="101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</row>
    <row r="119" spans="1:29" x14ac:dyDescent="0.25">
      <c r="A119" s="101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</row>
    <row r="120" spans="1:29" x14ac:dyDescent="0.25">
      <c r="A120" s="101"/>
    </row>
    <row r="121" spans="1:29" x14ac:dyDescent="0.25">
      <c r="A121" s="101"/>
    </row>
    <row r="122" spans="1:29" x14ac:dyDescent="0.25">
      <c r="A122" s="101"/>
    </row>
    <row r="123" spans="1:29" x14ac:dyDescent="0.25">
      <c r="A123" s="101"/>
    </row>
    <row r="124" spans="1:29" x14ac:dyDescent="0.25">
      <c r="A124" s="100"/>
    </row>
    <row r="125" spans="1:29" x14ac:dyDescent="0.25">
      <c r="A125" s="100"/>
    </row>
    <row r="126" spans="1:29" x14ac:dyDescent="0.25">
      <c r="A126" s="101"/>
    </row>
    <row r="127" spans="1:29" x14ac:dyDescent="0.25">
      <c r="A127" s="101"/>
    </row>
    <row r="128" spans="1:29" x14ac:dyDescent="0.25">
      <c r="A128" s="101"/>
    </row>
    <row r="129" spans="1:1" x14ac:dyDescent="0.25">
      <c r="A129" s="101"/>
    </row>
    <row r="130" spans="1:1" x14ac:dyDescent="0.25">
      <c r="A130" s="101"/>
    </row>
    <row r="131" spans="1:1" x14ac:dyDescent="0.25">
      <c r="A131" s="101"/>
    </row>
    <row r="132" spans="1:1" x14ac:dyDescent="0.25">
      <c r="A132" s="101"/>
    </row>
    <row r="133" spans="1:1" x14ac:dyDescent="0.25">
      <c r="A133" s="101"/>
    </row>
    <row r="134" spans="1:1" x14ac:dyDescent="0.25">
      <c r="A134" s="101"/>
    </row>
    <row r="135" spans="1:1" x14ac:dyDescent="0.25">
      <c r="A135" s="101"/>
    </row>
    <row r="136" spans="1:1" x14ac:dyDescent="0.25">
      <c r="A136" s="101"/>
    </row>
    <row r="137" spans="1:1" x14ac:dyDescent="0.25">
      <c r="A137" s="101"/>
    </row>
    <row r="138" spans="1:1" x14ac:dyDescent="0.25">
      <c r="A138" s="101"/>
    </row>
    <row r="139" spans="1:1" x14ac:dyDescent="0.25">
      <c r="A139" s="101"/>
    </row>
    <row r="140" spans="1:1" x14ac:dyDescent="0.25">
      <c r="A140" s="101"/>
    </row>
    <row r="141" spans="1:1" x14ac:dyDescent="0.25">
      <c r="A141" s="101"/>
    </row>
    <row r="142" spans="1:1" x14ac:dyDescent="0.25">
      <c r="A142" s="101"/>
    </row>
    <row r="143" spans="1:1" x14ac:dyDescent="0.25">
      <c r="A143" s="101"/>
    </row>
    <row r="144" spans="1:1" x14ac:dyDescent="0.25">
      <c r="A144" s="101"/>
    </row>
    <row r="145" spans="1:1" x14ac:dyDescent="0.25">
      <c r="A145" s="101"/>
    </row>
    <row r="146" spans="1:1" x14ac:dyDescent="0.25">
      <c r="A146" s="101"/>
    </row>
    <row r="147" spans="1:1" x14ac:dyDescent="0.25">
      <c r="A147" s="101"/>
    </row>
    <row r="148" spans="1:1" x14ac:dyDescent="0.25">
      <c r="A148" s="101"/>
    </row>
    <row r="149" spans="1:1" x14ac:dyDescent="0.25">
      <c r="A149" s="101"/>
    </row>
    <row r="150" spans="1:1" x14ac:dyDescent="0.25">
      <c r="A150" s="101"/>
    </row>
    <row r="151" spans="1:1" x14ac:dyDescent="0.25">
      <c r="A151" s="101"/>
    </row>
    <row r="152" spans="1:1" x14ac:dyDescent="0.25">
      <c r="A152" s="101"/>
    </row>
    <row r="153" spans="1:1" x14ac:dyDescent="0.25">
      <c r="A153" s="101"/>
    </row>
    <row r="154" spans="1:1" x14ac:dyDescent="0.25">
      <c r="A154" s="101"/>
    </row>
    <row r="155" spans="1:1" x14ac:dyDescent="0.25">
      <c r="A155" s="101"/>
    </row>
    <row r="156" spans="1:1" x14ac:dyDescent="0.25">
      <c r="A156" s="101"/>
    </row>
    <row r="157" spans="1:1" x14ac:dyDescent="0.25">
      <c r="A157" s="101"/>
    </row>
    <row r="158" spans="1:1" x14ac:dyDescent="0.25">
      <c r="A158" s="101"/>
    </row>
    <row r="159" spans="1:1" x14ac:dyDescent="0.25">
      <c r="A159" s="100"/>
    </row>
    <row r="161" ht="15" customHeight="1" x14ac:dyDescent="0.25"/>
  </sheetData>
  <sheetProtection algorithmName="SHA-512" hashValue="KOB/HwA4Hjh6VX8ucoCQD75zUsN+ksCXK6+NQc7LAK3eVz9C8ZLkErgLxpNmsWf4Aef4yNW6vObKj9r/1NE9fA==" saltValue="f1URyUT5LXY00rtuRmkbSg==" spinCount="100000" sheet="1" objects="1" scenarios="1"/>
  <mergeCells count="1">
    <mergeCell ref="P115:X115"/>
  </mergeCells>
  <phoneticPr fontId="6" type="noConversion"/>
  <conditionalFormatting sqref="O2:O85 CE2:CE85">
    <cfRule type="cellIs" dxfId="315" priority="2" operator="equal">
      <formula>0</formula>
    </cfRule>
  </conditionalFormatting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/>
  <dimension ref="A1:D153"/>
  <sheetViews>
    <sheetView topLeftCell="A9" workbookViewId="0">
      <selection activeCell="A30" sqref="A30"/>
    </sheetView>
  </sheetViews>
  <sheetFormatPr defaultRowHeight="15" x14ac:dyDescent="0.25"/>
  <cols>
    <col min="1" max="1" width="106.85546875" bestFit="1" customWidth="1"/>
    <col min="2" max="2" width="37.140625" bestFit="1" customWidth="1"/>
    <col min="3" max="3" width="30.7109375" bestFit="1" customWidth="1"/>
    <col min="4" max="4" width="11.85546875" bestFit="1" customWidth="1"/>
    <col min="5" max="5" width="37" bestFit="1" customWidth="1"/>
    <col min="6" max="6" width="34" bestFit="1" customWidth="1"/>
    <col min="7" max="7" width="41.7109375" bestFit="1" customWidth="1"/>
    <col min="8" max="9" width="34.85546875" bestFit="1" customWidth="1"/>
    <col min="10" max="10" width="58" bestFit="1" customWidth="1"/>
    <col min="11" max="11" width="36.42578125" bestFit="1" customWidth="1"/>
    <col min="12" max="12" width="39.5703125" bestFit="1" customWidth="1"/>
    <col min="13" max="14" width="34.85546875" bestFit="1" customWidth="1"/>
    <col min="15" max="15" width="19" bestFit="1" customWidth="1"/>
    <col min="16" max="18" width="12" bestFit="1" customWidth="1"/>
    <col min="19" max="19" width="11.28515625" bestFit="1" customWidth="1"/>
    <col min="20" max="20" width="12.42578125" bestFit="1" customWidth="1"/>
    <col min="21" max="21" width="31.7109375" bestFit="1" customWidth="1"/>
    <col min="22" max="22" width="11.5703125" bestFit="1" customWidth="1"/>
    <col min="23" max="23" width="11.42578125" bestFit="1" customWidth="1"/>
    <col min="24" max="24" width="24.42578125" bestFit="1" customWidth="1"/>
    <col min="25" max="26" width="31.85546875" bestFit="1" customWidth="1"/>
    <col min="27" max="27" width="37.28515625" bestFit="1" customWidth="1"/>
    <col min="28" max="29" width="13.42578125" bestFit="1" customWidth="1"/>
    <col min="30" max="32" width="12.28515625" bestFit="1" customWidth="1"/>
    <col min="33" max="33" width="11.28515625" bestFit="1" customWidth="1"/>
    <col min="34" max="34" width="11" bestFit="1" customWidth="1"/>
    <col min="35" max="35" width="12.42578125" bestFit="1" customWidth="1"/>
    <col min="36" max="36" width="12.140625" bestFit="1" customWidth="1"/>
    <col min="37" max="37" width="11.42578125" bestFit="1" customWidth="1"/>
    <col min="38" max="38" width="12.7109375" bestFit="1" customWidth="1"/>
    <col min="39" max="39" width="15.85546875" bestFit="1" customWidth="1"/>
    <col min="40" max="43" width="9.7109375" bestFit="1" customWidth="1"/>
    <col min="44" max="44" width="11" bestFit="1" customWidth="1"/>
    <col min="45" max="45" width="14.140625" bestFit="1" customWidth="1"/>
    <col min="46" max="46" width="33.5703125" bestFit="1" customWidth="1"/>
    <col min="47" max="47" width="36.7109375" bestFit="1" customWidth="1"/>
    <col min="48" max="49" width="32" bestFit="1" customWidth="1"/>
    <col min="50" max="50" width="38.28515625" bestFit="1" customWidth="1"/>
    <col min="51" max="51" width="41.28515625" bestFit="1" customWidth="1"/>
    <col min="52" max="53" width="36.5703125" bestFit="1" customWidth="1"/>
    <col min="54" max="54" width="33.5703125" bestFit="1" customWidth="1"/>
    <col min="55" max="55" width="36.7109375" bestFit="1" customWidth="1"/>
    <col min="56" max="56" width="41.42578125" bestFit="1" customWidth="1"/>
    <col min="57" max="58" width="32" bestFit="1" customWidth="1"/>
    <col min="59" max="59" width="33.5703125" bestFit="1" customWidth="1"/>
    <col min="60" max="60" width="36.7109375" bestFit="1" customWidth="1"/>
    <col min="61" max="62" width="32" bestFit="1" customWidth="1"/>
    <col min="63" max="63" width="22.5703125" bestFit="1" customWidth="1"/>
    <col min="64" max="64" width="35.7109375" bestFit="1" customWidth="1"/>
    <col min="65" max="65" width="26" bestFit="1" customWidth="1"/>
    <col min="66" max="66" width="26.7109375" bestFit="1" customWidth="1"/>
    <col min="67" max="67" width="35.28515625" bestFit="1" customWidth="1"/>
    <col min="68" max="68" width="25.85546875" bestFit="1" customWidth="1"/>
    <col min="69" max="69" width="18.85546875" bestFit="1" customWidth="1"/>
    <col min="70" max="70" width="66.28515625" bestFit="1" customWidth="1"/>
    <col min="71" max="71" width="52.85546875" bestFit="1" customWidth="1"/>
    <col min="72" max="72" width="25.140625" bestFit="1" customWidth="1"/>
    <col min="73" max="73" width="58.7109375" bestFit="1" customWidth="1"/>
    <col min="74" max="74" width="28.28515625" bestFit="1" customWidth="1"/>
    <col min="75" max="75" width="16.85546875" bestFit="1" customWidth="1"/>
    <col min="76" max="77" width="22" bestFit="1" customWidth="1"/>
    <col min="78" max="78" width="30.28515625" bestFit="1" customWidth="1"/>
    <col min="79" max="79" width="8.85546875" bestFit="1" customWidth="1"/>
    <col min="80" max="81" width="15.140625" bestFit="1" customWidth="1"/>
    <col min="82" max="83" width="26.5703125" bestFit="1" customWidth="1"/>
    <col min="84" max="84" width="12.7109375" bestFit="1" customWidth="1"/>
    <col min="85" max="85" width="24.85546875" bestFit="1" customWidth="1"/>
    <col min="86" max="87" width="22.85546875" bestFit="1" customWidth="1"/>
    <col min="88" max="88" width="26" bestFit="1" customWidth="1"/>
    <col min="89" max="89" width="25.5703125" bestFit="1" customWidth="1"/>
    <col min="90" max="93" width="22.85546875" bestFit="1" customWidth="1"/>
    <col min="94" max="101" width="21.85546875" bestFit="1" customWidth="1"/>
    <col min="102" max="102" width="27.85546875" bestFit="1" customWidth="1"/>
    <col min="103" max="103" width="21.5703125" bestFit="1" customWidth="1"/>
    <col min="104" max="104" width="29.42578125" bestFit="1" customWidth="1"/>
    <col min="105" max="105" width="46.85546875" bestFit="1" customWidth="1"/>
    <col min="106" max="106" width="42.5703125" bestFit="1" customWidth="1"/>
    <col min="107" max="107" width="41.7109375" bestFit="1" customWidth="1"/>
    <col min="108" max="108" width="34.140625" bestFit="1" customWidth="1"/>
    <col min="109" max="109" width="49.85546875" bestFit="1" customWidth="1"/>
    <col min="110" max="110" width="26.85546875" bestFit="1" customWidth="1"/>
    <col min="111" max="111" width="27.28515625" bestFit="1" customWidth="1"/>
    <col min="112" max="112" width="26.85546875" bestFit="1" customWidth="1"/>
    <col min="113" max="113" width="27.28515625" bestFit="1" customWidth="1"/>
    <col min="114" max="115" width="26.85546875" bestFit="1" customWidth="1"/>
    <col min="116" max="116" width="27.28515625" bestFit="1" customWidth="1"/>
    <col min="117" max="119" width="17.28515625" bestFit="1" customWidth="1"/>
    <col min="120" max="120" width="35.42578125" bestFit="1" customWidth="1"/>
    <col min="121" max="121" width="34.42578125" bestFit="1" customWidth="1"/>
    <col min="122" max="122" width="21.85546875" bestFit="1" customWidth="1"/>
    <col min="123" max="123" width="30.7109375" bestFit="1" customWidth="1"/>
    <col min="124" max="124" width="36.85546875" bestFit="1" customWidth="1"/>
    <col min="125" max="125" width="29.7109375" bestFit="1" customWidth="1"/>
    <col min="126" max="126" width="27" bestFit="1" customWidth="1"/>
    <col min="127" max="127" width="12" bestFit="1" customWidth="1"/>
  </cols>
  <sheetData>
    <row r="1" spans="1:4" x14ac:dyDescent="0.25">
      <c r="A1" s="156" t="s">
        <v>863</v>
      </c>
      <c r="B1" t="s">
        <v>920</v>
      </c>
    </row>
    <row r="3" spans="1:4" x14ac:dyDescent="0.25">
      <c r="A3" s="156" t="s">
        <v>1096</v>
      </c>
      <c r="B3" s="156" t="s">
        <v>1093</v>
      </c>
    </row>
    <row r="4" spans="1:4" x14ac:dyDescent="0.25">
      <c r="A4" s="156" t="s">
        <v>1095</v>
      </c>
      <c r="B4" t="s">
        <v>907</v>
      </c>
      <c r="C4" t="s">
        <v>919</v>
      </c>
      <c r="D4" t="s">
        <v>1094</v>
      </c>
    </row>
    <row r="5" spans="1:4" x14ac:dyDescent="0.25">
      <c r="A5" s="157" t="s">
        <v>31</v>
      </c>
      <c r="B5" s="158">
        <v>2820</v>
      </c>
      <c r="C5" s="158">
        <v>3110</v>
      </c>
      <c r="D5" s="158">
        <v>5930</v>
      </c>
    </row>
    <row r="6" spans="1:4" x14ac:dyDescent="0.25">
      <c r="A6" s="180" t="s">
        <v>972</v>
      </c>
      <c r="B6" s="158">
        <v>2820</v>
      </c>
      <c r="C6" s="158">
        <v>3110</v>
      </c>
      <c r="D6" s="158">
        <v>5930</v>
      </c>
    </row>
    <row r="7" spans="1:4" x14ac:dyDescent="0.25">
      <c r="A7" s="157" t="s">
        <v>29</v>
      </c>
      <c r="B7" s="158">
        <v>2860</v>
      </c>
      <c r="C7" s="158">
        <v>3210</v>
      </c>
      <c r="D7" s="158">
        <v>6070</v>
      </c>
    </row>
    <row r="8" spans="1:4" x14ac:dyDescent="0.25">
      <c r="A8" s="180" t="s">
        <v>993</v>
      </c>
      <c r="B8" s="158">
        <v>2860</v>
      </c>
      <c r="C8" s="158">
        <v>3210</v>
      </c>
      <c r="D8" s="158">
        <v>6070</v>
      </c>
    </row>
    <row r="9" spans="1:4" x14ac:dyDescent="0.25">
      <c r="A9" s="157" t="s">
        <v>839</v>
      </c>
      <c r="B9" s="158">
        <v>3340</v>
      </c>
      <c r="C9" s="158">
        <v>3830</v>
      </c>
      <c r="D9" s="158">
        <v>7170</v>
      </c>
    </row>
    <row r="10" spans="1:4" x14ac:dyDescent="0.25">
      <c r="A10" s="180" t="s">
        <v>918</v>
      </c>
      <c r="B10" s="158">
        <v>3340</v>
      </c>
      <c r="C10" s="158">
        <v>3830</v>
      </c>
      <c r="D10" s="158">
        <v>7170</v>
      </c>
    </row>
    <row r="11" spans="1:4" x14ac:dyDescent="0.25">
      <c r="A11" s="157" t="s">
        <v>917</v>
      </c>
      <c r="B11" s="158"/>
      <c r="C11" s="158">
        <v>3470</v>
      </c>
      <c r="D11" s="158">
        <v>3470</v>
      </c>
    </row>
    <row r="12" spans="1:4" x14ac:dyDescent="0.25">
      <c r="A12" s="180" t="s">
        <v>918</v>
      </c>
      <c r="B12" s="158"/>
      <c r="C12" s="158">
        <v>3470</v>
      </c>
      <c r="D12" s="158">
        <v>3470</v>
      </c>
    </row>
    <row r="13" spans="1:4" x14ac:dyDescent="0.25">
      <c r="A13" s="157" t="s">
        <v>30</v>
      </c>
      <c r="B13" s="158">
        <v>2860</v>
      </c>
      <c r="C13" s="158">
        <v>3210</v>
      </c>
      <c r="D13" s="158">
        <v>6070</v>
      </c>
    </row>
    <row r="14" spans="1:4" x14ac:dyDescent="0.25">
      <c r="A14" s="180" t="s">
        <v>993</v>
      </c>
      <c r="B14" s="158">
        <v>2860</v>
      </c>
      <c r="C14" s="158">
        <v>3210</v>
      </c>
      <c r="D14" s="158">
        <v>6070</v>
      </c>
    </row>
    <row r="15" spans="1:4" x14ac:dyDescent="0.25">
      <c r="A15" s="157" t="s">
        <v>840</v>
      </c>
      <c r="B15" s="158">
        <v>3340</v>
      </c>
      <c r="C15" s="158">
        <v>3210</v>
      </c>
      <c r="D15" s="158">
        <v>6550</v>
      </c>
    </row>
    <row r="16" spans="1:4" x14ac:dyDescent="0.25">
      <c r="A16" s="180" t="s">
        <v>918</v>
      </c>
      <c r="B16" s="158">
        <v>3340</v>
      </c>
      <c r="C16" s="158">
        <v>3210</v>
      </c>
      <c r="D16" s="158">
        <v>6550</v>
      </c>
    </row>
    <row r="17" spans="1:4" x14ac:dyDescent="0.25">
      <c r="A17" s="157" t="s">
        <v>14</v>
      </c>
      <c r="B17" s="158">
        <v>2640</v>
      </c>
      <c r="C17" s="158">
        <v>2940</v>
      </c>
      <c r="D17" s="158">
        <v>5580</v>
      </c>
    </row>
    <row r="18" spans="1:4" x14ac:dyDescent="0.25">
      <c r="A18" s="180" t="s">
        <v>942</v>
      </c>
      <c r="B18" s="158">
        <v>2640</v>
      </c>
      <c r="C18" s="158">
        <v>2940</v>
      </c>
      <c r="D18" s="158">
        <v>5580</v>
      </c>
    </row>
    <row r="19" spans="1:4" x14ac:dyDescent="0.25">
      <c r="A19" s="157" t="s">
        <v>84</v>
      </c>
      <c r="B19" s="158">
        <v>2640</v>
      </c>
      <c r="C19" s="158">
        <v>2940</v>
      </c>
      <c r="D19" s="158">
        <v>5580</v>
      </c>
    </row>
    <row r="20" spans="1:4" x14ac:dyDescent="0.25">
      <c r="A20" s="180" t="s">
        <v>942</v>
      </c>
      <c r="B20" s="158">
        <v>2640</v>
      </c>
      <c r="C20" s="158">
        <v>2940</v>
      </c>
      <c r="D20" s="158">
        <v>5580</v>
      </c>
    </row>
    <row r="21" spans="1:4" x14ac:dyDescent="0.25">
      <c r="A21" s="157" t="s">
        <v>0</v>
      </c>
      <c r="B21" s="158">
        <v>2350</v>
      </c>
      <c r="C21" s="158">
        <v>2620</v>
      </c>
      <c r="D21" s="158">
        <v>4970</v>
      </c>
    </row>
    <row r="22" spans="1:4" x14ac:dyDescent="0.25">
      <c r="A22" s="180" t="s">
        <v>931</v>
      </c>
      <c r="B22" s="158">
        <v>2350</v>
      </c>
      <c r="C22" s="158">
        <v>2620</v>
      </c>
      <c r="D22" s="158">
        <v>4970</v>
      </c>
    </row>
    <row r="23" spans="1:4" x14ac:dyDescent="0.25">
      <c r="A23" s="157" t="s">
        <v>955</v>
      </c>
      <c r="B23" s="158">
        <v>2350</v>
      </c>
      <c r="C23" s="158">
        <v>2620</v>
      </c>
      <c r="D23" s="158">
        <v>4970</v>
      </c>
    </row>
    <row r="24" spans="1:4" x14ac:dyDescent="0.25">
      <c r="A24" s="180" t="s">
        <v>931</v>
      </c>
      <c r="B24" s="158">
        <v>2350</v>
      </c>
      <c r="C24" s="158">
        <v>2620</v>
      </c>
      <c r="D24" s="158">
        <v>4970</v>
      </c>
    </row>
    <row r="25" spans="1:4" x14ac:dyDescent="0.25">
      <c r="A25" s="157" t="s">
        <v>714</v>
      </c>
      <c r="B25" s="158">
        <v>3620</v>
      </c>
      <c r="C25" s="158">
        <v>4090</v>
      </c>
      <c r="D25" s="158">
        <v>7710</v>
      </c>
    </row>
    <row r="26" spans="1:4" x14ac:dyDescent="0.25">
      <c r="A26" s="180" t="s">
        <v>972</v>
      </c>
      <c r="B26" s="158">
        <v>3620</v>
      </c>
      <c r="C26" s="158">
        <v>4090</v>
      </c>
      <c r="D26" s="158">
        <v>7710</v>
      </c>
    </row>
    <row r="27" spans="1:4" x14ac:dyDescent="0.25">
      <c r="A27" s="157" t="s">
        <v>16</v>
      </c>
      <c r="B27" s="158">
        <v>2960</v>
      </c>
      <c r="C27" s="158">
        <v>3290</v>
      </c>
      <c r="D27" s="158">
        <v>6250</v>
      </c>
    </row>
    <row r="28" spans="1:4" x14ac:dyDescent="0.25">
      <c r="A28" s="180" t="s">
        <v>942</v>
      </c>
      <c r="B28" s="158">
        <v>2960</v>
      </c>
      <c r="C28" s="158">
        <v>3290</v>
      </c>
      <c r="D28" s="158">
        <v>6250</v>
      </c>
    </row>
    <row r="29" spans="1:4" x14ac:dyDescent="0.25">
      <c r="A29" s="157" t="s">
        <v>11</v>
      </c>
      <c r="B29" s="158">
        <v>2350</v>
      </c>
      <c r="C29" s="158">
        <v>2620</v>
      </c>
      <c r="D29" s="158">
        <v>4970</v>
      </c>
    </row>
    <row r="30" spans="1:4" x14ac:dyDescent="0.25">
      <c r="A30" s="180" t="s">
        <v>931</v>
      </c>
      <c r="B30" s="158">
        <v>2350</v>
      </c>
      <c r="C30" s="158">
        <v>2620</v>
      </c>
      <c r="D30" s="158">
        <v>4970</v>
      </c>
    </row>
    <row r="31" spans="1:4" x14ac:dyDescent="0.25">
      <c r="A31" s="157" t="s">
        <v>1</v>
      </c>
      <c r="B31" s="158">
        <v>3060</v>
      </c>
      <c r="C31" s="158">
        <v>3420</v>
      </c>
      <c r="D31" s="158">
        <v>6480</v>
      </c>
    </row>
    <row r="32" spans="1:4" x14ac:dyDescent="0.25">
      <c r="A32" s="180" t="s">
        <v>942</v>
      </c>
      <c r="B32" s="158">
        <v>3060</v>
      </c>
      <c r="C32" s="158">
        <v>3420</v>
      </c>
      <c r="D32" s="158">
        <v>6480</v>
      </c>
    </row>
    <row r="33" spans="1:4" x14ac:dyDescent="0.25">
      <c r="A33" s="157" t="s">
        <v>15</v>
      </c>
      <c r="B33" s="158">
        <v>3510</v>
      </c>
      <c r="C33" s="158">
        <v>3880</v>
      </c>
      <c r="D33" s="158">
        <v>7390</v>
      </c>
    </row>
    <row r="34" spans="1:4" x14ac:dyDescent="0.25">
      <c r="A34" s="180" t="s">
        <v>942</v>
      </c>
      <c r="B34" s="158">
        <v>3510</v>
      </c>
      <c r="C34" s="158">
        <v>3880</v>
      </c>
      <c r="D34" s="158">
        <v>7390</v>
      </c>
    </row>
    <row r="35" spans="1:4" x14ac:dyDescent="0.25">
      <c r="A35" s="157" t="s">
        <v>77</v>
      </c>
      <c r="B35" s="158">
        <v>1780</v>
      </c>
      <c r="C35" s="158">
        <v>1960</v>
      </c>
      <c r="D35" s="158">
        <v>3740</v>
      </c>
    </row>
    <row r="36" spans="1:4" x14ac:dyDescent="0.25">
      <c r="A36" s="180" t="s">
        <v>923</v>
      </c>
      <c r="B36" s="158">
        <v>1780</v>
      </c>
      <c r="C36" s="158">
        <v>1960</v>
      </c>
      <c r="D36" s="158">
        <v>3740</v>
      </c>
    </row>
    <row r="37" spans="1:4" x14ac:dyDescent="0.25">
      <c r="A37" s="157" t="s">
        <v>837</v>
      </c>
      <c r="B37" s="158">
        <v>2530</v>
      </c>
      <c r="C37" s="158">
        <v>2820</v>
      </c>
      <c r="D37" s="158">
        <v>5350</v>
      </c>
    </row>
    <row r="38" spans="1:4" x14ac:dyDescent="0.25">
      <c r="A38" s="180" t="s">
        <v>923</v>
      </c>
      <c r="B38" s="158">
        <v>2530</v>
      </c>
      <c r="C38" s="158">
        <v>2820</v>
      </c>
      <c r="D38" s="158">
        <v>5350</v>
      </c>
    </row>
    <row r="39" spans="1:4" x14ac:dyDescent="0.25">
      <c r="A39" s="157" t="s">
        <v>78</v>
      </c>
      <c r="B39" s="158">
        <v>1780</v>
      </c>
      <c r="C39" s="158">
        <v>1960</v>
      </c>
      <c r="D39" s="158">
        <v>3740</v>
      </c>
    </row>
    <row r="40" spans="1:4" x14ac:dyDescent="0.25">
      <c r="A40" s="180" t="s">
        <v>1073</v>
      </c>
      <c r="B40" s="158">
        <v>1780</v>
      </c>
      <c r="C40" s="158">
        <v>1960</v>
      </c>
      <c r="D40" s="158">
        <v>3740</v>
      </c>
    </row>
    <row r="41" spans="1:4" x14ac:dyDescent="0.25">
      <c r="A41" s="157" t="s">
        <v>79</v>
      </c>
      <c r="B41" s="158">
        <v>1780</v>
      </c>
      <c r="C41" s="158">
        <v>1960</v>
      </c>
      <c r="D41" s="158">
        <v>3740</v>
      </c>
    </row>
    <row r="42" spans="1:4" x14ac:dyDescent="0.25">
      <c r="A42" s="180" t="s">
        <v>923</v>
      </c>
      <c r="B42" s="158">
        <v>1780</v>
      </c>
      <c r="C42" s="158">
        <v>1960</v>
      </c>
      <c r="D42" s="158">
        <v>3740</v>
      </c>
    </row>
    <row r="43" spans="1:4" x14ac:dyDescent="0.25">
      <c r="A43" s="157" t="s">
        <v>80</v>
      </c>
      <c r="B43" s="158">
        <v>2340</v>
      </c>
      <c r="C43" s="158">
        <v>2670</v>
      </c>
      <c r="D43" s="158">
        <v>5010</v>
      </c>
    </row>
    <row r="44" spans="1:4" x14ac:dyDescent="0.25">
      <c r="A44" s="180" t="s">
        <v>1071</v>
      </c>
      <c r="B44" s="158">
        <v>2340</v>
      </c>
      <c r="C44" s="158">
        <v>2670</v>
      </c>
      <c r="D44" s="158">
        <v>5010</v>
      </c>
    </row>
    <row r="45" spans="1:4" x14ac:dyDescent="0.25">
      <c r="A45" s="157" t="s">
        <v>81</v>
      </c>
      <c r="B45" s="158">
        <v>1780</v>
      </c>
      <c r="C45" s="158">
        <v>1960</v>
      </c>
      <c r="D45" s="158">
        <v>3740</v>
      </c>
    </row>
    <row r="46" spans="1:4" x14ac:dyDescent="0.25">
      <c r="A46" s="180" t="s">
        <v>923</v>
      </c>
      <c r="B46" s="158">
        <v>1780</v>
      </c>
      <c r="C46" s="158">
        <v>1960</v>
      </c>
      <c r="D46" s="158">
        <v>3740</v>
      </c>
    </row>
    <row r="47" spans="1:4" x14ac:dyDescent="0.25">
      <c r="A47" s="157" t="s">
        <v>838</v>
      </c>
      <c r="B47" s="158">
        <v>2530</v>
      </c>
      <c r="C47" s="158">
        <v>2820</v>
      </c>
      <c r="D47" s="158">
        <v>5350</v>
      </c>
    </row>
    <row r="48" spans="1:4" x14ac:dyDescent="0.25">
      <c r="A48" s="180" t="s">
        <v>923</v>
      </c>
      <c r="B48" s="158">
        <v>2530</v>
      </c>
      <c r="C48" s="158">
        <v>2820</v>
      </c>
      <c r="D48" s="158">
        <v>5350</v>
      </c>
    </row>
    <row r="49" spans="1:4" x14ac:dyDescent="0.25">
      <c r="A49" s="157" t="s">
        <v>28</v>
      </c>
      <c r="B49" s="158">
        <v>1780</v>
      </c>
      <c r="C49" s="158">
        <v>1960</v>
      </c>
      <c r="D49" s="158">
        <v>3740</v>
      </c>
    </row>
    <row r="50" spans="1:4" x14ac:dyDescent="0.25">
      <c r="A50" s="180" t="s">
        <v>923</v>
      </c>
      <c r="B50" s="158">
        <v>1780</v>
      </c>
      <c r="C50" s="158">
        <v>1960</v>
      </c>
      <c r="D50" s="158">
        <v>3740</v>
      </c>
    </row>
    <row r="51" spans="1:4" x14ac:dyDescent="0.25">
      <c r="A51" s="157" t="s">
        <v>21</v>
      </c>
      <c r="B51" s="158">
        <v>2538</v>
      </c>
      <c r="C51" s="158">
        <v>2829.6</v>
      </c>
      <c r="D51" s="158">
        <v>5367.6</v>
      </c>
    </row>
    <row r="52" spans="1:4" x14ac:dyDescent="0.25">
      <c r="A52" s="180" t="s">
        <v>931</v>
      </c>
      <c r="B52" s="158">
        <v>2538</v>
      </c>
      <c r="C52" s="158">
        <v>2829.6</v>
      </c>
      <c r="D52" s="158">
        <v>5367.6</v>
      </c>
    </row>
    <row r="53" spans="1:4" x14ac:dyDescent="0.25">
      <c r="A53" s="157" t="s">
        <v>957</v>
      </c>
      <c r="B53" s="158">
        <v>2538</v>
      </c>
      <c r="C53" s="158">
        <v>2829.6</v>
      </c>
      <c r="D53" s="158">
        <v>5367.6</v>
      </c>
    </row>
    <row r="54" spans="1:4" x14ac:dyDescent="0.25">
      <c r="A54" s="180" t="s">
        <v>931</v>
      </c>
      <c r="B54" s="158">
        <v>2538</v>
      </c>
      <c r="C54" s="158">
        <v>2829.6</v>
      </c>
      <c r="D54" s="158">
        <v>5367.6</v>
      </c>
    </row>
    <row r="55" spans="1:4" x14ac:dyDescent="0.25">
      <c r="A55" s="157" t="s">
        <v>23</v>
      </c>
      <c r="B55" s="158">
        <v>3196.8</v>
      </c>
      <c r="C55" s="158">
        <v>3553.2</v>
      </c>
      <c r="D55" s="158">
        <v>6750</v>
      </c>
    </row>
    <row r="56" spans="1:4" x14ac:dyDescent="0.25">
      <c r="A56" s="180" t="s">
        <v>942</v>
      </c>
      <c r="B56" s="158">
        <v>3196.8</v>
      </c>
      <c r="C56" s="158">
        <v>3553.2</v>
      </c>
      <c r="D56" s="158">
        <v>6750</v>
      </c>
    </row>
    <row r="57" spans="1:4" x14ac:dyDescent="0.25">
      <c r="A57" s="157" t="s">
        <v>22</v>
      </c>
      <c r="B57" s="158">
        <v>2538</v>
      </c>
      <c r="C57" s="158">
        <v>2829.6</v>
      </c>
      <c r="D57" s="158">
        <v>5367.6</v>
      </c>
    </row>
    <row r="58" spans="1:4" x14ac:dyDescent="0.25">
      <c r="A58" s="180" t="s">
        <v>931</v>
      </c>
      <c r="B58" s="158">
        <v>2538</v>
      </c>
      <c r="C58" s="158">
        <v>2829.6</v>
      </c>
      <c r="D58" s="158">
        <v>5367.6</v>
      </c>
    </row>
    <row r="59" spans="1:4" x14ac:dyDescent="0.25">
      <c r="A59" s="157" t="s">
        <v>24</v>
      </c>
      <c r="B59" s="158">
        <v>3304.8</v>
      </c>
      <c r="C59" s="158">
        <v>3693.6</v>
      </c>
      <c r="D59" s="158">
        <v>6998.4</v>
      </c>
    </row>
    <row r="60" spans="1:4" x14ac:dyDescent="0.25">
      <c r="A60" s="180" t="s">
        <v>942</v>
      </c>
      <c r="B60" s="158">
        <v>3304.8</v>
      </c>
      <c r="C60" s="158">
        <v>3693.6</v>
      </c>
      <c r="D60" s="158">
        <v>6998.4</v>
      </c>
    </row>
    <row r="61" spans="1:4" x14ac:dyDescent="0.25">
      <c r="A61" s="157" t="s">
        <v>3</v>
      </c>
      <c r="B61" s="158">
        <v>2350</v>
      </c>
      <c r="C61" s="158">
        <v>2620</v>
      </c>
      <c r="D61" s="158">
        <v>4970</v>
      </c>
    </row>
    <row r="62" spans="1:4" x14ac:dyDescent="0.25">
      <c r="A62" s="180" t="s">
        <v>929</v>
      </c>
      <c r="B62" s="158">
        <v>2350</v>
      </c>
      <c r="C62" s="158">
        <v>2620</v>
      </c>
      <c r="D62" s="158">
        <v>4970</v>
      </c>
    </row>
    <row r="63" spans="1:4" x14ac:dyDescent="0.25">
      <c r="A63" s="157" t="s">
        <v>36</v>
      </c>
      <c r="B63" s="158">
        <v>5220</v>
      </c>
      <c r="C63" s="158">
        <v>6930</v>
      </c>
      <c r="D63" s="158">
        <v>12150</v>
      </c>
    </row>
    <row r="64" spans="1:4" x14ac:dyDescent="0.25">
      <c r="A64" s="180" t="s">
        <v>964</v>
      </c>
      <c r="B64" s="158">
        <v>5220</v>
      </c>
      <c r="C64" s="158">
        <v>6930</v>
      </c>
      <c r="D64" s="158">
        <v>12150</v>
      </c>
    </row>
    <row r="65" spans="1:4" x14ac:dyDescent="0.25">
      <c r="A65" s="157" t="s">
        <v>43</v>
      </c>
      <c r="B65" s="158">
        <v>8710</v>
      </c>
      <c r="C65" s="158">
        <v>9950</v>
      </c>
      <c r="D65" s="158">
        <v>18660</v>
      </c>
    </row>
    <row r="66" spans="1:4" x14ac:dyDescent="0.25">
      <c r="A66" s="180" t="s">
        <v>974</v>
      </c>
      <c r="B66" s="158">
        <v>8710</v>
      </c>
      <c r="C66" s="158">
        <v>9950</v>
      </c>
      <c r="D66" s="158">
        <v>18660</v>
      </c>
    </row>
    <row r="67" spans="1:4" x14ac:dyDescent="0.25">
      <c r="A67" s="157" t="s">
        <v>39</v>
      </c>
      <c r="B67" s="158">
        <v>6990</v>
      </c>
      <c r="C67" s="158">
        <v>7910</v>
      </c>
      <c r="D67" s="158">
        <v>14900</v>
      </c>
    </row>
    <row r="68" spans="1:4" x14ac:dyDescent="0.25">
      <c r="A68" s="180" t="s">
        <v>909</v>
      </c>
      <c r="B68" s="158">
        <v>6990</v>
      </c>
      <c r="C68" s="158">
        <v>7910</v>
      </c>
      <c r="D68" s="158">
        <v>14900</v>
      </c>
    </row>
    <row r="69" spans="1:4" x14ac:dyDescent="0.25">
      <c r="A69" s="157" t="s">
        <v>42</v>
      </c>
      <c r="B69" s="158">
        <v>9310</v>
      </c>
      <c r="C69" s="158">
        <v>10640</v>
      </c>
      <c r="D69" s="158">
        <v>19950</v>
      </c>
    </row>
    <row r="70" spans="1:4" x14ac:dyDescent="0.25">
      <c r="A70" s="180" t="s">
        <v>974</v>
      </c>
      <c r="B70" s="158">
        <v>9310</v>
      </c>
      <c r="C70" s="158">
        <v>10640</v>
      </c>
      <c r="D70" s="158">
        <v>19950</v>
      </c>
    </row>
    <row r="71" spans="1:4" x14ac:dyDescent="0.25">
      <c r="A71" s="157" t="s">
        <v>37</v>
      </c>
      <c r="B71" s="158">
        <v>5637.6</v>
      </c>
      <c r="C71" s="158">
        <v>6404.4</v>
      </c>
      <c r="D71" s="158">
        <v>12042</v>
      </c>
    </row>
    <row r="72" spans="1:4" x14ac:dyDescent="0.25">
      <c r="A72" s="180" t="s">
        <v>964</v>
      </c>
      <c r="B72" s="158">
        <v>5637.6</v>
      </c>
      <c r="C72" s="158">
        <v>6404.4</v>
      </c>
      <c r="D72" s="158">
        <v>12042</v>
      </c>
    </row>
    <row r="73" spans="1:4" x14ac:dyDescent="0.25">
      <c r="A73" s="157" t="s">
        <v>1024</v>
      </c>
      <c r="B73" s="158">
        <v>7549.2</v>
      </c>
      <c r="C73" s="158">
        <v>8542.7999999999993</v>
      </c>
      <c r="D73" s="158">
        <v>16092</v>
      </c>
    </row>
    <row r="74" spans="1:4" x14ac:dyDescent="0.25">
      <c r="A74" s="180" t="s">
        <v>909</v>
      </c>
      <c r="B74" s="158">
        <v>7549.2</v>
      </c>
      <c r="C74" s="158">
        <v>8542.7999999999993</v>
      </c>
      <c r="D74" s="158">
        <v>16092</v>
      </c>
    </row>
    <row r="75" spans="1:4" x14ac:dyDescent="0.25">
      <c r="A75" s="157" t="s">
        <v>1026</v>
      </c>
      <c r="B75" s="158">
        <v>7549.2</v>
      </c>
      <c r="C75" s="158">
        <v>8542.7999999999993</v>
      </c>
      <c r="D75" s="158">
        <v>16092</v>
      </c>
    </row>
    <row r="76" spans="1:4" x14ac:dyDescent="0.25">
      <c r="A76" s="180" t="s">
        <v>909</v>
      </c>
      <c r="B76" s="158">
        <v>7549.2</v>
      </c>
      <c r="C76" s="158">
        <v>8542.7999999999993</v>
      </c>
      <c r="D76" s="158">
        <v>16092</v>
      </c>
    </row>
    <row r="77" spans="1:4" x14ac:dyDescent="0.25">
      <c r="A77" s="157" t="s">
        <v>1083</v>
      </c>
      <c r="B77" s="158">
        <v>7480</v>
      </c>
      <c r="C77" s="158">
        <v>8490</v>
      </c>
      <c r="D77" s="158">
        <v>15970</v>
      </c>
    </row>
    <row r="78" spans="1:4" x14ac:dyDescent="0.25">
      <c r="A78" s="180" t="s">
        <v>909</v>
      </c>
      <c r="B78" s="158">
        <v>7480</v>
      </c>
      <c r="C78" s="158">
        <v>8490</v>
      </c>
      <c r="D78" s="158">
        <v>15970</v>
      </c>
    </row>
    <row r="79" spans="1:4" x14ac:dyDescent="0.25">
      <c r="A79" s="157" t="s">
        <v>1085</v>
      </c>
      <c r="B79" s="158">
        <v>7320</v>
      </c>
      <c r="C79" s="158">
        <v>8340</v>
      </c>
      <c r="D79" s="158">
        <v>15660</v>
      </c>
    </row>
    <row r="80" spans="1:4" x14ac:dyDescent="0.25">
      <c r="A80" s="180" t="s">
        <v>909</v>
      </c>
      <c r="B80" s="158">
        <v>7320</v>
      </c>
      <c r="C80" s="158">
        <v>8340</v>
      </c>
      <c r="D80" s="158">
        <v>15660</v>
      </c>
    </row>
    <row r="81" spans="1:4" x14ac:dyDescent="0.25">
      <c r="A81" s="157" t="s">
        <v>40</v>
      </c>
      <c r="B81" s="158">
        <v>5750</v>
      </c>
      <c r="C81" s="158">
        <v>6560</v>
      </c>
      <c r="D81" s="158">
        <v>12310</v>
      </c>
    </row>
    <row r="82" spans="1:4" x14ac:dyDescent="0.25">
      <c r="A82" s="180" t="s">
        <v>909</v>
      </c>
      <c r="B82" s="158">
        <v>5750</v>
      </c>
      <c r="C82" s="158">
        <v>6560</v>
      </c>
      <c r="D82" s="158">
        <v>12310</v>
      </c>
    </row>
    <row r="83" spans="1:4" x14ac:dyDescent="0.25">
      <c r="A83" s="157" t="s">
        <v>41</v>
      </c>
      <c r="B83" s="158">
        <v>6210</v>
      </c>
      <c r="C83" s="158">
        <v>7084.8</v>
      </c>
      <c r="D83" s="158">
        <v>13294.8</v>
      </c>
    </row>
    <row r="84" spans="1:4" x14ac:dyDescent="0.25">
      <c r="A84" s="180" t="s">
        <v>909</v>
      </c>
      <c r="B84" s="158">
        <v>6210</v>
      </c>
      <c r="C84" s="158">
        <v>7084.8</v>
      </c>
      <c r="D84" s="158">
        <v>13294.8</v>
      </c>
    </row>
    <row r="85" spans="1:4" x14ac:dyDescent="0.25">
      <c r="A85" s="157" t="s">
        <v>44</v>
      </c>
      <c r="B85" s="158">
        <v>6800</v>
      </c>
      <c r="C85" s="158">
        <v>7810</v>
      </c>
      <c r="D85" s="158">
        <v>14610</v>
      </c>
    </row>
    <row r="86" spans="1:4" x14ac:dyDescent="0.25">
      <c r="A86" s="180" t="s">
        <v>982</v>
      </c>
      <c r="B86" s="158">
        <v>6800</v>
      </c>
      <c r="C86" s="158">
        <v>7810</v>
      </c>
      <c r="D86" s="158">
        <v>14610</v>
      </c>
    </row>
    <row r="87" spans="1:4" x14ac:dyDescent="0.25">
      <c r="A87" s="157" t="s">
        <v>38</v>
      </c>
      <c r="B87" s="158">
        <v>5690</v>
      </c>
      <c r="C87" s="158">
        <v>6420</v>
      </c>
      <c r="D87" s="158">
        <v>12110</v>
      </c>
    </row>
    <row r="88" spans="1:4" x14ac:dyDescent="0.25">
      <c r="A88" s="180" t="s">
        <v>1014</v>
      </c>
      <c r="B88" s="158">
        <v>5690</v>
      </c>
      <c r="C88" s="158">
        <v>6420</v>
      </c>
      <c r="D88" s="158">
        <v>12110</v>
      </c>
    </row>
    <row r="89" spans="1:4" x14ac:dyDescent="0.25">
      <c r="A89" s="157" t="s">
        <v>966</v>
      </c>
      <c r="B89" s="158">
        <v>5220</v>
      </c>
      <c r="C89" s="158">
        <v>5930</v>
      </c>
      <c r="D89" s="158">
        <v>11150</v>
      </c>
    </row>
    <row r="90" spans="1:4" x14ac:dyDescent="0.25">
      <c r="A90" s="180" t="s">
        <v>964</v>
      </c>
      <c r="B90" s="158">
        <v>5220</v>
      </c>
      <c r="C90" s="158">
        <v>5930</v>
      </c>
      <c r="D90" s="158">
        <v>11150</v>
      </c>
    </row>
    <row r="91" spans="1:4" x14ac:dyDescent="0.25">
      <c r="A91" s="157" t="s">
        <v>980</v>
      </c>
      <c r="B91" s="158">
        <v>8640</v>
      </c>
      <c r="C91" s="158">
        <v>9880</v>
      </c>
      <c r="D91" s="158">
        <v>18520</v>
      </c>
    </row>
    <row r="92" spans="1:4" x14ac:dyDescent="0.25">
      <c r="A92" s="180" t="s">
        <v>974</v>
      </c>
      <c r="B92" s="158">
        <v>8640</v>
      </c>
      <c r="C92" s="158">
        <v>9880</v>
      </c>
      <c r="D92" s="158">
        <v>18520</v>
      </c>
    </row>
    <row r="93" spans="1:4" x14ac:dyDescent="0.25">
      <c r="A93" s="157" t="s">
        <v>1022</v>
      </c>
      <c r="B93" s="158">
        <v>8078.4</v>
      </c>
      <c r="C93" s="158">
        <v>9169.2000000000007</v>
      </c>
      <c r="D93" s="158">
        <v>17247.599999999999</v>
      </c>
    </row>
    <row r="94" spans="1:4" x14ac:dyDescent="0.25">
      <c r="A94" s="180" t="s">
        <v>974</v>
      </c>
      <c r="B94" s="158">
        <v>8078.4</v>
      </c>
      <c r="C94" s="158">
        <v>9169.2000000000007</v>
      </c>
      <c r="D94" s="158">
        <v>17247.599999999999</v>
      </c>
    </row>
    <row r="95" spans="1:4" x14ac:dyDescent="0.25">
      <c r="A95" s="157" t="s">
        <v>1020</v>
      </c>
      <c r="B95" s="158">
        <v>7905.6</v>
      </c>
      <c r="C95" s="158">
        <v>9007.2000000000007</v>
      </c>
      <c r="D95" s="158">
        <v>16912.800000000003</v>
      </c>
    </row>
    <row r="96" spans="1:4" x14ac:dyDescent="0.25">
      <c r="A96" s="180" t="s">
        <v>909</v>
      </c>
      <c r="B96" s="158">
        <v>7905.6</v>
      </c>
      <c r="C96" s="158">
        <v>9007.2000000000007</v>
      </c>
      <c r="D96" s="158">
        <v>16912.800000000003</v>
      </c>
    </row>
    <row r="97" spans="1:4" x14ac:dyDescent="0.25">
      <c r="A97" s="157" t="s">
        <v>977</v>
      </c>
      <c r="B97" s="158">
        <v>7500</v>
      </c>
      <c r="C97" s="158">
        <v>8590</v>
      </c>
      <c r="D97" s="158">
        <v>16090</v>
      </c>
    </row>
    <row r="98" spans="1:4" x14ac:dyDescent="0.25">
      <c r="A98" s="180" t="s">
        <v>974</v>
      </c>
      <c r="B98" s="158">
        <v>7500</v>
      </c>
      <c r="C98" s="158">
        <v>8590</v>
      </c>
      <c r="D98" s="158">
        <v>16090</v>
      </c>
    </row>
    <row r="99" spans="1:4" x14ac:dyDescent="0.25">
      <c r="A99" s="157" t="s">
        <v>19</v>
      </c>
      <c r="B99" s="158">
        <v>2270</v>
      </c>
      <c r="C99" s="158">
        <v>2540</v>
      </c>
      <c r="D99" s="158">
        <v>4810</v>
      </c>
    </row>
    <row r="100" spans="1:4" x14ac:dyDescent="0.25">
      <c r="A100" s="180" t="s">
        <v>950</v>
      </c>
      <c r="B100" s="158">
        <v>2270</v>
      </c>
      <c r="C100" s="158">
        <v>2540</v>
      </c>
      <c r="D100" s="158">
        <v>4810</v>
      </c>
    </row>
    <row r="101" spans="1:4" x14ac:dyDescent="0.25">
      <c r="A101" s="157" t="s">
        <v>20</v>
      </c>
      <c r="B101" s="158">
        <v>2270</v>
      </c>
      <c r="C101" s="158">
        <v>2540</v>
      </c>
      <c r="D101" s="158">
        <v>4810</v>
      </c>
    </row>
    <row r="102" spans="1:4" x14ac:dyDescent="0.25">
      <c r="A102" s="180" t="s">
        <v>950</v>
      </c>
      <c r="B102" s="158">
        <v>2270</v>
      </c>
      <c r="C102" s="158">
        <v>2540</v>
      </c>
      <c r="D102" s="158">
        <v>4810</v>
      </c>
    </row>
    <row r="103" spans="1:4" x14ac:dyDescent="0.25">
      <c r="A103" s="157" t="s">
        <v>32</v>
      </c>
      <c r="B103" s="158">
        <v>2120</v>
      </c>
      <c r="C103" s="158">
        <v>2320</v>
      </c>
      <c r="D103" s="158">
        <v>4440</v>
      </c>
    </row>
    <row r="104" spans="1:4" x14ac:dyDescent="0.25">
      <c r="A104" s="180" t="s">
        <v>1003</v>
      </c>
      <c r="B104" s="158">
        <v>2120</v>
      </c>
      <c r="C104" s="158">
        <v>2320</v>
      </c>
      <c r="D104" s="158">
        <v>4440</v>
      </c>
    </row>
    <row r="105" spans="1:4" x14ac:dyDescent="0.25">
      <c r="A105" s="157" t="s">
        <v>18</v>
      </c>
      <c r="B105" s="158">
        <v>2870</v>
      </c>
      <c r="C105" s="158">
        <v>3200</v>
      </c>
      <c r="D105" s="158">
        <v>6070</v>
      </c>
    </row>
    <row r="106" spans="1:4" x14ac:dyDescent="0.25">
      <c r="A106" s="180" t="s">
        <v>1010</v>
      </c>
      <c r="B106" s="158">
        <v>2870</v>
      </c>
      <c r="C106" s="158">
        <v>3200</v>
      </c>
      <c r="D106" s="158">
        <v>6070</v>
      </c>
    </row>
    <row r="107" spans="1:4" x14ac:dyDescent="0.25">
      <c r="A107" s="157" t="s">
        <v>35</v>
      </c>
      <c r="B107" s="158">
        <v>2170</v>
      </c>
      <c r="C107" s="158">
        <v>2400</v>
      </c>
      <c r="D107" s="158">
        <v>4570</v>
      </c>
    </row>
    <row r="108" spans="1:4" x14ac:dyDescent="0.25">
      <c r="A108" s="180" t="s">
        <v>1012</v>
      </c>
      <c r="B108" s="158">
        <v>2170</v>
      </c>
      <c r="C108" s="158">
        <v>2400</v>
      </c>
      <c r="D108" s="158">
        <v>4570</v>
      </c>
    </row>
    <row r="109" spans="1:4" x14ac:dyDescent="0.25">
      <c r="A109" s="157" t="s">
        <v>17</v>
      </c>
      <c r="B109" s="158">
        <v>2760</v>
      </c>
      <c r="C109" s="158">
        <v>3190</v>
      </c>
      <c r="D109" s="158">
        <v>5950</v>
      </c>
    </row>
    <row r="110" spans="1:4" x14ac:dyDescent="0.25">
      <c r="A110" s="180" t="s">
        <v>947</v>
      </c>
      <c r="B110" s="158">
        <v>2760</v>
      </c>
      <c r="C110" s="158">
        <v>3190</v>
      </c>
      <c r="D110" s="158">
        <v>5950</v>
      </c>
    </row>
    <row r="111" spans="1:4" x14ac:dyDescent="0.25">
      <c r="A111" s="157" t="s">
        <v>134</v>
      </c>
      <c r="B111" s="158">
        <v>3456</v>
      </c>
      <c r="C111" s="158">
        <v>3920.4</v>
      </c>
      <c r="D111" s="158">
        <v>7376.4</v>
      </c>
    </row>
    <row r="112" spans="1:4" x14ac:dyDescent="0.25">
      <c r="A112" s="180" t="s">
        <v>923</v>
      </c>
      <c r="B112" s="158">
        <v>3456</v>
      </c>
      <c r="C112" s="158">
        <v>3920.4</v>
      </c>
      <c r="D112" s="158">
        <v>7376.4</v>
      </c>
    </row>
    <row r="113" spans="1:4" x14ac:dyDescent="0.25">
      <c r="A113" s="157" t="s">
        <v>133</v>
      </c>
      <c r="B113" s="158">
        <v>3456</v>
      </c>
      <c r="C113" s="158">
        <v>3920.4</v>
      </c>
      <c r="D113" s="158">
        <v>7376.4</v>
      </c>
    </row>
    <row r="114" spans="1:4" x14ac:dyDescent="0.25">
      <c r="A114" s="180" t="s">
        <v>923</v>
      </c>
      <c r="B114" s="158">
        <v>3456</v>
      </c>
      <c r="C114" s="158">
        <v>3920.4</v>
      </c>
      <c r="D114" s="158">
        <v>7376.4</v>
      </c>
    </row>
    <row r="115" spans="1:4" x14ac:dyDescent="0.25">
      <c r="A115" s="157" t="s">
        <v>129</v>
      </c>
      <c r="B115" s="158">
        <v>3200</v>
      </c>
      <c r="C115" s="158">
        <v>3630</v>
      </c>
      <c r="D115" s="158">
        <v>6830</v>
      </c>
    </row>
    <row r="116" spans="1:4" x14ac:dyDescent="0.25">
      <c r="A116" s="180" t="s">
        <v>938</v>
      </c>
      <c r="B116" s="158">
        <v>3200</v>
      </c>
      <c r="C116" s="158">
        <v>3630</v>
      </c>
      <c r="D116" s="158">
        <v>6830</v>
      </c>
    </row>
    <row r="117" spans="1:4" x14ac:dyDescent="0.25">
      <c r="A117" s="157" t="s">
        <v>128</v>
      </c>
      <c r="B117" s="158">
        <v>3200</v>
      </c>
      <c r="C117" s="158">
        <v>3630</v>
      </c>
      <c r="D117" s="158">
        <v>6830</v>
      </c>
    </row>
    <row r="118" spans="1:4" x14ac:dyDescent="0.25">
      <c r="A118" s="180" t="s">
        <v>938</v>
      </c>
      <c r="B118" s="158">
        <v>3200</v>
      </c>
      <c r="C118" s="158">
        <v>3630</v>
      </c>
      <c r="D118" s="158">
        <v>6830</v>
      </c>
    </row>
    <row r="119" spans="1:4" x14ac:dyDescent="0.25">
      <c r="A119" s="157" t="s">
        <v>986</v>
      </c>
      <c r="B119" s="158">
        <v>2960</v>
      </c>
      <c r="C119" s="158">
        <v>3270</v>
      </c>
      <c r="D119" s="158">
        <v>6230</v>
      </c>
    </row>
    <row r="120" spans="1:4" x14ac:dyDescent="0.25">
      <c r="A120" s="180" t="s">
        <v>972</v>
      </c>
      <c r="B120" s="158">
        <v>2960</v>
      </c>
      <c r="C120" s="158">
        <v>3270</v>
      </c>
      <c r="D120" s="158">
        <v>6230</v>
      </c>
    </row>
    <row r="121" spans="1:4" x14ac:dyDescent="0.25">
      <c r="A121" s="157" t="s">
        <v>1008</v>
      </c>
      <c r="B121" s="158">
        <v>2960</v>
      </c>
      <c r="C121" s="158">
        <v>3270</v>
      </c>
      <c r="D121" s="158">
        <v>6230</v>
      </c>
    </row>
    <row r="122" spans="1:4" x14ac:dyDescent="0.25">
      <c r="A122" s="180" t="s">
        <v>972</v>
      </c>
      <c r="B122" s="158">
        <v>2960</v>
      </c>
      <c r="C122" s="158">
        <v>3270</v>
      </c>
      <c r="D122" s="158">
        <v>6230</v>
      </c>
    </row>
    <row r="123" spans="1:4" x14ac:dyDescent="0.25">
      <c r="A123" s="157" t="s">
        <v>82</v>
      </c>
      <c r="B123" s="158">
        <v>1780</v>
      </c>
      <c r="C123" s="158">
        <v>1960</v>
      </c>
      <c r="D123" s="158">
        <v>3740</v>
      </c>
    </row>
    <row r="124" spans="1:4" x14ac:dyDescent="0.25">
      <c r="A124" s="180" t="s">
        <v>923</v>
      </c>
      <c r="B124" s="158">
        <v>1780</v>
      </c>
      <c r="C124" s="158">
        <v>1960</v>
      </c>
      <c r="D124" s="158">
        <v>3740</v>
      </c>
    </row>
    <row r="125" spans="1:4" x14ac:dyDescent="0.25">
      <c r="A125" s="157" t="s">
        <v>33</v>
      </c>
      <c r="B125" s="158">
        <v>1780</v>
      </c>
      <c r="C125" s="158">
        <v>1960</v>
      </c>
      <c r="D125" s="158">
        <v>3740</v>
      </c>
    </row>
    <row r="126" spans="1:4" x14ac:dyDescent="0.25">
      <c r="A126" s="180" t="s">
        <v>923</v>
      </c>
      <c r="B126" s="158">
        <v>1780</v>
      </c>
      <c r="C126" s="158">
        <v>1960</v>
      </c>
      <c r="D126" s="158">
        <v>3740</v>
      </c>
    </row>
    <row r="127" spans="1:4" x14ac:dyDescent="0.25">
      <c r="A127" s="157" t="s">
        <v>34</v>
      </c>
      <c r="B127" s="158">
        <v>1780</v>
      </c>
      <c r="C127" s="158">
        <v>1960</v>
      </c>
      <c r="D127" s="158">
        <v>3740</v>
      </c>
    </row>
    <row r="128" spans="1:4" x14ac:dyDescent="0.25">
      <c r="A128" s="180" t="s">
        <v>923</v>
      </c>
      <c r="B128" s="158">
        <v>1780</v>
      </c>
      <c r="C128" s="158">
        <v>1960</v>
      </c>
      <c r="D128" s="158">
        <v>3740</v>
      </c>
    </row>
    <row r="129" spans="1:4" x14ac:dyDescent="0.25">
      <c r="A129" s="157" t="s">
        <v>2</v>
      </c>
      <c r="B129" s="158">
        <v>1780</v>
      </c>
      <c r="C129" s="158">
        <v>1960</v>
      </c>
      <c r="D129" s="158">
        <v>3740</v>
      </c>
    </row>
    <row r="130" spans="1:4" x14ac:dyDescent="0.25">
      <c r="A130" s="180" t="s">
        <v>923</v>
      </c>
      <c r="B130" s="158">
        <v>1780</v>
      </c>
      <c r="C130" s="158">
        <v>1960</v>
      </c>
      <c r="D130" s="158">
        <v>3740</v>
      </c>
    </row>
    <row r="131" spans="1:4" x14ac:dyDescent="0.25">
      <c r="A131" s="157" t="s">
        <v>25</v>
      </c>
      <c r="B131" s="158">
        <v>2538</v>
      </c>
      <c r="C131" s="158">
        <v>2829.6</v>
      </c>
      <c r="D131" s="158">
        <v>5367.6</v>
      </c>
    </row>
    <row r="132" spans="1:4" x14ac:dyDescent="0.25">
      <c r="A132" s="180" t="s">
        <v>931</v>
      </c>
      <c r="B132" s="158">
        <v>2538</v>
      </c>
      <c r="C132" s="158">
        <v>2829.6</v>
      </c>
      <c r="D132" s="158">
        <v>5367.6</v>
      </c>
    </row>
    <row r="133" spans="1:4" x14ac:dyDescent="0.25">
      <c r="A133" s="157" t="s">
        <v>26</v>
      </c>
      <c r="B133" s="158">
        <v>2538</v>
      </c>
      <c r="C133" s="158">
        <v>2829.6</v>
      </c>
      <c r="D133" s="158">
        <v>5367.6</v>
      </c>
    </row>
    <row r="134" spans="1:4" x14ac:dyDescent="0.25">
      <c r="A134" s="180" t="s">
        <v>931</v>
      </c>
      <c r="B134" s="158">
        <v>2538</v>
      </c>
      <c r="C134" s="158">
        <v>2829.6</v>
      </c>
      <c r="D134" s="158">
        <v>5367.6</v>
      </c>
    </row>
    <row r="135" spans="1:4" x14ac:dyDescent="0.25">
      <c r="A135" s="157" t="s">
        <v>12</v>
      </c>
      <c r="B135" s="158">
        <v>2380</v>
      </c>
      <c r="C135" s="158">
        <v>2690</v>
      </c>
      <c r="D135" s="158">
        <v>5070</v>
      </c>
    </row>
    <row r="136" spans="1:4" x14ac:dyDescent="0.25">
      <c r="A136" s="180" t="s">
        <v>934</v>
      </c>
      <c r="B136" s="158">
        <v>2380</v>
      </c>
      <c r="C136" s="158">
        <v>2690</v>
      </c>
      <c r="D136" s="158">
        <v>5070</v>
      </c>
    </row>
    <row r="137" spans="1:4" x14ac:dyDescent="0.25">
      <c r="A137" s="157" t="s">
        <v>13</v>
      </c>
      <c r="B137" s="158">
        <v>2380</v>
      </c>
      <c r="C137" s="158">
        <v>2690</v>
      </c>
      <c r="D137" s="158">
        <v>5070</v>
      </c>
    </row>
    <row r="138" spans="1:4" x14ac:dyDescent="0.25">
      <c r="A138" s="180" t="s">
        <v>936</v>
      </c>
      <c r="B138" s="158">
        <v>2380</v>
      </c>
      <c r="C138" s="158">
        <v>2690</v>
      </c>
      <c r="D138" s="158">
        <v>5070</v>
      </c>
    </row>
    <row r="139" spans="1:4" x14ac:dyDescent="0.25">
      <c r="A139" s="157" t="s">
        <v>131</v>
      </c>
      <c r="B139" s="158">
        <v>2980</v>
      </c>
      <c r="C139" s="158">
        <v>3420</v>
      </c>
      <c r="D139" s="158">
        <v>6400</v>
      </c>
    </row>
    <row r="140" spans="1:4" x14ac:dyDescent="0.25">
      <c r="A140" s="180" t="s">
        <v>940</v>
      </c>
      <c r="B140" s="158">
        <v>2980</v>
      </c>
      <c r="C140" s="158">
        <v>3420</v>
      </c>
      <c r="D140" s="158">
        <v>6400</v>
      </c>
    </row>
    <row r="141" spans="1:4" x14ac:dyDescent="0.25">
      <c r="A141" s="157" t="s">
        <v>130</v>
      </c>
      <c r="B141" s="158">
        <v>2980</v>
      </c>
      <c r="C141" s="158">
        <v>3420</v>
      </c>
      <c r="D141" s="158">
        <v>6400</v>
      </c>
    </row>
    <row r="142" spans="1:4" x14ac:dyDescent="0.25">
      <c r="A142" s="180" t="s">
        <v>940</v>
      </c>
      <c r="B142" s="158">
        <v>2980</v>
      </c>
      <c r="C142" s="158">
        <v>3420</v>
      </c>
      <c r="D142" s="158">
        <v>6400</v>
      </c>
    </row>
    <row r="143" spans="1:4" x14ac:dyDescent="0.25">
      <c r="A143" s="157" t="s">
        <v>988</v>
      </c>
      <c r="B143" s="158">
        <v>1710</v>
      </c>
      <c r="C143" s="158">
        <v>1880</v>
      </c>
      <c r="D143" s="158">
        <v>3590</v>
      </c>
    </row>
    <row r="144" spans="1:4" x14ac:dyDescent="0.25">
      <c r="A144" s="180" t="s">
        <v>989</v>
      </c>
      <c r="B144" s="158">
        <v>1710</v>
      </c>
      <c r="C144" s="158">
        <v>1880</v>
      </c>
      <c r="D144" s="158">
        <v>3590</v>
      </c>
    </row>
    <row r="145" spans="1:4" x14ac:dyDescent="0.25">
      <c r="A145" s="157" t="s">
        <v>995</v>
      </c>
      <c r="B145" s="158">
        <v>1710</v>
      </c>
      <c r="C145" s="158">
        <v>1880</v>
      </c>
      <c r="D145" s="158">
        <v>3590</v>
      </c>
    </row>
    <row r="146" spans="1:4" x14ac:dyDescent="0.25">
      <c r="A146" s="180" t="s">
        <v>923</v>
      </c>
      <c r="B146" s="158">
        <v>1710</v>
      </c>
      <c r="C146" s="158">
        <v>1880</v>
      </c>
      <c r="D146" s="158">
        <v>3590</v>
      </c>
    </row>
    <row r="147" spans="1:4" x14ac:dyDescent="0.25">
      <c r="A147" s="157" t="s">
        <v>991</v>
      </c>
      <c r="B147" s="158">
        <v>1710</v>
      </c>
      <c r="C147" s="158">
        <v>1880</v>
      </c>
      <c r="D147" s="158">
        <v>3590</v>
      </c>
    </row>
    <row r="148" spans="1:4" x14ac:dyDescent="0.25">
      <c r="A148" s="180" t="s">
        <v>989</v>
      </c>
      <c r="B148" s="158">
        <v>1710</v>
      </c>
      <c r="C148" s="158">
        <v>1880</v>
      </c>
      <c r="D148" s="158">
        <v>3590</v>
      </c>
    </row>
    <row r="149" spans="1:4" x14ac:dyDescent="0.25">
      <c r="A149" s="157" t="s">
        <v>998</v>
      </c>
      <c r="B149" s="158">
        <v>1710</v>
      </c>
      <c r="C149" s="158">
        <v>1880</v>
      </c>
      <c r="D149" s="158">
        <v>3590</v>
      </c>
    </row>
    <row r="150" spans="1:4" x14ac:dyDescent="0.25">
      <c r="A150" s="180" t="s">
        <v>999</v>
      </c>
      <c r="B150" s="158">
        <v>1710</v>
      </c>
      <c r="C150" s="158">
        <v>1880</v>
      </c>
      <c r="D150" s="158">
        <v>3590</v>
      </c>
    </row>
    <row r="151" spans="1:4" x14ac:dyDescent="0.25">
      <c r="A151" s="157" t="s">
        <v>27</v>
      </c>
      <c r="B151" s="158">
        <v>1940</v>
      </c>
      <c r="C151" s="158">
        <v>2170</v>
      </c>
      <c r="D151" s="158">
        <v>4110</v>
      </c>
    </row>
    <row r="152" spans="1:4" x14ac:dyDescent="0.25">
      <c r="A152" s="180" t="s">
        <v>1001</v>
      </c>
      <c r="B152" s="158">
        <v>1940</v>
      </c>
      <c r="C152" s="158">
        <v>2170</v>
      </c>
      <c r="D152" s="158">
        <v>4110</v>
      </c>
    </row>
    <row r="153" spans="1:4" x14ac:dyDescent="0.25">
      <c r="A153" s="157" t="s">
        <v>1094</v>
      </c>
      <c r="B153" s="158">
        <v>266413.59999999998</v>
      </c>
      <c r="C153" s="158">
        <v>304366.79999999993</v>
      </c>
      <c r="D153" s="158">
        <v>570780.4</v>
      </c>
    </row>
  </sheetData>
  <sheetProtection algorithmName="SHA-512" hashValue="/+trmHu3BnF1uoIHE2ETmFp5Z4LP84NBepnyIV7SNt6TP25NOxrRzGbw15JrH08Cw5l0wRiyYsbuYmr3xPpLdA==" saltValue="tGclskEv99zuh89/t/c1gw==" spinCount="100000"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9"/>
  <dimension ref="A1:FH148"/>
  <sheetViews>
    <sheetView zoomScale="85" zoomScaleNormal="85" workbookViewId="0">
      <selection activeCell="K10" sqref="K10"/>
    </sheetView>
  </sheetViews>
  <sheetFormatPr defaultColWidth="9.140625" defaultRowHeight="15.75" x14ac:dyDescent="0.25"/>
  <cols>
    <col min="1" max="1" width="38.5703125" style="22" bestFit="1" customWidth="1"/>
    <col min="2" max="2" width="15" style="22" customWidth="1"/>
    <col min="3" max="3" width="9.140625" style="22" customWidth="1"/>
    <col min="4" max="4" width="7.42578125" style="22" customWidth="1"/>
    <col min="5" max="6" width="9.140625" style="22"/>
    <col min="7" max="7" width="7.42578125" style="22" bestFit="1" customWidth="1"/>
    <col min="8" max="10" width="9.140625" style="22"/>
    <col min="11" max="11" width="18.140625" style="22" bestFit="1" customWidth="1"/>
    <col min="12" max="12" width="31.7109375" style="22" bestFit="1" customWidth="1"/>
    <col min="13" max="13" width="15.140625" style="22" bestFit="1" customWidth="1"/>
    <col min="14" max="14" width="25.28515625" style="22" customWidth="1"/>
    <col min="15" max="15" width="15.85546875" style="22" bestFit="1" customWidth="1"/>
    <col min="16" max="16" width="14.7109375" style="22" customWidth="1"/>
    <col min="17" max="17" width="13.28515625" style="22" customWidth="1"/>
    <col min="18" max="18" width="9.140625" style="22"/>
    <col min="19" max="19" width="34.85546875" style="22" bestFit="1" customWidth="1"/>
    <col min="20" max="20" width="23.28515625" style="22" bestFit="1" customWidth="1"/>
    <col min="21" max="21" width="22.7109375" style="22" bestFit="1" customWidth="1"/>
    <col min="22" max="22" width="16.140625" style="22" bestFit="1" customWidth="1"/>
    <col min="23" max="23" width="18.85546875" style="22" bestFit="1" customWidth="1"/>
    <col min="24" max="24" width="16.140625" style="22" bestFit="1" customWidth="1"/>
    <col min="25" max="25" width="16.140625" style="22" customWidth="1"/>
    <col min="26" max="27" width="18.28515625" style="22" customWidth="1"/>
    <col min="28" max="28" width="36.28515625" style="22" bestFit="1" customWidth="1"/>
    <col min="29" max="30" width="29.42578125" style="22" customWidth="1"/>
    <col min="31" max="31" width="15.42578125" style="22" bestFit="1" customWidth="1"/>
    <col min="32" max="35" width="15.42578125" style="22" customWidth="1"/>
    <col min="36" max="36" width="23.7109375" style="22" bestFit="1" customWidth="1"/>
    <col min="37" max="37" width="25.140625" style="22" bestFit="1" customWidth="1"/>
    <col min="38" max="38" width="25.140625" style="22" customWidth="1"/>
    <col min="39" max="39" width="10.5703125" style="22" customWidth="1"/>
    <col min="40" max="40" width="52" style="22" bestFit="1" customWidth="1"/>
    <col min="41" max="51" width="30.42578125" style="22" customWidth="1"/>
    <col min="52" max="53" width="15.5703125" style="22" bestFit="1" customWidth="1"/>
    <col min="54" max="54" width="29" style="22" bestFit="1" customWidth="1"/>
    <col min="55" max="55" width="17.42578125" style="22" bestFit="1" customWidth="1"/>
    <col min="56" max="56" width="20.85546875" style="22" bestFit="1" customWidth="1"/>
    <col min="57" max="57" width="18.7109375" style="22" bestFit="1" customWidth="1"/>
    <col min="58" max="59" width="18.7109375" style="22" customWidth="1"/>
    <col min="60" max="60" width="54.42578125" style="22" bestFit="1" customWidth="1"/>
    <col min="61" max="61" width="18.7109375" style="22" customWidth="1"/>
    <col min="62" max="62" width="33.85546875" style="22" bestFit="1" customWidth="1"/>
    <col min="63" max="63" width="33.85546875" style="22" customWidth="1"/>
    <col min="64" max="64" width="42.140625" style="22" bestFit="1" customWidth="1"/>
    <col min="65" max="65" width="12.7109375" style="22" bestFit="1" customWidth="1"/>
    <col min="66" max="66" width="12.7109375" style="255" customWidth="1"/>
    <col min="67" max="67" width="54.5703125" style="255" bestFit="1" customWidth="1"/>
    <col min="68" max="73" width="12.7109375" style="255" customWidth="1"/>
    <col min="74" max="74" width="31.42578125" style="255" bestFit="1" customWidth="1"/>
    <col min="75" max="75" width="19.42578125" style="255" customWidth="1"/>
    <col min="76" max="76" width="15.5703125" style="255" customWidth="1"/>
    <col min="77" max="77" width="16.42578125" style="255" customWidth="1"/>
    <col min="78" max="78" width="17.42578125" style="255" customWidth="1"/>
    <col min="79" max="79" width="20" style="255" customWidth="1"/>
    <col min="80" max="80" width="21.5703125" style="255" customWidth="1"/>
    <col min="81" max="81" width="14.42578125" style="255" customWidth="1"/>
    <col min="82" max="82" width="15.85546875" style="255" customWidth="1"/>
    <col min="83" max="83" width="15.5703125" style="255" customWidth="1"/>
    <col min="84" max="84" width="16.140625" style="255" customWidth="1"/>
    <col min="85" max="85" width="12.7109375" style="255" customWidth="1"/>
    <col min="86" max="86" width="15.42578125" style="255" customWidth="1"/>
    <col min="87" max="88" width="12.7109375" style="255" customWidth="1"/>
    <col min="89" max="91" width="9.140625" style="22"/>
    <col min="92" max="92" width="86.42578125" style="22" bestFit="1" customWidth="1"/>
    <col min="93" max="93" width="10.7109375" style="22" bestFit="1" customWidth="1"/>
    <col min="94" max="95" width="9.140625" style="22"/>
    <col min="96" max="96" width="70.85546875" style="22" bestFit="1" customWidth="1"/>
    <col min="97" max="97" width="9" style="22" customWidth="1"/>
    <col min="98" max="98" width="9.140625" style="22"/>
    <col min="99" max="99" width="80.85546875" style="22" bestFit="1" customWidth="1"/>
    <col min="100" max="100" width="10.85546875" style="22" customWidth="1"/>
    <col min="101" max="103" width="9.140625" style="22"/>
    <col min="104" max="104" width="19.7109375" style="22" customWidth="1"/>
    <col min="105" max="106" width="9.140625" style="22"/>
    <col min="107" max="107" width="56.85546875" style="22" bestFit="1" customWidth="1"/>
    <col min="108" max="108" width="16.7109375" style="22" bestFit="1" customWidth="1"/>
    <col min="109" max="109" width="31" style="22" bestFit="1" customWidth="1"/>
    <col min="110" max="110" width="19" style="22" bestFit="1" customWidth="1"/>
    <col min="111" max="111" width="9.140625" style="22" customWidth="1"/>
    <col min="112" max="114" width="9.140625" style="22"/>
    <col min="115" max="115" width="39.85546875" style="22" bestFit="1" customWidth="1"/>
    <col min="116" max="118" width="9.140625" style="22"/>
    <col min="119" max="119" width="56.42578125" style="22" bestFit="1" customWidth="1"/>
    <col min="120" max="120" width="21.140625" style="22" bestFit="1" customWidth="1"/>
    <col min="121" max="121" width="29.5703125" style="22" bestFit="1" customWidth="1"/>
    <col min="122" max="122" width="65.140625" style="22" bestFit="1" customWidth="1"/>
    <col min="123" max="123" width="12" style="22" bestFit="1" customWidth="1"/>
    <col min="124" max="126" width="9.140625" style="22"/>
    <col min="127" max="127" width="65.85546875" style="22" bestFit="1" customWidth="1"/>
    <col min="128" max="128" width="26.42578125" style="22" bestFit="1" customWidth="1"/>
    <col min="129" max="129" width="19.140625" style="22" bestFit="1" customWidth="1"/>
    <col min="130" max="130" width="22" style="22" bestFit="1" customWidth="1"/>
    <col min="131" max="131" width="24.28515625" style="22" bestFit="1" customWidth="1"/>
    <col min="132" max="137" width="21.140625" style="22" bestFit="1" customWidth="1"/>
    <col min="138" max="138" width="24" style="22" customWidth="1"/>
    <col min="139" max="139" width="27.42578125" style="22" bestFit="1" customWidth="1"/>
    <col min="140" max="140" width="22" style="22" bestFit="1" customWidth="1"/>
    <col min="141" max="141" width="22" style="221" customWidth="1"/>
    <col min="142" max="149" width="9.140625" style="22"/>
    <col min="150" max="150" width="82.7109375" style="22" bestFit="1" customWidth="1"/>
    <col min="151" max="151" width="9" style="22" bestFit="1" customWidth="1"/>
    <col min="152" max="16384" width="9.140625" style="22"/>
  </cols>
  <sheetData>
    <row r="1" spans="2:153" ht="30" customHeight="1" x14ac:dyDescent="0.25">
      <c r="B1" s="22" t="s">
        <v>135</v>
      </c>
      <c r="E1" s="22" t="s">
        <v>111</v>
      </c>
      <c r="K1" s="331" t="s">
        <v>137</v>
      </c>
      <c r="L1" s="331"/>
      <c r="M1" s="331"/>
      <c r="N1" s="331"/>
      <c r="O1" s="331"/>
      <c r="P1" s="331"/>
      <c r="S1" s="22" t="s">
        <v>144</v>
      </c>
      <c r="T1" s="22" t="s">
        <v>145</v>
      </c>
      <c r="U1" s="22" t="s">
        <v>146</v>
      </c>
      <c r="V1" s="22" t="s">
        <v>147</v>
      </c>
      <c r="W1" s="22" t="s">
        <v>148</v>
      </c>
      <c r="X1" s="22" t="s">
        <v>149</v>
      </c>
      <c r="Y1" s="22" t="s">
        <v>418</v>
      </c>
      <c r="Z1" s="22" t="s">
        <v>466</v>
      </c>
      <c r="AB1" s="29" t="s">
        <v>150</v>
      </c>
      <c r="AC1" s="29" t="s">
        <v>151</v>
      </c>
      <c r="AD1" s="29" t="s">
        <v>152</v>
      </c>
      <c r="AE1" s="29" t="s">
        <v>153</v>
      </c>
      <c r="AF1" s="22" t="s">
        <v>698</v>
      </c>
      <c r="AG1" s="29" t="s">
        <v>701</v>
      </c>
      <c r="AH1" s="22" t="s">
        <v>699</v>
      </c>
      <c r="AI1" s="22" t="s">
        <v>816</v>
      </c>
      <c r="AJ1" s="29" t="s">
        <v>463</v>
      </c>
      <c r="AK1" s="29" t="s">
        <v>532</v>
      </c>
      <c r="AL1" s="29" t="s">
        <v>707</v>
      </c>
      <c r="AN1" s="107" t="s">
        <v>144</v>
      </c>
      <c r="AO1" s="107" t="s">
        <v>511</v>
      </c>
      <c r="AP1" s="107" t="s">
        <v>520</v>
      </c>
      <c r="AQ1" s="107" t="s">
        <v>534</v>
      </c>
      <c r="AR1" s="107" t="s">
        <v>514</v>
      </c>
      <c r="AS1" s="107" t="s">
        <v>463</v>
      </c>
      <c r="AT1" s="29" t="s">
        <v>532</v>
      </c>
      <c r="AU1" s="22" t="s">
        <v>698</v>
      </c>
      <c r="AV1" s="29" t="s">
        <v>701</v>
      </c>
      <c r="AW1" s="22" t="s">
        <v>699</v>
      </c>
      <c r="AX1" s="22" t="s">
        <v>816</v>
      </c>
      <c r="AY1" s="22" t="s">
        <v>418</v>
      </c>
      <c r="AZ1" s="107" t="s">
        <v>466</v>
      </c>
      <c r="BB1" s="331" t="s">
        <v>640</v>
      </c>
      <c r="BC1" s="331"/>
      <c r="BD1" s="331"/>
      <c r="BE1" s="331"/>
      <c r="BF1" s="78"/>
      <c r="BG1" s="78"/>
      <c r="BJ1" s="78"/>
      <c r="BK1" s="78"/>
      <c r="BL1" s="78" t="s">
        <v>647</v>
      </c>
      <c r="BM1" s="78"/>
      <c r="BN1" s="78"/>
      <c r="BO1" s="331" t="s">
        <v>1253</v>
      </c>
      <c r="BP1" s="331"/>
      <c r="BQ1" s="331"/>
      <c r="BR1" s="331"/>
      <c r="BS1" s="331"/>
      <c r="BT1" s="78"/>
      <c r="BU1" s="78"/>
      <c r="BV1" s="331" t="s">
        <v>1254</v>
      </c>
      <c r="BW1" s="331"/>
      <c r="BX1" s="331"/>
      <c r="BY1" s="331"/>
      <c r="BZ1" s="331"/>
      <c r="CA1" s="331"/>
      <c r="CB1" s="331"/>
      <c r="CC1" s="331"/>
      <c r="CD1" s="331"/>
      <c r="CE1" s="331"/>
      <c r="CF1" s="331"/>
      <c r="CG1" s="331"/>
      <c r="CH1" s="331"/>
      <c r="CI1" s="78"/>
      <c r="CJ1" s="78"/>
      <c r="CK1" s="78"/>
      <c r="CN1" s="330" t="s">
        <v>688</v>
      </c>
      <c r="CO1" s="330"/>
      <c r="CR1" s="332" t="s">
        <v>689</v>
      </c>
      <c r="CS1" s="332"/>
      <c r="CU1" s="332" t="s">
        <v>690</v>
      </c>
      <c r="CV1" s="332"/>
      <c r="CY1" s="22" t="s">
        <v>513</v>
      </c>
      <c r="DC1" s="330" t="s">
        <v>535</v>
      </c>
      <c r="DD1" s="330"/>
      <c r="DE1" s="330"/>
      <c r="DF1" s="330"/>
      <c r="DG1" s="330"/>
      <c r="DH1" s="57"/>
      <c r="DI1" s="57"/>
      <c r="DJ1" s="57"/>
      <c r="DK1" s="330" t="s">
        <v>639</v>
      </c>
      <c r="DL1" s="330"/>
      <c r="DO1" s="330" t="s">
        <v>638</v>
      </c>
      <c r="DP1" s="330"/>
      <c r="DQ1" s="330"/>
      <c r="DR1" s="330"/>
      <c r="DS1" s="330"/>
      <c r="DW1" s="22" t="s">
        <v>426</v>
      </c>
      <c r="EG1" s="331" t="s">
        <v>1232</v>
      </c>
      <c r="EH1" s="331"/>
      <c r="EI1" s="331"/>
      <c r="EJ1" s="331"/>
      <c r="EK1" s="220"/>
      <c r="EL1" s="78"/>
    </row>
    <row r="2" spans="2:153" ht="30" customHeight="1" x14ac:dyDescent="0.25">
      <c r="K2" s="21"/>
      <c r="L2" s="21"/>
      <c r="M2" s="21"/>
      <c r="N2" s="21"/>
      <c r="O2" s="21"/>
      <c r="S2" s="22" t="s">
        <v>293</v>
      </c>
      <c r="T2" s="22" t="s">
        <v>143</v>
      </c>
      <c r="U2" s="22">
        <v>2</v>
      </c>
      <c r="V2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5764</v>
      </c>
      <c r="W2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6340</v>
      </c>
      <c r="X2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6916</v>
      </c>
      <c r="Y2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" s="27">
        <v>6</v>
      </c>
      <c r="AB2" s="20" t="s">
        <v>155</v>
      </c>
      <c r="AC2" s="20" t="s">
        <v>156</v>
      </c>
      <c r="AD2" s="20">
        <v>19</v>
      </c>
      <c r="AE2" s="20">
        <v>0</v>
      </c>
      <c r="AF2" s="105">
        <v>70</v>
      </c>
      <c r="AG2" s="105">
        <v>2400</v>
      </c>
      <c r="AH2" s="105">
        <v>270</v>
      </c>
      <c r="AI2" s="105">
        <v>950</v>
      </c>
      <c r="AJ2" s="20" t="s">
        <v>71</v>
      </c>
      <c r="AK2" s="20" t="s">
        <v>10</v>
      </c>
      <c r="AL2" s="20">
        <v>0</v>
      </c>
      <c r="AN2" s="222" t="s">
        <v>1235</v>
      </c>
      <c r="AO2" s="37" t="s">
        <v>1273</v>
      </c>
      <c r="AP2" s="249">
        <f>VLOOKUP(Пластики_Acryline[[#This Row],[Ценовая группа]],Цены_по_категориям_Acryline[],2,0)</f>
        <v>10224</v>
      </c>
      <c r="AQ2" s="249">
        <f>VLOOKUP(Пластики_Acryline[[#This Row],[Ценовая группа]],Цены_по_категориям_Acryline[],3,0)</f>
        <v>16201.199999999999</v>
      </c>
      <c r="AR2" s="37" t="s">
        <v>515</v>
      </c>
      <c r="AS2" s="37" t="s">
        <v>71</v>
      </c>
      <c r="AT2" s="37" t="s">
        <v>10</v>
      </c>
      <c r="AU2" s="37">
        <v>90</v>
      </c>
      <c r="AV2" s="37">
        <v>2750</v>
      </c>
      <c r="AW2" s="37">
        <v>250</v>
      </c>
      <c r="AX2" s="37">
        <v>1200</v>
      </c>
      <c r="AY2" s="249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" s="284">
        <v>1</v>
      </c>
      <c r="BB2" s="22" t="s">
        <v>511</v>
      </c>
      <c r="BC2" s="20" t="s">
        <v>510</v>
      </c>
      <c r="BD2" s="20" t="s">
        <v>517</v>
      </c>
      <c r="BE2" s="22" t="s">
        <v>463</v>
      </c>
      <c r="BF2" s="22" t="s">
        <v>418</v>
      </c>
      <c r="BH2" s="331" t="s">
        <v>646</v>
      </c>
      <c r="BI2" s="331"/>
      <c r="BJ2" s="331"/>
      <c r="BK2" s="21"/>
      <c r="BL2" s="22" t="s">
        <v>648</v>
      </c>
      <c r="BO2" s="255" t="s">
        <v>511</v>
      </c>
      <c r="BP2" s="20" t="s">
        <v>510</v>
      </c>
      <c r="BQ2" s="20" t="s">
        <v>517</v>
      </c>
      <c r="BR2" s="255" t="s">
        <v>463</v>
      </c>
      <c r="BS2" s="255" t="s">
        <v>418</v>
      </c>
      <c r="BV2" s="107" t="s">
        <v>144</v>
      </c>
      <c r="BW2" s="107" t="s">
        <v>511</v>
      </c>
      <c r="BX2" s="107" t="s">
        <v>520</v>
      </c>
      <c r="BY2" s="107" t="s">
        <v>534</v>
      </c>
      <c r="BZ2" s="107" t="s">
        <v>514</v>
      </c>
      <c r="CA2" s="107" t="s">
        <v>463</v>
      </c>
      <c r="CB2" s="260" t="s">
        <v>532</v>
      </c>
      <c r="CC2" s="261" t="s">
        <v>698</v>
      </c>
      <c r="CD2" s="260" t="s">
        <v>701</v>
      </c>
      <c r="CE2" s="261" t="s">
        <v>699</v>
      </c>
      <c r="CF2" s="261" t="s">
        <v>816</v>
      </c>
      <c r="CG2" s="261" t="s">
        <v>418</v>
      </c>
      <c r="CH2" s="107" t="s">
        <v>466</v>
      </c>
      <c r="CN2" s="22" t="s">
        <v>347</v>
      </c>
      <c r="CO2" s="22" t="s">
        <v>490</v>
      </c>
      <c r="CR2" s="89" t="s">
        <v>347</v>
      </c>
      <c r="CS2" s="89" t="s">
        <v>490</v>
      </c>
      <c r="CU2" s="89" t="s">
        <v>347</v>
      </c>
      <c r="CV2" s="89" t="s">
        <v>490</v>
      </c>
      <c r="DC2" s="63" t="s">
        <v>536</v>
      </c>
      <c r="DD2" s="64" t="s">
        <v>5</v>
      </c>
      <c r="DE2" s="63" t="s">
        <v>114</v>
      </c>
      <c r="DF2" s="63" t="s">
        <v>125</v>
      </c>
      <c r="DG2" s="64" t="s">
        <v>490</v>
      </c>
      <c r="DK2" s="53" t="s">
        <v>511</v>
      </c>
      <c r="DL2" s="53" t="s">
        <v>490</v>
      </c>
      <c r="DM2" s="58"/>
      <c r="DN2" s="59"/>
      <c r="DO2" s="22" t="s">
        <v>624</v>
      </c>
      <c r="DP2" s="22" t="s">
        <v>125</v>
      </c>
      <c r="DQ2" s="22" t="s">
        <v>5</v>
      </c>
      <c r="DR2" s="22" t="s">
        <v>623</v>
      </c>
      <c r="DS2" s="22" t="s">
        <v>490</v>
      </c>
      <c r="DT2" s="59"/>
      <c r="DW2" s="22" t="s">
        <v>427</v>
      </c>
      <c r="DX2" s="22" t="s">
        <v>428</v>
      </c>
      <c r="DY2" s="22" t="s">
        <v>121</v>
      </c>
      <c r="DZ2" s="22" t="s">
        <v>442</v>
      </c>
      <c r="EA2" s="22" t="s">
        <v>443</v>
      </c>
      <c r="EB2" s="22" t="s">
        <v>456</v>
      </c>
      <c r="EC2" s="22" t="s">
        <v>457</v>
      </c>
      <c r="ED2" s="22" t="s">
        <v>458</v>
      </c>
      <c r="EE2" s="22" t="s">
        <v>459</v>
      </c>
      <c r="EG2" s="107" t="s">
        <v>144</v>
      </c>
      <c r="EH2" s="107" t="s">
        <v>511</v>
      </c>
      <c r="EI2" s="107" t="s">
        <v>520</v>
      </c>
      <c r="EJ2" s="227" t="s">
        <v>1233</v>
      </c>
      <c r="EL2" s="221" t="s">
        <v>648</v>
      </c>
    </row>
    <row r="3" spans="2:153" ht="30" customHeight="1" x14ac:dyDescent="0.25">
      <c r="K3" s="22" t="s">
        <v>125</v>
      </c>
      <c r="L3" s="22" t="s">
        <v>138</v>
      </c>
      <c r="M3" s="22" t="s">
        <v>139</v>
      </c>
      <c r="N3" s="22" t="s">
        <v>140</v>
      </c>
      <c r="O3" s="22" t="s">
        <v>141</v>
      </c>
      <c r="P3" s="22" t="s">
        <v>418</v>
      </c>
      <c r="S3" s="22" t="s">
        <v>194</v>
      </c>
      <c r="T3" s="22" t="s">
        <v>142</v>
      </c>
      <c r="U3" s="22">
        <v>1</v>
      </c>
      <c r="V3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4203</v>
      </c>
      <c r="W3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4623</v>
      </c>
      <c r="X3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5045</v>
      </c>
      <c r="Y3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" s="27">
        <v>22</v>
      </c>
      <c r="AB3" s="20" t="s">
        <v>160</v>
      </c>
      <c r="AC3" s="20" t="s">
        <v>158</v>
      </c>
      <c r="AD3" s="20">
        <v>19</v>
      </c>
      <c r="AE3" s="20">
        <v>16</v>
      </c>
      <c r="AF3" s="105">
        <v>135</v>
      </c>
      <c r="AG3" s="105">
        <v>2550</v>
      </c>
      <c r="AH3" s="105">
        <v>135</v>
      </c>
      <c r="AI3" s="105">
        <v>950</v>
      </c>
      <c r="AJ3" s="20" t="s">
        <v>71</v>
      </c>
      <c r="AK3" s="20" t="s">
        <v>71</v>
      </c>
      <c r="AL3" s="20">
        <v>0</v>
      </c>
      <c r="AN3" s="307" t="s">
        <v>790</v>
      </c>
      <c r="AO3" s="37" t="s">
        <v>521</v>
      </c>
      <c r="AP3" s="37">
        <f>VLOOKUP(Пластики_Acryline[[#This Row],[Ценовая группа]],Цены_по_категориям_Acryline[],2,0)</f>
        <v>8055</v>
      </c>
      <c r="AQ3" s="37">
        <f>VLOOKUP(Пластики_Acryline[[#This Row],[Ценовая группа]],Цены_по_категориям_Acryline[],3,0)</f>
        <v>12765</v>
      </c>
      <c r="AR3" s="37" t="s">
        <v>515</v>
      </c>
      <c r="AS3" s="37" t="s">
        <v>71</v>
      </c>
      <c r="AT3" s="37" t="s">
        <v>10</v>
      </c>
      <c r="AU3" s="37">
        <v>90</v>
      </c>
      <c r="AV3" s="37">
        <v>2750</v>
      </c>
      <c r="AW3" s="37">
        <v>250</v>
      </c>
      <c r="AX3" s="37">
        <v>1200</v>
      </c>
      <c r="AY3" s="37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3" s="284">
        <v>1</v>
      </c>
      <c r="BB3" s="41" t="s">
        <v>508</v>
      </c>
      <c r="BC3" s="32">
        <v>5044</v>
      </c>
      <c r="BD3" s="34">
        <v>0</v>
      </c>
      <c r="BE3" s="29" t="s">
        <v>10</v>
      </c>
      <c r="BF3" s="109">
        <v>0</v>
      </c>
      <c r="BG3" s="29"/>
      <c r="BH3" s="36" t="s">
        <v>511</v>
      </c>
      <c r="BI3" s="36" t="s">
        <v>463</v>
      </c>
      <c r="BJ3" s="39" t="s">
        <v>641</v>
      </c>
      <c r="BK3" s="39"/>
      <c r="BL3" s="40" t="s">
        <v>649</v>
      </c>
      <c r="BO3" s="36" t="s">
        <v>508</v>
      </c>
      <c r="BP3" s="79">
        <v>2300</v>
      </c>
      <c r="BQ3" s="34">
        <v>0</v>
      </c>
      <c r="BR3" s="29" t="s">
        <v>10</v>
      </c>
      <c r="BS3" s="109">
        <v>0</v>
      </c>
      <c r="BV3" s="258" t="s">
        <v>1256</v>
      </c>
      <c r="BW3" s="36" t="s">
        <v>508</v>
      </c>
      <c r="BX3" s="37">
        <f>VLOOKUP(Цвета_Softline_Новые_горизонты[[#This Row],[Ценовая группа]],Цены_Softline_Новые_горизонты[],2,0)</f>
        <v>2300</v>
      </c>
      <c r="BY3" s="37">
        <f>VLOOKUP(Цвета_Softline_Новые_горизонты[[#This Row],[Ценовая группа]],Цены_Softline_Новые_горизонты[],3,0)</f>
        <v>0</v>
      </c>
      <c r="BZ3" s="37" t="s">
        <v>516</v>
      </c>
      <c r="CA3" s="37" t="s">
        <v>10</v>
      </c>
      <c r="CB3" s="37" t="s">
        <v>10</v>
      </c>
      <c r="CC3" s="37">
        <v>90</v>
      </c>
      <c r="CD3" s="37">
        <v>2750</v>
      </c>
      <c r="CE3" s="37">
        <v>250</v>
      </c>
      <c r="CF3" s="37">
        <v>1200</v>
      </c>
      <c r="CG3" s="37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CH3" s="255">
        <v>4</v>
      </c>
      <c r="CN3" s="20" t="s">
        <v>694</v>
      </c>
      <c r="CO3" s="69">
        <v>2392</v>
      </c>
      <c r="CR3" s="85" t="s">
        <v>1238</v>
      </c>
      <c r="CS3" s="86">
        <v>1900</v>
      </c>
      <c r="CU3" s="85" t="s">
        <v>608</v>
      </c>
      <c r="CV3" s="86">
        <v>1123.2</v>
      </c>
      <c r="DC3" s="92" t="s">
        <v>695</v>
      </c>
      <c r="DD3" s="93" t="s">
        <v>474</v>
      </c>
      <c r="DE3" s="93" t="s">
        <v>474</v>
      </c>
      <c r="DF3" s="93" t="s">
        <v>474</v>
      </c>
      <c r="DG3" s="81">
        <f>VLOOKUP(Ручки[[#This Row],[Категория]],Ценовые_категории_ручек[],2,0)</f>
        <v>770</v>
      </c>
      <c r="DH3" s="47"/>
      <c r="DK3" s="37" t="s">
        <v>539</v>
      </c>
      <c r="DL3" s="74">
        <v>50</v>
      </c>
      <c r="DM3" s="61"/>
      <c r="DN3" s="47"/>
      <c r="DO3" s="77" t="s">
        <v>619</v>
      </c>
      <c r="DP3" s="77" t="s">
        <v>126</v>
      </c>
      <c r="DQ3" s="77" t="s">
        <v>625</v>
      </c>
      <c r="DR3" s="65" t="s">
        <v>633</v>
      </c>
      <c r="DS3" s="83">
        <v>4536</v>
      </c>
      <c r="DV3" s="110"/>
      <c r="DW3" s="108" t="s">
        <v>429</v>
      </c>
      <c r="DX3" s="22" t="s">
        <v>441</v>
      </c>
      <c r="DY3" s="22">
        <v>38</v>
      </c>
      <c r="DZ3" s="22">
        <v>3000</v>
      </c>
      <c r="EA3" s="22">
        <v>1200</v>
      </c>
      <c r="EB3" s="26">
        <v>2536</v>
      </c>
      <c r="EC3" s="26">
        <v>4278</v>
      </c>
      <c r="ED3" s="26">
        <v>6020</v>
      </c>
      <c r="EE3" s="26">
        <f>ROUND(3650/1000/3*Столешницы[[#This Row],[600 х 3000]],0)</f>
        <v>7324</v>
      </c>
      <c r="EG3" s="108" t="s">
        <v>1229</v>
      </c>
      <c r="EH3" s="223" t="s">
        <v>1231</v>
      </c>
      <c r="EI3" s="224">
        <v>14372</v>
      </c>
      <c r="EJ3" s="224">
        <v>14372</v>
      </c>
      <c r="EL3" s="40" t="s">
        <v>1229</v>
      </c>
    </row>
    <row r="4" spans="2:153" ht="30" customHeight="1" x14ac:dyDescent="0.25">
      <c r="K4" s="22" t="s">
        <v>142</v>
      </c>
      <c r="L4" s="22">
        <v>1</v>
      </c>
      <c r="M4" s="112">
        <v>4203</v>
      </c>
      <c r="N4" s="112">
        <v>4623</v>
      </c>
      <c r="O4" s="112">
        <v>5045</v>
      </c>
      <c r="P4" s="109">
        <v>0.2</v>
      </c>
      <c r="S4" s="22" t="s">
        <v>239</v>
      </c>
      <c r="T4" s="22" t="s">
        <v>143</v>
      </c>
      <c r="U4" s="22">
        <v>1</v>
      </c>
      <c r="V4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5096</v>
      </c>
      <c r="W4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5602</v>
      </c>
      <c r="X4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6115</v>
      </c>
      <c r="Y4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" s="27">
        <v>39</v>
      </c>
      <c r="AB4" s="20" t="s">
        <v>162</v>
      </c>
      <c r="AC4" s="20" t="s">
        <v>158</v>
      </c>
      <c r="AD4" s="20">
        <v>19</v>
      </c>
      <c r="AE4" s="20">
        <v>16</v>
      </c>
      <c r="AF4" s="106">
        <v>135</v>
      </c>
      <c r="AG4" s="106">
        <v>2550</v>
      </c>
      <c r="AH4" s="106">
        <v>275</v>
      </c>
      <c r="AI4" s="106">
        <v>950</v>
      </c>
      <c r="AJ4" s="20" t="s">
        <v>71</v>
      </c>
      <c r="AK4" s="20" t="s">
        <v>71</v>
      </c>
      <c r="AL4" s="20">
        <v>0</v>
      </c>
      <c r="AN4" s="307" t="s">
        <v>791</v>
      </c>
      <c r="AO4" s="37" t="s">
        <v>521</v>
      </c>
      <c r="AP4" s="37">
        <f>VLOOKUP(Пластики_Acryline[[#This Row],[Ценовая группа]],Цены_по_категориям_Acryline[],2,0)</f>
        <v>8055</v>
      </c>
      <c r="AQ4" s="37">
        <f>VLOOKUP(Пластики_Acryline[[#This Row],[Ценовая группа]],Цены_по_категориям_Acryline[],3,0)</f>
        <v>12765</v>
      </c>
      <c r="AR4" s="37" t="s">
        <v>516</v>
      </c>
      <c r="AS4" s="37" t="s">
        <v>71</v>
      </c>
      <c r="AT4" s="37" t="s">
        <v>10</v>
      </c>
      <c r="AU4" s="37">
        <v>90</v>
      </c>
      <c r="AV4" s="37">
        <v>2750</v>
      </c>
      <c r="AW4" s="37">
        <v>250</v>
      </c>
      <c r="AX4" s="37">
        <v>1200</v>
      </c>
      <c r="AY4" s="37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4" s="22">
        <v>1</v>
      </c>
      <c r="BB4" s="41" t="s">
        <v>509</v>
      </c>
      <c r="BC4" s="32">
        <v>6040</v>
      </c>
      <c r="BD4" s="33">
        <v>9574</v>
      </c>
      <c r="BE4" s="29" t="s">
        <v>71</v>
      </c>
      <c r="BF4" s="109">
        <v>0</v>
      </c>
      <c r="BG4" s="29"/>
      <c r="BH4" s="36" t="s">
        <v>642</v>
      </c>
      <c r="BI4" s="36" t="s">
        <v>10</v>
      </c>
      <c r="BJ4" s="79">
        <v>4430</v>
      </c>
      <c r="BK4" s="79"/>
      <c r="BL4" s="40" t="s">
        <v>650</v>
      </c>
      <c r="BO4" s="36" t="s">
        <v>1255</v>
      </c>
      <c r="BP4" s="79">
        <v>4600</v>
      </c>
      <c r="BQ4" s="33">
        <v>10040</v>
      </c>
      <c r="BR4" s="29" t="s">
        <v>71</v>
      </c>
      <c r="BS4" s="109">
        <v>0</v>
      </c>
      <c r="BV4" s="259" t="s">
        <v>1257</v>
      </c>
      <c r="BW4" s="36" t="s">
        <v>508</v>
      </c>
      <c r="BX4" s="37">
        <f>VLOOKUP(Цвета_Softline_Новые_горизонты[[#This Row],[Ценовая группа]],Цены_Softline_Новые_горизонты[],2,0)</f>
        <v>2300</v>
      </c>
      <c r="BY4" s="37">
        <f>VLOOKUP(Цвета_Softline_Новые_горизонты[[#This Row],[Ценовая группа]],Цены_Softline_Новые_горизонты[],3,0)</f>
        <v>0</v>
      </c>
      <c r="BZ4" s="37" t="s">
        <v>516</v>
      </c>
      <c r="CA4" s="37" t="s">
        <v>10</v>
      </c>
      <c r="CB4" s="37" t="s">
        <v>10</v>
      </c>
      <c r="CC4" s="37">
        <v>90</v>
      </c>
      <c r="CD4" s="37">
        <v>2750</v>
      </c>
      <c r="CE4" s="37">
        <v>250</v>
      </c>
      <c r="CF4" s="37">
        <v>1200</v>
      </c>
      <c r="CG4" s="37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CH4" s="255">
        <v>5</v>
      </c>
      <c r="CN4" s="23" t="s">
        <v>492</v>
      </c>
      <c r="CO4" s="70">
        <v>520</v>
      </c>
      <c r="CU4" s="23" t="s">
        <v>609</v>
      </c>
      <c r="CV4" s="71">
        <v>1123.2</v>
      </c>
      <c r="CZ4" s="30" t="s">
        <v>464</v>
      </c>
      <c r="DA4" s="31">
        <v>1.25</v>
      </c>
      <c r="DC4" s="92" t="s">
        <v>505</v>
      </c>
      <c r="DD4" s="93" t="s">
        <v>474</v>
      </c>
      <c r="DE4" s="93" t="s">
        <v>474</v>
      </c>
      <c r="DF4" s="93" t="s">
        <v>474</v>
      </c>
      <c r="DG4" s="81">
        <f>VLOOKUP(Ручки[[#This Row],[Категория]],Ценовые_категории_ручек[],2,0)</f>
        <v>770</v>
      </c>
      <c r="DK4" s="37" t="s">
        <v>508</v>
      </c>
      <c r="DL4" s="74">
        <v>257</v>
      </c>
      <c r="DM4" s="47"/>
      <c r="DO4" s="77" t="s">
        <v>620</v>
      </c>
      <c r="DP4" s="77" t="s">
        <v>126</v>
      </c>
      <c r="DQ4" s="77" t="s">
        <v>626</v>
      </c>
      <c r="DR4" s="65" t="s">
        <v>628</v>
      </c>
      <c r="DS4" s="84">
        <v>2722</v>
      </c>
      <c r="DV4" s="110"/>
      <c r="DW4" s="108" t="s">
        <v>430</v>
      </c>
      <c r="DX4" s="22" t="s">
        <v>441</v>
      </c>
      <c r="DY4" s="22">
        <v>38</v>
      </c>
      <c r="DZ4" s="22">
        <v>3000</v>
      </c>
      <c r="EA4" s="22">
        <v>600</v>
      </c>
      <c r="EB4" s="26">
        <v>2536</v>
      </c>
      <c r="EC4" s="26">
        <v>4278</v>
      </c>
      <c r="ED4" s="26">
        <v>6020</v>
      </c>
      <c r="EE4" s="26">
        <f>ROUND(3650/1000/3*Столешницы[[#This Row],[600 х 3000]],0)</f>
        <v>7324</v>
      </c>
      <c r="EG4" s="222" t="s">
        <v>1230</v>
      </c>
      <c r="EH4" s="223" t="s">
        <v>1231</v>
      </c>
      <c r="EI4" s="225">
        <v>21000</v>
      </c>
      <c r="EJ4" s="225">
        <v>21000</v>
      </c>
      <c r="EL4" s="226" t="s">
        <v>1230</v>
      </c>
    </row>
    <row r="5" spans="2:153" ht="30" customHeight="1" x14ac:dyDescent="0.25">
      <c r="B5" s="22" t="s">
        <v>105</v>
      </c>
      <c r="E5" s="22" t="s">
        <v>103</v>
      </c>
      <c r="H5" s="22" t="s">
        <v>102</v>
      </c>
      <c r="K5" s="22" t="s">
        <v>142</v>
      </c>
      <c r="L5" s="22">
        <v>2</v>
      </c>
      <c r="M5" s="112">
        <v>4835</v>
      </c>
      <c r="N5" s="112">
        <v>5318</v>
      </c>
      <c r="O5" s="112">
        <v>5801</v>
      </c>
      <c r="P5" s="109">
        <v>0</v>
      </c>
      <c r="S5" s="22" t="s">
        <v>241</v>
      </c>
      <c r="T5" s="22" t="s">
        <v>143</v>
      </c>
      <c r="U5" s="22">
        <v>1</v>
      </c>
      <c r="V5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5096</v>
      </c>
      <c r="W5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5602</v>
      </c>
      <c r="X5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6115</v>
      </c>
      <c r="Y5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" s="27">
        <v>45</v>
      </c>
      <c r="AB5" s="20" t="s">
        <v>164</v>
      </c>
      <c r="AC5" s="20" t="s">
        <v>156</v>
      </c>
      <c r="AD5" s="20">
        <v>19</v>
      </c>
      <c r="AE5" s="20">
        <v>0</v>
      </c>
      <c r="AF5" s="106">
        <v>116</v>
      </c>
      <c r="AG5" s="106">
        <v>2550</v>
      </c>
      <c r="AH5" s="106">
        <v>270</v>
      </c>
      <c r="AI5" s="106">
        <v>950</v>
      </c>
      <c r="AJ5" s="20" t="s">
        <v>10</v>
      </c>
      <c r="AK5" s="20" t="s">
        <v>10</v>
      </c>
      <c r="AL5" s="20">
        <v>0.1</v>
      </c>
      <c r="AN5" s="307" t="s">
        <v>792</v>
      </c>
      <c r="AO5" s="37" t="s">
        <v>521</v>
      </c>
      <c r="AP5" s="37">
        <f>VLOOKUP(Пластики_Acryline[[#This Row],[Ценовая группа]],Цены_по_категориям_Acryline[],2,0)</f>
        <v>8055</v>
      </c>
      <c r="AQ5" s="37">
        <f>VLOOKUP(Пластики_Acryline[[#This Row],[Ценовая группа]],Цены_по_категориям_Acryline[],3,0)</f>
        <v>12765</v>
      </c>
      <c r="AR5" s="37" t="s">
        <v>515</v>
      </c>
      <c r="AS5" s="37" t="s">
        <v>71</v>
      </c>
      <c r="AT5" s="37" t="s">
        <v>10</v>
      </c>
      <c r="AU5" s="37">
        <v>90</v>
      </c>
      <c r="AV5" s="37">
        <v>2750</v>
      </c>
      <c r="AW5" s="37">
        <v>250</v>
      </c>
      <c r="AX5" s="37">
        <v>1200</v>
      </c>
      <c r="AY5" s="37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5" s="284">
        <v>2</v>
      </c>
      <c r="BB5" s="41" t="s">
        <v>521</v>
      </c>
      <c r="BC5" s="32">
        <v>8055</v>
      </c>
      <c r="BD5" s="33">
        <v>12765</v>
      </c>
      <c r="BE5" s="29" t="s">
        <v>71</v>
      </c>
      <c r="BF5" s="109">
        <v>0</v>
      </c>
      <c r="BG5" s="29"/>
      <c r="BH5" s="36" t="s">
        <v>643</v>
      </c>
      <c r="BI5" s="36" t="s">
        <v>10</v>
      </c>
      <c r="BJ5" s="79">
        <v>3976</v>
      </c>
      <c r="BK5" s="79"/>
      <c r="BL5" s="40" t="s">
        <v>651</v>
      </c>
      <c r="BO5" s="36"/>
      <c r="BP5" s="36"/>
      <c r="BQ5" s="79"/>
      <c r="BV5" s="258" t="s">
        <v>1258</v>
      </c>
      <c r="BW5" s="36" t="s">
        <v>508</v>
      </c>
      <c r="BX5" s="37">
        <f>VLOOKUP(Цвета_Softline_Новые_горизонты[[#This Row],[Ценовая группа]],Цены_Softline_Новые_горизонты[],2,0)</f>
        <v>2300</v>
      </c>
      <c r="BY5" s="37">
        <f>VLOOKUP(Цвета_Softline_Новые_горизонты[[#This Row],[Ценовая группа]],Цены_Softline_Новые_горизонты[],3,0)</f>
        <v>0</v>
      </c>
      <c r="BZ5" s="37" t="s">
        <v>516</v>
      </c>
      <c r="CA5" s="37" t="s">
        <v>10</v>
      </c>
      <c r="CB5" s="37" t="s">
        <v>10</v>
      </c>
      <c r="CC5" s="37">
        <v>90</v>
      </c>
      <c r="CD5" s="37">
        <v>2750</v>
      </c>
      <c r="CE5" s="37">
        <v>250</v>
      </c>
      <c r="CF5" s="37">
        <v>1200</v>
      </c>
      <c r="CG5" s="249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CH5" s="255">
        <v>6</v>
      </c>
      <c r="CN5" s="23" t="s">
        <v>493</v>
      </c>
      <c r="CO5" s="70">
        <v>312</v>
      </c>
      <c r="CU5" s="85" t="s">
        <v>610</v>
      </c>
      <c r="CV5" s="86">
        <v>1123.2</v>
      </c>
      <c r="DC5" s="54" t="s">
        <v>570</v>
      </c>
      <c r="DD5" s="48" t="s">
        <v>545</v>
      </c>
      <c r="DE5" s="37" t="s">
        <v>508</v>
      </c>
      <c r="DF5" s="65" t="s">
        <v>671</v>
      </c>
      <c r="DG5" s="81">
        <f>VLOOKUP(Ручки[[#This Row],[Категория]],Ценовые_категории_ручек[],2,0)</f>
        <v>257</v>
      </c>
      <c r="DK5" s="53" t="s">
        <v>547</v>
      </c>
      <c r="DL5" s="75">
        <v>450</v>
      </c>
      <c r="DM5" s="47"/>
      <c r="DO5" s="77" t="s">
        <v>820</v>
      </c>
      <c r="DP5" s="77" t="s">
        <v>126</v>
      </c>
      <c r="DQ5" s="77" t="s">
        <v>627</v>
      </c>
      <c r="DR5" s="65" t="s">
        <v>634</v>
      </c>
      <c r="DS5" s="83">
        <v>2176</v>
      </c>
      <c r="DV5" s="110"/>
      <c r="DW5" s="108" t="s">
        <v>431</v>
      </c>
      <c r="DX5" s="22" t="s">
        <v>441</v>
      </c>
      <c r="DY5" s="22">
        <v>38</v>
      </c>
      <c r="DZ5" s="22">
        <v>3000</v>
      </c>
      <c r="EA5" s="22">
        <v>1200</v>
      </c>
      <c r="EB5" s="26">
        <v>2536</v>
      </c>
      <c r="EC5" s="26">
        <v>4278</v>
      </c>
      <c r="ED5" s="26">
        <v>6020</v>
      </c>
      <c r="EE5" s="26">
        <f>ROUND(3650/1000/3*Столешницы[[#This Row],[600 х 3000]],0)</f>
        <v>7324</v>
      </c>
    </row>
    <row r="6" spans="2:153" ht="30" customHeight="1" x14ac:dyDescent="0.25">
      <c r="K6" s="22" t="s">
        <v>142</v>
      </c>
      <c r="L6" s="22">
        <v>3</v>
      </c>
      <c r="M6" s="112">
        <v>5764</v>
      </c>
      <c r="N6" s="112">
        <v>6340</v>
      </c>
      <c r="O6" s="112">
        <v>6916</v>
      </c>
      <c r="P6" s="109">
        <v>0</v>
      </c>
      <c r="S6" s="22" t="s">
        <v>294</v>
      </c>
      <c r="T6" s="22" t="s">
        <v>143</v>
      </c>
      <c r="U6" s="22">
        <v>1</v>
      </c>
      <c r="V6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5096</v>
      </c>
      <c r="W6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5602</v>
      </c>
      <c r="X6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6115</v>
      </c>
      <c r="Y6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" s="27">
        <v>64</v>
      </c>
      <c r="AB6" s="20" t="s">
        <v>166</v>
      </c>
      <c r="AC6" s="20" t="s">
        <v>156</v>
      </c>
      <c r="AD6" s="20">
        <v>19</v>
      </c>
      <c r="AE6" s="20">
        <v>0</v>
      </c>
      <c r="AF6" s="106">
        <v>116</v>
      </c>
      <c r="AG6" s="106">
        <v>2550</v>
      </c>
      <c r="AH6" s="106">
        <v>196</v>
      </c>
      <c r="AI6" s="106">
        <v>950</v>
      </c>
      <c r="AJ6" s="20" t="s">
        <v>10</v>
      </c>
      <c r="AK6" s="20" t="s">
        <v>10</v>
      </c>
      <c r="AL6" s="20">
        <v>0.1</v>
      </c>
      <c r="AN6" s="308" t="s">
        <v>1294</v>
      </c>
      <c r="AO6" s="37" t="s">
        <v>512</v>
      </c>
      <c r="AP6" s="251">
        <f>VLOOKUP(Пластики_Acryline[[#This Row],[Ценовая группа]],Цены_по_категориям_Acryline[],2,0)</f>
        <v>8520</v>
      </c>
      <c r="AQ6" s="251">
        <f>VLOOKUP(Пластики_Acryline[[#This Row],[Ценовая группа]],Цены_по_категориям_Acryline[],3,0)</f>
        <v>13501</v>
      </c>
      <c r="AR6" s="37" t="s">
        <v>516</v>
      </c>
      <c r="AS6" s="37" t="s">
        <v>71</v>
      </c>
      <c r="AT6" s="37" t="s">
        <v>10</v>
      </c>
      <c r="AU6" s="37">
        <v>90</v>
      </c>
      <c r="AV6" s="37">
        <v>2750</v>
      </c>
      <c r="AW6" s="37">
        <v>250</v>
      </c>
      <c r="AX6" s="37">
        <v>1200</v>
      </c>
      <c r="AY6" s="251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6" s="282">
        <v>3</v>
      </c>
      <c r="BB6" s="41" t="s">
        <v>512</v>
      </c>
      <c r="BC6" s="32">
        <v>8520</v>
      </c>
      <c r="BD6" s="33">
        <v>13501</v>
      </c>
      <c r="BE6" s="29" t="s">
        <v>71</v>
      </c>
      <c r="BF6" s="109">
        <v>0</v>
      </c>
      <c r="BG6" s="29"/>
      <c r="BH6" s="36" t="s">
        <v>644</v>
      </c>
      <c r="BI6" s="36" t="s">
        <v>10</v>
      </c>
      <c r="BJ6" s="79">
        <v>3976</v>
      </c>
      <c r="BK6" s="79"/>
      <c r="BL6" s="40" t="s">
        <v>652</v>
      </c>
      <c r="BV6" s="258" t="s">
        <v>1259</v>
      </c>
      <c r="BW6" s="36" t="s">
        <v>508</v>
      </c>
      <c r="BX6" s="37">
        <f>VLOOKUP(Цвета_Softline_Новые_горизонты[[#This Row],[Ценовая группа]],Цены_Softline_Новые_горизонты[],2,0)</f>
        <v>2300</v>
      </c>
      <c r="BY6" s="37">
        <f>VLOOKUP(Цвета_Softline_Новые_горизонты[[#This Row],[Ценовая группа]],Цены_Softline_Новые_горизонты[],3,0)</f>
        <v>0</v>
      </c>
      <c r="BZ6" s="37" t="s">
        <v>516</v>
      </c>
      <c r="CA6" s="37" t="s">
        <v>10</v>
      </c>
      <c r="CB6" s="37" t="s">
        <v>10</v>
      </c>
      <c r="CC6" s="37">
        <v>90</v>
      </c>
      <c r="CD6" s="37">
        <v>2750</v>
      </c>
      <c r="CE6" s="37">
        <v>250</v>
      </c>
      <c r="CF6" s="37">
        <v>1200</v>
      </c>
      <c r="CG6" s="37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CH6" s="255">
        <v>12</v>
      </c>
      <c r="CN6" s="23" t="s">
        <v>691</v>
      </c>
      <c r="CO6" s="70">
        <v>2704</v>
      </c>
      <c r="CU6" s="23" t="s">
        <v>611</v>
      </c>
      <c r="CV6" s="71">
        <v>561.6</v>
      </c>
      <c r="DC6" s="54" t="s">
        <v>569</v>
      </c>
      <c r="DD6" s="48" t="s">
        <v>545</v>
      </c>
      <c r="DE6" s="37" t="s">
        <v>508</v>
      </c>
      <c r="DF6" s="65" t="s">
        <v>671</v>
      </c>
      <c r="DG6" s="81">
        <f>VLOOKUP(Ручки[[#This Row],[Категория]],Ценовые_категории_ручек[],2,0)</f>
        <v>257</v>
      </c>
      <c r="DK6" s="53" t="s">
        <v>548</v>
      </c>
      <c r="DL6" s="75">
        <v>625</v>
      </c>
      <c r="DO6" s="77" t="s">
        <v>824</v>
      </c>
      <c r="DP6" s="77" t="s">
        <v>126</v>
      </c>
      <c r="DQ6" s="77" t="s">
        <v>627</v>
      </c>
      <c r="DR6" s="65" t="s">
        <v>635</v>
      </c>
      <c r="DS6" s="83">
        <v>3265</v>
      </c>
      <c r="DV6" s="110"/>
      <c r="DW6" s="108" t="s">
        <v>432</v>
      </c>
      <c r="DX6" s="22" t="s">
        <v>441</v>
      </c>
      <c r="DY6" s="22">
        <v>38</v>
      </c>
      <c r="DZ6" s="22">
        <v>3000</v>
      </c>
      <c r="EA6" s="22">
        <v>1200</v>
      </c>
      <c r="EB6" s="26">
        <v>2536</v>
      </c>
      <c r="EC6" s="26">
        <v>4278</v>
      </c>
      <c r="ED6" s="26">
        <v>6020</v>
      </c>
      <c r="EE6" s="26">
        <f>ROUND(3650/1000/3*Столешницы[[#This Row],[600 х 3000]],0)</f>
        <v>7324</v>
      </c>
    </row>
    <row r="7" spans="2:153" ht="30" customHeight="1" x14ac:dyDescent="0.25">
      <c r="K7" s="22" t="s">
        <v>143</v>
      </c>
      <c r="L7" s="22">
        <v>1</v>
      </c>
      <c r="M7" s="112">
        <v>5096</v>
      </c>
      <c r="N7" s="112">
        <v>5602</v>
      </c>
      <c r="O7" s="112">
        <v>6115</v>
      </c>
      <c r="P7" s="109">
        <v>0.2</v>
      </c>
      <c r="S7" s="22" t="s">
        <v>296</v>
      </c>
      <c r="T7" s="22" t="s">
        <v>143</v>
      </c>
      <c r="U7" s="22">
        <v>4</v>
      </c>
      <c r="V7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7620</v>
      </c>
      <c r="W7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8382</v>
      </c>
      <c r="X7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9145</v>
      </c>
      <c r="Y7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" s="27">
        <v>77</v>
      </c>
      <c r="AB7" s="256" t="s">
        <v>1252</v>
      </c>
      <c r="AC7" s="20" t="s">
        <v>158</v>
      </c>
      <c r="AD7" s="256">
        <v>19</v>
      </c>
      <c r="AE7" s="256">
        <v>16</v>
      </c>
      <c r="AF7" s="257">
        <v>350</v>
      </c>
      <c r="AG7" s="106">
        <v>2550</v>
      </c>
      <c r="AH7" s="257">
        <v>135</v>
      </c>
      <c r="AI7" s="257">
        <v>950</v>
      </c>
      <c r="AJ7" s="256" t="s">
        <v>71</v>
      </c>
      <c r="AK7" s="256" t="s">
        <v>10</v>
      </c>
      <c r="AL7" s="257">
        <v>0</v>
      </c>
      <c r="AN7" s="307" t="s">
        <v>793</v>
      </c>
      <c r="AO7" s="37" t="s">
        <v>521</v>
      </c>
      <c r="AP7" s="37">
        <f>VLOOKUP(Пластики_Acryline[[#This Row],[Ценовая группа]],Цены_по_категориям_Acryline[],2,0)</f>
        <v>8055</v>
      </c>
      <c r="AQ7" s="37">
        <f>VLOOKUP(Пластики_Acryline[[#This Row],[Ценовая группа]],Цены_по_категориям_Acryline[],3,0)</f>
        <v>12765</v>
      </c>
      <c r="AR7" s="37" t="s">
        <v>515</v>
      </c>
      <c r="AS7" s="37" t="s">
        <v>71</v>
      </c>
      <c r="AT7" s="37" t="s">
        <v>10</v>
      </c>
      <c r="AU7" s="37">
        <v>90</v>
      </c>
      <c r="AV7" s="37">
        <v>2750</v>
      </c>
      <c r="AW7" s="37">
        <v>250</v>
      </c>
      <c r="AX7" s="37">
        <v>1200</v>
      </c>
      <c r="AY7" s="37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7" s="230">
        <v>3</v>
      </c>
      <c r="BB7" s="267" t="s">
        <v>1273</v>
      </c>
      <c r="BC7" s="264">
        <v>10224</v>
      </c>
      <c r="BD7" s="264">
        <v>16201.199999999999</v>
      </c>
      <c r="BE7" s="265" t="s">
        <v>71</v>
      </c>
      <c r="BF7" s="266">
        <v>0</v>
      </c>
      <c r="BH7" s="36" t="s">
        <v>645</v>
      </c>
      <c r="BI7" s="36" t="s">
        <v>10</v>
      </c>
      <c r="BJ7" s="79">
        <v>3094</v>
      </c>
      <c r="BK7" s="79"/>
      <c r="BL7" s="40" t="s">
        <v>653</v>
      </c>
      <c r="BV7" s="258" t="s">
        <v>1260</v>
      </c>
      <c r="BW7" s="36" t="s">
        <v>1255</v>
      </c>
      <c r="BX7" s="37">
        <f>VLOOKUP(Цвета_Softline_Новые_горизонты[[#This Row],[Ценовая группа]],Цены_Softline_Новые_горизонты[],2,0)</f>
        <v>4600</v>
      </c>
      <c r="BY7" s="37">
        <f>VLOOKUP(Цвета_Softline_Новые_горизонты[[#This Row],[Ценовая группа]],Цены_Softline_Новые_горизонты[],3,0)</f>
        <v>10040</v>
      </c>
      <c r="BZ7" s="37" t="s">
        <v>516</v>
      </c>
      <c r="CA7" s="37" t="s">
        <v>10</v>
      </c>
      <c r="CB7" s="37" t="s">
        <v>10</v>
      </c>
      <c r="CC7" s="37">
        <v>90</v>
      </c>
      <c r="CD7" s="37">
        <v>2750</v>
      </c>
      <c r="CE7" s="37">
        <v>250</v>
      </c>
      <c r="CF7" s="37">
        <v>1200</v>
      </c>
      <c r="CG7" s="37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CH7" s="255">
        <v>45</v>
      </c>
      <c r="CN7" s="23" t="s">
        <v>494</v>
      </c>
      <c r="CO7" s="70">
        <v>312</v>
      </c>
      <c r="CU7" s="85" t="s">
        <v>612</v>
      </c>
      <c r="CV7" s="86">
        <v>561.6</v>
      </c>
      <c r="DC7" s="54" t="s">
        <v>568</v>
      </c>
      <c r="DD7" s="48" t="s">
        <v>545</v>
      </c>
      <c r="DE7" s="37" t="s">
        <v>508</v>
      </c>
      <c r="DF7" s="65" t="s">
        <v>671</v>
      </c>
      <c r="DG7" s="81">
        <f>VLOOKUP(Ручки[[#This Row],[Категория]],Ценовые_категории_ручек[],2,0)</f>
        <v>257</v>
      </c>
      <c r="DK7" s="53" t="s">
        <v>549</v>
      </c>
      <c r="DL7" s="75">
        <v>800</v>
      </c>
      <c r="DO7" s="77" t="s">
        <v>821</v>
      </c>
      <c r="DP7" s="77" t="s">
        <v>126</v>
      </c>
      <c r="DQ7" s="77" t="s">
        <v>627</v>
      </c>
      <c r="DR7" s="65" t="s">
        <v>629</v>
      </c>
      <c r="DS7" s="83">
        <v>3630</v>
      </c>
      <c r="DV7" s="110"/>
      <c r="DW7" s="108" t="s">
        <v>433</v>
      </c>
      <c r="DX7" s="22" t="s">
        <v>441</v>
      </c>
      <c r="DY7" s="22">
        <v>38</v>
      </c>
      <c r="DZ7" s="22">
        <v>3000</v>
      </c>
      <c r="EA7" s="22">
        <v>1200</v>
      </c>
      <c r="EB7" s="26">
        <v>2536</v>
      </c>
      <c r="EC7" s="26">
        <v>4278</v>
      </c>
      <c r="ED7" s="26">
        <v>6020</v>
      </c>
      <c r="EE7" s="26">
        <f>ROUND(3650/1000/3*Столешницы[[#This Row],[600 х 3000]],0)</f>
        <v>7324</v>
      </c>
      <c r="EU7" s="36"/>
      <c r="EV7" s="36"/>
      <c r="EW7" s="79"/>
    </row>
    <row r="8" spans="2:153" ht="30" customHeight="1" x14ac:dyDescent="0.25">
      <c r="K8" s="22" t="s">
        <v>143</v>
      </c>
      <c r="L8" s="22">
        <v>2</v>
      </c>
      <c r="M8" s="112">
        <v>5764</v>
      </c>
      <c r="N8" s="112">
        <v>6340</v>
      </c>
      <c r="O8" s="112">
        <v>6916</v>
      </c>
      <c r="P8" s="109">
        <v>0</v>
      </c>
      <c r="S8" s="22" t="s">
        <v>297</v>
      </c>
      <c r="T8" s="22" t="s">
        <v>143</v>
      </c>
      <c r="U8" s="22">
        <v>3</v>
      </c>
      <c r="V8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6690</v>
      </c>
      <c r="W8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7361</v>
      </c>
      <c r="X8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8008</v>
      </c>
      <c r="Y8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" s="27">
        <v>90</v>
      </c>
      <c r="AB8" s="20" t="s">
        <v>168</v>
      </c>
      <c r="AC8" s="20" t="s">
        <v>158</v>
      </c>
      <c r="AD8" s="20">
        <v>19</v>
      </c>
      <c r="AE8" s="20">
        <v>0</v>
      </c>
      <c r="AF8" s="106">
        <v>100</v>
      </c>
      <c r="AG8" s="106">
        <v>2550</v>
      </c>
      <c r="AH8" s="106">
        <v>360</v>
      </c>
      <c r="AI8" s="106">
        <v>950</v>
      </c>
      <c r="AJ8" s="20" t="s">
        <v>71</v>
      </c>
      <c r="AK8" s="20" t="s">
        <v>10</v>
      </c>
      <c r="AL8" s="20">
        <v>0</v>
      </c>
      <c r="AN8" s="308" t="s">
        <v>1293</v>
      </c>
      <c r="AO8" s="37" t="s">
        <v>512</v>
      </c>
      <c r="AP8" s="251">
        <f>VLOOKUP(Пластики_Acryline[[#This Row],[Ценовая группа]],Цены_по_категориям_Acryline[],2,0)</f>
        <v>8520</v>
      </c>
      <c r="AQ8" s="251">
        <f>VLOOKUP(Пластики_Acryline[[#This Row],[Ценовая группа]],Цены_по_категориям_Acryline[],3,0)</f>
        <v>13501</v>
      </c>
      <c r="AR8" s="37" t="s">
        <v>516</v>
      </c>
      <c r="AS8" s="37" t="s">
        <v>71</v>
      </c>
      <c r="AT8" s="37" t="s">
        <v>10</v>
      </c>
      <c r="AU8" s="37">
        <v>90</v>
      </c>
      <c r="AV8" s="37">
        <v>2750</v>
      </c>
      <c r="AW8" s="37">
        <v>250</v>
      </c>
      <c r="AX8" s="37">
        <v>1200</v>
      </c>
      <c r="AY8" s="251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8" s="282">
        <v>5</v>
      </c>
      <c r="BC8" s="42"/>
      <c r="BL8" s="40" t="s">
        <v>654</v>
      </c>
      <c r="BV8" s="259" t="s">
        <v>1261</v>
      </c>
      <c r="BW8" s="36" t="s">
        <v>1255</v>
      </c>
      <c r="BX8" s="37">
        <f>VLOOKUP(Цвета_Softline_Новые_горизонты[[#This Row],[Ценовая группа]],Цены_Softline_Новые_горизонты[],2,0)</f>
        <v>4600</v>
      </c>
      <c r="BY8" s="37">
        <f>VLOOKUP(Цвета_Softline_Новые_горизонты[[#This Row],[Ценовая группа]],Цены_Softline_Новые_горизонты[],3,0)</f>
        <v>10040</v>
      </c>
      <c r="BZ8" s="37" t="s">
        <v>516</v>
      </c>
      <c r="CA8" s="37" t="s">
        <v>10</v>
      </c>
      <c r="CB8" s="37" t="s">
        <v>10</v>
      </c>
      <c r="CC8" s="37">
        <v>90</v>
      </c>
      <c r="CD8" s="37">
        <v>2750</v>
      </c>
      <c r="CE8" s="37">
        <v>250</v>
      </c>
      <c r="CF8" s="37">
        <v>1200</v>
      </c>
      <c r="CG8" s="37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CH8" s="255">
        <v>46</v>
      </c>
      <c r="CN8" s="23" t="s">
        <v>692</v>
      </c>
      <c r="CO8" s="70">
        <v>4576</v>
      </c>
      <c r="CU8" s="23" t="s">
        <v>613</v>
      </c>
      <c r="CV8" s="71">
        <v>561.6</v>
      </c>
      <c r="DC8" s="54" t="s">
        <v>567</v>
      </c>
      <c r="DD8" s="48" t="s">
        <v>545</v>
      </c>
      <c r="DE8" s="37" t="s">
        <v>508</v>
      </c>
      <c r="DF8" s="65" t="s">
        <v>671</v>
      </c>
      <c r="DG8" s="81">
        <f>VLOOKUP(Ручки[[#This Row],[Категория]],Ценовые_категории_ручек[],2,0)</f>
        <v>257</v>
      </c>
      <c r="DK8" s="62" t="s">
        <v>550</v>
      </c>
      <c r="DL8" s="75">
        <v>450</v>
      </c>
      <c r="DO8" s="77" t="s">
        <v>822</v>
      </c>
      <c r="DP8" s="77" t="s">
        <v>126</v>
      </c>
      <c r="DQ8" s="77" t="s">
        <v>627</v>
      </c>
      <c r="DR8" s="65" t="s">
        <v>630</v>
      </c>
      <c r="DS8" s="83">
        <v>6529</v>
      </c>
      <c r="DV8" s="110"/>
      <c r="DW8" s="108" t="s">
        <v>434</v>
      </c>
      <c r="DX8" s="22" t="s">
        <v>441</v>
      </c>
      <c r="DY8" s="22">
        <v>38</v>
      </c>
      <c r="DZ8" s="22">
        <v>3000</v>
      </c>
      <c r="EA8" s="22">
        <v>1200</v>
      </c>
      <c r="EB8" s="26">
        <v>2536</v>
      </c>
      <c r="EC8" s="26">
        <v>4278</v>
      </c>
      <c r="ED8" s="26">
        <v>6020</v>
      </c>
      <c r="EE8" s="26">
        <f>ROUND(3650/1000/3*Столешницы[[#This Row],[600 х 3000]],0)</f>
        <v>7324</v>
      </c>
    </row>
    <row r="9" spans="2:153" ht="30" customHeight="1" x14ac:dyDescent="0.25">
      <c r="B9" s="22" t="s">
        <v>104</v>
      </c>
      <c r="E9" s="22" t="s">
        <v>109</v>
      </c>
      <c r="H9" s="22" t="s">
        <v>110</v>
      </c>
      <c r="K9" s="22" t="s">
        <v>143</v>
      </c>
      <c r="L9" s="22">
        <v>3</v>
      </c>
      <c r="M9" s="112">
        <v>6690</v>
      </c>
      <c r="N9" s="112">
        <v>7361</v>
      </c>
      <c r="O9" s="112">
        <v>8008</v>
      </c>
      <c r="P9" s="109">
        <v>0</v>
      </c>
      <c r="S9" s="22" t="s">
        <v>154</v>
      </c>
      <c r="T9" s="22" t="s">
        <v>142</v>
      </c>
      <c r="U9" s="22">
        <v>1</v>
      </c>
      <c r="V9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4203</v>
      </c>
      <c r="W9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4623</v>
      </c>
      <c r="X9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5045</v>
      </c>
      <c r="Y9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9" s="27">
        <v>101</v>
      </c>
      <c r="AB9" s="20" t="s">
        <v>170</v>
      </c>
      <c r="AC9" s="20" t="s">
        <v>158</v>
      </c>
      <c r="AD9" s="20">
        <v>19</v>
      </c>
      <c r="AE9" s="20">
        <v>0</v>
      </c>
      <c r="AF9" s="106">
        <v>100</v>
      </c>
      <c r="AG9" s="106">
        <v>950</v>
      </c>
      <c r="AH9" s="106">
        <v>380</v>
      </c>
      <c r="AI9" s="106">
        <v>950</v>
      </c>
      <c r="AJ9" s="20" t="s">
        <v>71</v>
      </c>
      <c r="AK9" s="20" t="s">
        <v>10</v>
      </c>
      <c r="AL9" s="20">
        <v>0</v>
      </c>
      <c r="AN9" s="307" t="s">
        <v>795</v>
      </c>
      <c r="AO9" s="37" t="s">
        <v>521</v>
      </c>
      <c r="AP9" s="37">
        <f>VLOOKUP(Пластики_Acryline[[#This Row],[Ценовая группа]],Цены_по_категориям_Acryline[],2,0)</f>
        <v>8055</v>
      </c>
      <c r="AQ9" s="37">
        <f>VLOOKUP(Пластики_Acryline[[#This Row],[Ценовая группа]],Цены_по_категориям_Acryline[],3,0)</f>
        <v>12765</v>
      </c>
      <c r="AR9" s="37" t="s">
        <v>515</v>
      </c>
      <c r="AS9" s="37" t="s">
        <v>71</v>
      </c>
      <c r="AT9" s="37" t="s">
        <v>10</v>
      </c>
      <c r="AU9" s="37">
        <v>90</v>
      </c>
      <c r="AV9" s="37">
        <v>2750</v>
      </c>
      <c r="AW9" s="37">
        <v>250</v>
      </c>
      <c r="AX9" s="37">
        <v>1200</v>
      </c>
      <c r="AY9" s="37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9" s="284">
        <v>5</v>
      </c>
      <c r="BC9" s="42"/>
      <c r="BL9" s="40" t="s">
        <v>655</v>
      </c>
      <c r="BV9" s="258" t="s">
        <v>1262</v>
      </c>
      <c r="BW9" s="36" t="s">
        <v>1255</v>
      </c>
      <c r="BX9" s="37">
        <f>VLOOKUP(Цвета_Softline_Новые_горизонты[[#This Row],[Ценовая группа]],Цены_Softline_Новые_горизонты[],2,0)</f>
        <v>4600</v>
      </c>
      <c r="BY9" s="37">
        <f>VLOOKUP(Цвета_Softline_Новые_горизонты[[#This Row],[Ценовая группа]],Цены_Softline_Новые_горизонты[],3,0)</f>
        <v>10040</v>
      </c>
      <c r="BZ9" s="37" t="s">
        <v>516</v>
      </c>
      <c r="CA9" s="37" t="s">
        <v>10</v>
      </c>
      <c r="CB9" s="37" t="s">
        <v>10</v>
      </c>
      <c r="CC9" s="37">
        <v>90</v>
      </c>
      <c r="CD9" s="37">
        <v>2750</v>
      </c>
      <c r="CE9" s="37">
        <v>250</v>
      </c>
      <c r="CF9" s="37">
        <v>1200</v>
      </c>
      <c r="CG9" s="37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CH9" s="20">
        <v>47</v>
      </c>
      <c r="CN9" s="23" t="s">
        <v>693</v>
      </c>
      <c r="CO9" s="70">
        <v>4160</v>
      </c>
      <c r="CU9" s="85" t="s">
        <v>614</v>
      </c>
      <c r="CV9" s="86">
        <v>156</v>
      </c>
      <c r="DC9" s="54" t="s">
        <v>566</v>
      </c>
      <c r="DD9" s="48" t="s">
        <v>545</v>
      </c>
      <c r="DE9" s="37" t="s">
        <v>508</v>
      </c>
      <c r="DF9" s="65" t="s">
        <v>671</v>
      </c>
      <c r="DG9" s="81">
        <f>VLOOKUP(Ручки[[#This Row],[Категория]],Ценовые_категории_ручек[],2,0)</f>
        <v>257</v>
      </c>
      <c r="DK9" s="62" t="s">
        <v>553</v>
      </c>
      <c r="DL9" s="75">
        <v>625</v>
      </c>
      <c r="DO9" s="77" t="s">
        <v>823</v>
      </c>
      <c r="DP9" s="77" t="s">
        <v>126</v>
      </c>
      <c r="DQ9" s="77" t="s">
        <v>627</v>
      </c>
      <c r="DR9" s="65" t="s">
        <v>636</v>
      </c>
      <c r="DS9" s="83">
        <v>2176</v>
      </c>
      <c r="DV9" s="110"/>
      <c r="DW9" s="108" t="s">
        <v>435</v>
      </c>
      <c r="DX9" s="22" t="s">
        <v>441</v>
      </c>
      <c r="DY9" s="22">
        <v>38</v>
      </c>
      <c r="DZ9" s="22">
        <v>3000</v>
      </c>
      <c r="EA9" s="22">
        <v>1200</v>
      </c>
      <c r="EB9" s="26">
        <v>2536</v>
      </c>
      <c r="EC9" s="26">
        <v>4278</v>
      </c>
      <c r="ED9" s="26">
        <v>6020</v>
      </c>
      <c r="EE9" s="26">
        <f>ROUND(3650/1000/3*Столешницы[[#This Row],[600 х 3000]],0)</f>
        <v>7324</v>
      </c>
    </row>
    <row r="10" spans="2:153" ht="30" customHeight="1" x14ac:dyDescent="0.25">
      <c r="K10" s="22" t="s">
        <v>143</v>
      </c>
      <c r="L10" s="22">
        <v>4</v>
      </c>
      <c r="M10" s="112">
        <v>7620</v>
      </c>
      <c r="N10" s="112">
        <v>8382</v>
      </c>
      <c r="O10" s="112">
        <v>9145</v>
      </c>
      <c r="P10" s="109">
        <v>0</v>
      </c>
      <c r="S10" s="22" t="s">
        <v>157</v>
      </c>
      <c r="T10" s="22" t="s">
        <v>142</v>
      </c>
      <c r="U10" s="22">
        <v>1</v>
      </c>
      <c r="V10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4203</v>
      </c>
      <c r="W10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4623</v>
      </c>
      <c r="X10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5045</v>
      </c>
      <c r="Y10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" s="27">
        <v>119</v>
      </c>
      <c r="AB10" s="20" t="s">
        <v>171</v>
      </c>
      <c r="AC10" s="20" t="s">
        <v>156</v>
      </c>
      <c r="AD10" s="20">
        <v>19</v>
      </c>
      <c r="AE10" s="20">
        <v>0</v>
      </c>
      <c r="AF10" s="106">
        <v>236</v>
      </c>
      <c r="AG10" s="106">
        <v>2550</v>
      </c>
      <c r="AH10" s="106">
        <v>245</v>
      </c>
      <c r="AI10" s="106">
        <v>950</v>
      </c>
      <c r="AJ10" s="20" t="s">
        <v>71</v>
      </c>
      <c r="AK10" s="20" t="s">
        <v>71</v>
      </c>
      <c r="AL10" s="20">
        <v>0</v>
      </c>
      <c r="AN10" s="307" t="s">
        <v>794</v>
      </c>
      <c r="AO10" s="37" t="s">
        <v>508</v>
      </c>
      <c r="AP10" s="37">
        <f>VLOOKUP(Пластики_Acryline[[#This Row],[Ценовая группа]],Цены_по_категориям_Acryline[],2,0)</f>
        <v>5044</v>
      </c>
      <c r="AQ10" s="37">
        <f>VLOOKUP(Пластики_Acryline[[#This Row],[Ценовая группа]],Цены_по_категориям_Acryline[],3,0)</f>
        <v>0</v>
      </c>
      <c r="AR10" s="37" t="s">
        <v>515</v>
      </c>
      <c r="AS10" s="37" t="s">
        <v>71</v>
      </c>
      <c r="AT10" s="37" t="s">
        <v>10</v>
      </c>
      <c r="AU10" s="37">
        <v>90</v>
      </c>
      <c r="AV10" s="37">
        <v>2750</v>
      </c>
      <c r="AW10" s="37">
        <v>250</v>
      </c>
      <c r="AX10" s="37">
        <v>1200</v>
      </c>
      <c r="AY10" s="37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0" s="20">
        <v>5</v>
      </c>
      <c r="BL10" s="40" t="s">
        <v>656</v>
      </c>
      <c r="BV10" s="259" t="s">
        <v>1263</v>
      </c>
      <c r="BW10" s="36" t="s">
        <v>1255</v>
      </c>
      <c r="BX10" s="37">
        <f>VLOOKUP(Цвета_Softline_Новые_горизонты[[#This Row],[Ценовая группа]],Цены_Softline_Новые_горизонты[],2,0)</f>
        <v>4600</v>
      </c>
      <c r="BY10" s="37">
        <f>VLOOKUP(Цвета_Softline_Новые_горизонты[[#This Row],[Ценовая группа]],Цены_Softline_Новые_горизонты[],3,0)</f>
        <v>10040</v>
      </c>
      <c r="BZ10" s="37" t="s">
        <v>516</v>
      </c>
      <c r="CA10" s="37" t="s">
        <v>10</v>
      </c>
      <c r="CB10" s="37" t="s">
        <v>10</v>
      </c>
      <c r="CC10" s="37">
        <v>90</v>
      </c>
      <c r="CD10" s="37">
        <v>2750</v>
      </c>
      <c r="CE10" s="37">
        <v>250</v>
      </c>
      <c r="CF10" s="37">
        <v>1200</v>
      </c>
      <c r="CG10" s="37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CH10" s="255">
        <v>48</v>
      </c>
      <c r="CN10" s="23" t="s">
        <v>495</v>
      </c>
      <c r="CO10" s="70">
        <v>390</v>
      </c>
      <c r="CU10" s="87" t="s">
        <v>615</v>
      </c>
      <c r="CV10" s="87">
        <v>809</v>
      </c>
      <c r="DC10" s="54" t="s">
        <v>565</v>
      </c>
      <c r="DD10" s="48" t="s">
        <v>545</v>
      </c>
      <c r="DE10" s="37" t="s">
        <v>508</v>
      </c>
      <c r="DF10" s="65" t="s">
        <v>671</v>
      </c>
      <c r="DG10" s="81">
        <f>VLOOKUP(Ручки[[#This Row],[Категория]],Ценовые_категории_ручек[],2,0)</f>
        <v>257</v>
      </c>
      <c r="DK10" s="62" t="s">
        <v>554</v>
      </c>
      <c r="DL10" s="75">
        <v>800</v>
      </c>
      <c r="DO10" s="77" t="s">
        <v>621</v>
      </c>
      <c r="DP10" s="77" t="s">
        <v>126</v>
      </c>
      <c r="DQ10" s="77" t="s">
        <v>627</v>
      </c>
      <c r="DR10" s="65" t="s">
        <v>631</v>
      </c>
      <c r="DS10" s="83">
        <v>3630</v>
      </c>
      <c r="DV10" s="110"/>
      <c r="DW10" s="108" t="s">
        <v>436</v>
      </c>
      <c r="DX10" s="22" t="s">
        <v>441</v>
      </c>
      <c r="DY10" s="22">
        <v>38</v>
      </c>
      <c r="DZ10" s="22">
        <v>3000</v>
      </c>
      <c r="EA10" s="22">
        <v>1200</v>
      </c>
      <c r="EB10" s="26">
        <v>2536</v>
      </c>
      <c r="EC10" s="26">
        <v>4278</v>
      </c>
      <c r="ED10" s="26">
        <v>6020</v>
      </c>
      <c r="EE10" s="26">
        <f>ROUND(3650/1000/3*Столешницы[[#This Row],[600 х 3000]],0)</f>
        <v>7324</v>
      </c>
    </row>
    <row r="11" spans="2:153" ht="30" customHeight="1" x14ac:dyDescent="0.25">
      <c r="S11" s="22" t="s">
        <v>159</v>
      </c>
      <c r="T11" s="22" t="s">
        <v>142</v>
      </c>
      <c r="U11" s="22">
        <v>1</v>
      </c>
      <c r="V11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4203</v>
      </c>
      <c r="W11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4623</v>
      </c>
      <c r="X11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5045</v>
      </c>
      <c r="Y11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1" s="27">
        <v>124</v>
      </c>
      <c r="AB11" s="20" t="s">
        <v>173</v>
      </c>
      <c r="AC11" s="20" t="s">
        <v>156</v>
      </c>
      <c r="AD11" s="20">
        <v>19</v>
      </c>
      <c r="AE11" s="20">
        <v>16</v>
      </c>
      <c r="AF11" s="106">
        <v>116</v>
      </c>
      <c r="AG11" s="106">
        <v>2550</v>
      </c>
      <c r="AH11" s="106">
        <v>296</v>
      </c>
      <c r="AI11" s="106">
        <v>950</v>
      </c>
      <c r="AJ11" s="20" t="s">
        <v>71</v>
      </c>
      <c r="AK11" s="20" t="s">
        <v>10</v>
      </c>
      <c r="AL11" s="20">
        <v>0</v>
      </c>
      <c r="AN11" s="307" t="s">
        <v>796</v>
      </c>
      <c r="AO11" s="37" t="s">
        <v>521</v>
      </c>
      <c r="AP11" s="37">
        <f>VLOOKUP(Пластики_Acryline[[#This Row],[Ценовая группа]],Цены_по_категориям_Acryline[],2,0)</f>
        <v>8055</v>
      </c>
      <c r="AQ11" s="37">
        <f>VLOOKUP(Пластики_Acryline[[#This Row],[Ценовая группа]],Цены_по_категориям_Acryline[],3,0)</f>
        <v>12765</v>
      </c>
      <c r="AR11" s="37" t="s">
        <v>515</v>
      </c>
      <c r="AS11" s="37" t="s">
        <v>71</v>
      </c>
      <c r="AT11" s="37" t="s">
        <v>10</v>
      </c>
      <c r="AU11" s="37">
        <v>90</v>
      </c>
      <c r="AV11" s="37">
        <v>2750</v>
      </c>
      <c r="AW11" s="37">
        <v>250</v>
      </c>
      <c r="AX11" s="37">
        <v>1200</v>
      </c>
      <c r="AY11" s="37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1" s="284">
        <v>9</v>
      </c>
      <c r="BL11" s="80" t="s">
        <v>657</v>
      </c>
      <c r="BV11" s="258" t="s">
        <v>1264</v>
      </c>
      <c r="BW11" s="36" t="s">
        <v>1255</v>
      </c>
      <c r="BX11" s="37">
        <f>VLOOKUP(Цвета_Softline_Новые_горизонты[[#This Row],[Ценовая группа]],Цены_Softline_Новые_горизонты[],2,0)</f>
        <v>4600</v>
      </c>
      <c r="BY11" s="37">
        <f>VLOOKUP(Цвета_Softline_Новые_горизонты[[#This Row],[Ценовая группа]],Цены_Softline_Новые_горизонты[],3,0)</f>
        <v>10040</v>
      </c>
      <c r="BZ11" s="37" t="s">
        <v>516</v>
      </c>
      <c r="CA11" s="37" t="s">
        <v>10</v>
      </c>
      <c r="CB11" s="37" t="s">
        <v>10</v>
      </c>
      <c r="CC11" s="37">
        <v>90</v>
      </c>
      <c r="CD11" s="37">
        <v>2750</v>
      </c>
      <c r="CE11" s="37">
        <v>250</v>
      </c>
      <c r="CF11" s="37">
        <v>1200</v>
      </c>
      <c r="CG11" s="37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CH11" s="255">
        <v>49</v>
      </c>
      <c r="CU11" s="88" t="s">
        <v>616</v>
      </c>
      <c r="CV11" s="88">
        <v>2100</v>
      </c>
      <c r="DC11" s="56" t="s">
        <v>586</v>
      </c>
      <c r="DD11" s="48" t="s">
        <v>545</v>
      </c>
      <c r="DE11" s="56" t="s">
        <v>548</v>
      </c>
      <c r="DF11" s="65" t="s">
        <v>678</v>
      </c>
      <c r="DG11" s="81">
        <f>VLOOKUP(Ручки[[#This Row],[Категория]],Ценовые_категории_ручек[],2,0)</f>
        <v>625</v>
      </c>
      <c r="DK11" s="93" t="s">
        <v>474</v>
      </c>
      <c r="DL11" s="94">
        <v>770</v>
      </c>
      <c r="DO11" s="77" t="s">
        <v>622</v>
      </c>
      <c r="DP11" s="77" t="s">
        <v>126</v>
      </c>
      <c r="DQ11" s="77" t="s">
        <v>637</v>
      </c>
      <c r="DR11" s="65" t="s">
        <v>632</v>
      </c>
      <c r="DS11" s="84">
        <v>4536</v>
      </c>
      <c r="DV11" s="110"/>
      <c r="DW11" s="108" t="s">
        <v>437</v>
      </c>
      <c r="DX11" s="22" t="s">
        <v>441</v>
      </c>
      <c r="DY11" s="22">
        <v>38</v>
      </c>
      <c r="DZ11" s="22">
        <v>3000</v>
      </c>
      <c r="EA11" s="22">
        <v>1200</v>
      </c>
      <c r="EB11" s="26">
        <v>2536</v>
      </c>
      <c r="EC11" s="26">
        <v>4278</v>
      </c>
      <c r="ED11" s="26">
        <v>6020</v>
      </c>
      <c r="EE11" s="26">
        <f>ROUND(3650/1000/3*Столешницы[[#This Row],[600 х 3000]],0)</f>
        <v>7324</v>
      </c>
    </row>
    <row r="12" spans="2:153" ht="30" customHeight="1" x14ac:dyDescent="0.25">
      <c r="S12" s="22" t="s">
        <v>161</v>
      </c>
      <c r="T12" s="22" t="s">
        <v>142</v>
      </c>
      <c r="U12" s="22">
        <v>1</v>
      </c>
      <c r="V12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4203</v>
      </c>
      <c r="W12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4623</v>
      </c>
      <c r="X12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5045</v>
      </c>
      <c r="Y12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2" s="27">
        <v>125</v>
      </c>
      <c r="AB12" s="20" t="s">
        <v>175</v>
      </c>
      <c r="AC12" s="20" t="s">
        <v>156</v>
      </c>
      <c r="AD12" s="20">
        <v>19</v>
      </c>
      <c r="AE12" s="20">
        <v>0</v>
      </c>
      <c r="AF12" s="106">
        <v>250</v>
      </c>
      <c r="AG12" s="106">
        <v>2550</v>
      </c>
      <c r="AH12" s="106">
        <v>250</v>
      </c>
      <c r="AI12" s="106">
        <v>950</v>
      </c>
      <c r="AJ12" s="20" t="s">
        <v>71</v>
      </c>
      <c r="AK12" s="20" t="s">
        <v>71</v>
      </c>
      <c r="AL12" s="20">
        <v>0</v>
      </c>
      <c r="AN12" s="307" t="s">
        <v>798</v>
      </c>
      <c r="AO12" s="37" t="s">
        <v>521</v>
      </c>
      <c r="AP12" s="37">
        <f>VLOOKUP(Пластики_Acryline[[#This Row],[Ценовая группа]],Цены_по_категориям_Acryline[],2,0)</f>
        <v>8055</v>
      </c>
      <c r="AQ12" s="37">
        <f>VLOOKUP(Пластики_Acryline[[#This Row],[Ценовая группа]],Цены_по_категориям_Acryline[],3,0)</f>
        <v>12765</v>
      </c>
      <c r="AR12" s="37" t="s">
        <v>515</v>
      </c>
      <c r="AS12" s="37" t="s">
        <v>10</v>
      </c>
      <c r="AT12" s="37" t="s">
        <v>10</v>
      </c>
      <c r="AU12" s="37">
        <v>90</v>
      </c>
      <c r="AV12" s="37">
        <v>2750</v>
      </c>
      <c r="AW12" s="37">
        <v>250</v>
      </c>
      <c r="AX12" s="37">
        <v>1200</v>
      </c>
      <c r="AY12" s="37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2" s="284">
        <v>12</v>
      </c>
      <c r="BL12" s="40" t="s">
        <v>658</v>
      </c>
      <c r="BV12" s="259" t="s">
        <v>1265</v>
      </c>
      <c r="BW12" s="36" t="s">
        <v>1255</v>
      </c>
      <c r="BX12" s="37">
        <f>VLOOKUP(Цвета_Softline_Новые_горизонты[[#This Row],[Ценовая группа]],Цены_Softline_Новые_горизонты[],2,0)</f>
        <v>4600</v>
      </c>
      <c r="BY12" s="37">
        <f>VLOOKUP(Цвета_Softline_Новые_горизонты[[#This Row],[Ценовая группа]],Цены_Softline_Новые_горизонты[],3,0)</f>
        <v>10040</v>
      </c>
      <c r="BZ12" s="37" t="s">
        <v>516</v>
      </c>
      <c r="CA12" s="37" t="s">
        <v>10</v>
      </c>
      <c r="CB12" s="37" t="s">
        <v>10</v>
      </c>
      <c r="CC12" s="37">
        <v>90</v>
      </c>
      <c r="CD12" s="37">
        <v>2750</v>
      </c>
      <c r="CE12" s="37">
        <v>250</v>
      </c>
      <c r="CF12" s="37">
        <v>1200</v>
      </c>
      <c r="CG12" s="37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CH12" s="255">
        <v>50</v>
      </c>
      <c r="CU12" s="87" t="s">
        <v>617</v>
      </c>
      <c r="CV12" s="87">
        <v>350</v>
      </c>
      <c r="DC12" s="54" t="s">
        <v>560</v>
      </c>
      <c r="DD12" s="48" t="s">
        <v>545</v>
      </c>
      <c r="DE12" s="37" t="s">
        <v>508</v>
      </c>
      <c r="DF12" s="65" t="s">
        <v>665</v>
      </c>
      <c r="DG12" s="81">
        <f>VLOOKUP(Ручки[[#This Row],[Категория]],Ценовые_категории_ручек[],2,0)</f>
        <v>257</v>
      </c>
      <c r="DK12" s="60"/>
      <c r="DL12" s="61"/>
      <c r="DM12" s="61"/>
      <c r="DV12" s="110"/>
      <c r="DW12" s="108" t="s">
        <v>438</v>
      </c>
      <c r="DX12" s="22" t="s">
        <v>441</v>
      </c>
      <c r="DY12" s="22">
        <v>38</v>
      </c>
      <c r="DZ12" s="22">
        <v>3000</v>
      </c>
      <c r="EA12" s="22">
        <v>1200</v>
      </c>
      <c r="EB12" s="26">
        <v>2536</v>
      </c>
      <c r="EC12" s="26">
        <v>4278</v>
      </c>
      <c r="ED12" s="26">
        <v>6020</v>
      </c>
      <c r="EE12" s="26">
        <f>ROUND(3650/1000/3*Столешницы[[#This Row],[600 х 3000]],0)</f>
        <v>7324</v>
      </c>
    </row>
    <row r="13" spans="2:153" ht="30" customHeight="1" x14ac:dyDescent="0.25">
      <c r="B13" s="22" t="s">
        <v>108</v>
      </c>
      <c r="E13" s="22" t="s">
        <v>107</v>
      </c>
      <c r="H13" s="22" t="s">
        <v>106</v>
      </c>
      <c r="S13" s="22" t="s">
        <v>163</v>
      </c>
      <c r="T13" s="22" t="s">
        <v>143</v>
      </c>
      <c r="U13" s="22">
        <v>2</v>
      </c>
      <c r="V13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5764</v>
      </c>
      <c r="W13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6340</v>
      </c>
      <c r="X13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6916</v>
      </c>
      <c r="Y13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3" s="27">
        <v>127</v>
      </c>
      <c r="AB13" s="20" t="s">
        <v>177</v>
      </c>
      <c r="AC13" s="20" t="s">
        <v>156</v>
      </c>
      <c r="AD13" s="20">
        <v>0</v>
      </c>
      <c r="AE13" s="20">
        <v>16</v>
      </c>
      <c r="AF13" s="106">
        <v>115</v>
      </c>
      <c r="AG13" s="106">
        <v>2400</v>
      </c>
      <c r="AH13" s="106">
        <v>205</v>
      </c>
      <c r="AI13" s="106">
        <v>950</v>
      </c>
      <c r="AJ13" s="20" t="s">
        <v>71</v>
      </c>
      <c r="AK13" s="20" t="s">
        <v>71</v>
      </c>
      <c r="AL13" s="20">
        <v>0</v>
      </c>
      <c r="AN13" s="307" t="s">
        <v>797</v>
      </c>
      <c r="AO13" s="37" t="s">
        <v>508</v>
      </c>
      <c r="AP13" s="37">
        <f>VLOOKUP(Пластики_Acryline[[#This Row],[Ценовая группа]],Цены_по_категориям_Acryline[],2,0)</f>
        <v>5044</v>
      </c>
      <c r="AQ13" s="37">
        <f>VLOOKUP(Пластики_Acryline[[#This Row],[Ценовая группа]],Цены_по_категориям_Acryline[],3,0)</f>
        <v>0</v>
      </c>
      <c r="AR13" s="37" t="s">
        <v>515</v>
      </c>
      <c r="AS13" s="37" t="s">
        <v>71</v>
      </c>
      <c r="AT13" s="37" t="s">
        <v>10</v>
      </c>
      <c r="AU13" s="37">
        <v>90</v>
      </c>
      <c r="AV13" s="37">
        <v>2750</v>
      </c>
      <c r="AW13" s="37">
        <v>250</v>
      </c>
      <c r="AX13" s="37">
        <v>1200</v>
      </c>
      <c r="AY13" s="37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3" s="20">
        <v>12</v>
      </c>
      <c r="BL13" s="38" t="s">
        <v>659</v>
      </c>
      <c r="BV13" s="258" t="s">
        <v>1266</v>
      </c>
      <c r="BW13" s="36" t="s">
        <v>1255</v>
      </c>
      <c r="BX13" s="37">
        <f>VLOOKUP(Цвета_Softline_Новые_горизонты[[#This Row],[Ценовая группа]],Цены_Softline_Новые_горизонты[],2,0)</f>
        <v>4600</v>
      </c>
      <c r="BY13" s="37">
        <f>VLOOKUP(Цвета_Softline_Новые_горизонты[[#This Row],[Ценовая группа]],Цены_Softline_Новые_горизонты[],3,0)</f>
        <v>10040</v>
      </c>
      <c r="BZ13" s="37" t="s">
        <v>516</v>
      </c>
      <c r="CA13" s="37" t="s">
        <v>10</v>
      </c>
      <c r="CB13" s="37" t="s">
        <v>10</v>
      </c>
      <c r="CC13" s="37">
        <v>90</v>
      </c>
      <c r="CD13" s="37">
        <v>2750</v>
      </c>
      <c r="CE13" s="37">
        <v>250</v>
      </c>
      <c r="CF13" s="37">
        <v>1200</v>
      </c>
      <c r="CG13" s="37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CH13" s="20">
        <v>52</v>
      </c>
      <c r="CU13" s="88" t="s">
        <v>618</v>
      </c>
      <c r="CV13" s="88">
        <v>450</v>
      </c>
      <c r="DC13" s="54" t="s">
        <v>573</v>
      </c>
      <c r="DD13" s="48" t="s">
        <v>546</v>
      </c>
      <c r="DE13" s="37" t="s">
        <v>508</v>
      </c>
      <c r="DF13" s="65" t="s">
        <v>672</v>
      </c>
      <c r="DG13" s="81">
        <f>VLOOKUP(Ручки[[#This Row],[Категория]],Ценовые_категории_ручек[],2,0)</f>
        <v>257</v>
      </c>
      <c r="DK13" s="60"/>
      <c r="DL13" s="61"/>
      <c r="DM13" s="61"/>
      <c r="DU13" s="111"/>
      <c r="DV13" s="110"/>
      <c r="DW13" s="108" t="s">
        <v>440</v>
      </c>
      <c r="DX13" s="22" t="s">
        <v>441</v>
      </c>
      <c r="DY13" s="22">
        <v>38</v>
      </c>
      <c r="DZ13" s="22">
        <v>3600</v>
      </c>
      <c r="EA13" s="22">
        <v>1200</v>
      </c>
      <c r="EB13" s="26">
        <v>2536</v>
      </c>
      <c r="EC13" s="26">
        <v>4278</v>
      </c>
      <c r="ED13" s="26">
        <v>6020</v>
      </c>
      <c r="EE13" s="26">
        <f>ROUND(3650/1000/3*Столешницы[[#This Row],[600 х 3000]],0)</f>
        <v>7324</v>
      </c>
    </row>
    <row r="14" spans="2:153" ht="30" customHeight="1" x14ac:dyDescent="0.25">
      <c r="S14" s="22" t="s">
        <v>165</v>
      </c>
      <c r="T14" s="22" t="s">
        <v>142</v>
      </c>
      <c r="U14" s="22">
        <v>1</v>
      </c>
      <c r="V14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4203</v>
      </c>
      <c r="W14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4623</v>
      </c>
      <c r="X14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5045</v>
      </c>
      <c r="Y14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4" s="27">
        <v>165</v>
      </c>
      <c r="AB14" s="20" t="s">
        <v>533</v>
      </c>
      <c r="AC14" s="20" t="s">
        <v>156</v>
      </c>
      <c r="AD14" s="20">
        <v>19</v>
      </c>
      <c r="AE14" s="20">
        <v>16</v>
      </c>
      <c r="AF14" s="106">
        <v>135</v>
      </c>
      <c r="AG14" s="106">
        <v>2550</v>
      </c>
      <c r="AH14" s="106">
        <v>284</v>
      </c>
      <c r="AI14" s="106">
        <v>950</v>
      </c>
      <c r="AJ14" s="20" t="s">
        <v>71</v>
      </c>
      <c r="AK14" s="20" t="s">
        <v>71</v>
      </c>
      <c r="AL14" s="20">
        <v>0</v>
      </c>
      <c r="AN14" s="307" t="s">
        <v>1303</v>
      </c>
      <c r="AO14" s="37" t="s">
        <v>512</v>
      </c>
      <c r="AP14" s="37">
        <f>VLOOKUP(Пластики_Acryline[[#This Row],[Ценовая группа]],Цены_по_категориям_Acryline[],2,0)</f>
        <v>8520</v>
      </c>
      <c r="AQ14" s="37">
        <f>VLOOKUP(Пластики_Acryline[[#This Row],[Ценовая группа]],Цены_по_категориям_Acryline[],3,0)</f>
        <v>13501</v>
      </c>
      <c r="AR14" s="37" t="s">
        <v>516</v>
      </c>
      <c r="AS14" s="37" t="s">
        <v>71</v>
      </c>
      <c r="AT14" s="37" t="s">
        <v>10</v>
      </c>
      <c r="AU14" s="37">
        <v>90</v>
      </c>
      <c r="AV14" s="37">
        <v>2750</v>
      </c>
      <c r="AW14" s="37">
        <v>250</v>
      </c>
      <c r="AX14" s="37">
        <v>1200</v>
      </c>
      <c r="AY14" s="37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4" s="284">
        <v>14</v>
      </c>
      <c r="BV14" s="258" t="s">
        <v>1267</v>
      </c>
      <c r="BW14" s="36" t="s">
        <v>1255</v>
      </c>
      <c r="BX14" s="37">
        <f>VLOOKUP(Цвета_Softline_Новые_горизонты[[#This Row],[Ценовая группа]],Цены_Softline_Новые_горизонты[],2,0)</f>
        <v>4600</v>
      </c>
      <c r="BY14" s="37">
        <f>VLOOKUP(Цвета_Softline_Новые_горизонты[[#This Row],[Ценовая группа]],Цены_Softline_Новые_горизонты[],3,0)</f>
        <v>10040</v>
      </c>
      <c r="BZ14" s="37" t="s">
        <v>516</v>
      </c>
      <c r="CA14" s="37" t="s">
        <v>10</v>
      </c>
      <c r="CB14" s="37" t="s">
        <v>10</v>
      </c>
      <c r="CC14" s="37">
        <v>90</v>
      </c>
      <c r="CD14" s="37">
        <v>2750</v>
      </c>
      <c r="CE14" s="37">
        <v>250</v>
      </c>
      <c r="CF14" s="37">
        <v>1200</v>
      </c>
      <c r="CG14" s="37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CH14" s="255">
        <v>52</v>
      </c>
      <c r="DC14" s="54" t="s">
        <v>572</v>
      </c>
      <c r="DD14" s="48" t="s">
        <v>546</v>
      </c>
      <c r="DE14" s="37" t="s">
        <v>508</v>
      </c>
      <c r="DF14" s="65" t="s">
        <v>672</v>
      </c>
      <c r="DG14" s="81">
        <f>VLOOKUP(Ручки[[#This Row],[Категория]],Ценовые_категории_ручек[],2,0)</f>
        <v>257</v>
      </c>
      <c r="DU14" s="110"/>
      <c r="DV14" s="110"/>
      <c r="DW14" s="22" t="s">
        <v>432</v>
      </c>
      <c r="DX14" s="22" t="s">
        <v>441</v>
      </c>
      <c r="DY14" s="22">
        <v>15</v>
      </c>
      <c r="DZ14" s="22">
        <v>3600</v>
      </c>
      <c r="EA14" s="22">
        <v>1200</v>
      </c>
      <c r="EB14" s="26">
        <v>1268</v>
      </c>
      <c r="EC14" s="26">
        <v>2139</v>
      </c>
      <c r="ED14" s="26">
        <v>3010</v>
      </c>
      <c r="EE14" s="26">
        <f>ROUND(3650/1000/3*Столешницы[[#This Row],[600 х 3000]],0)</f>
        <v>3662</v>
      </c>
    </row>
    <row r="15" spans="2:153" ht="30" customHeight="1" x14ac:dyDescent="0.25">
      <c r="S15" s="22" t="s">
        <v>167</v>
      </c>
      <c r="T15" s="22" t="s">
        <v>143</v>
      </c>
      <c r="U15" s="22">
        <v>1</v>
      </c>
      <c r="V15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5096</v>
      </c>
      <c r="W15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5602</v>
      </c>
      <c r="X15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6115</v>
      </c>
      <c r="Y15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5" s="27">
        <v>168</v>
      </c>
      <c r="AB15" s="20" t="s">
        <v>180</v>
      </c>
      <c r="AC15" s="20" t="s">
        <v>156</v>
      </c>
      <c r="AD15" s="20">
        <v>19</v>
      </c>
      <c r="AE15" s="20">
        <v>0</v>
      </c>
      <c r="AF15" s="106">
        <v>235</v>
      </c>
      <c r="AG15" s="106">
        <v>2550</v>
      </c>
      <c r="AH15" s="106">
        <v>290</v>
      </c>
      <c r="AI15" s="106">
        <v>950</v>
      </c>
      <c r="AJ15" s="20" t="s">
        <v>71</v>
      </c>
      <c r="AK15" s="20" t="s">
        <v>10</v>
      </c>
      <c r="AL15" s="20">
        <v>0</v>
      </c>
      <c r="AN15" s="307" t="s">
        <v>800</v>
      </c>
      <c r="AO15" s="37" t="s">
        <v>521</v>
      </c>
      <c r="AP15" s="37">
        <f>VLOOKUP(Пластики_Acryline[[#This Row],[Ценовая группа]],Цены_по_категориям_Acryline[],2,0)</f>
        <v>8055</v>
      </c>
      <c r="AQ15" s="37">
        <f>VLOOKUP(Пластики_Acryline[[#This Row],[Ценовая группа]],Цены_по_категориям_Acryline[],3,0)</f>
        <v>12765</v>
      </c>
      <c r="AR15" s="37" t="s">
        <v>515</v>
      </c>
      <c r="AS15" s="37" t="s">
        <v>71</v>
      </c>
      <c r="AT15" s="37" t="s">
        <v>10</v>
      </c>
      <c r="AU15" s="37">
        <v>90</v>
      </c>
      <c r="AV15" s="37">
        <v>2750</v>
      </c>
      <c r="AW15" s="37">
        <v>250</v>
      </c>
      <c r="AX15" s="37">
        <v>1200</v>
      </c>
      <c r="AY15" s="37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5" s="230">
        <v>14</v>
      </c>
      <c r="DC15" s="54" t="s">
        <v>571</v>
      </c>
      <c r="DD15" s="48" t="s">
        <v>546</v>
      </c>
      <c r="DE15" s="37" t="s">
        <v>508</v>
      </c>
      <c r="DF15" s="65" t="s">
        <v>672</v>
      </c>
      <c r="DG15" s="81">
        <f>VLOOKUP(Ручки[[#This Row],[Категория]],Ценовые_категории_ручек[],2,0)</f>
        <v>257</v>
      </c>
      <c r="DU15" s="76"/>
      <c r="DW15" s="22" t="s">
        <v>444</v>
      </c>
      <c r="DX15" s="22" t="s">
        <v>441</v>
      </c>
      <c r="DY15" s="22">
        <v>15</v>
      </c>
      <c r="DZ15" s="22">
        <v>3600</v>
      </c>
      <c r="EA15" s="22">
        <v>1200</v>
      </c>
      <c r="EB15" s="26">
        <v>1268</v>
      </c>
      <c r="EC15" s="26">
        <v>2139</v>
      </c>
      <c r="ED15" s="26">
        <v>3010</v>
      </c>
      <c r="EE15" s="26">
        <f>ROUND(3650/1000/3*Столешницы[[#This Row],[600 х 3000]],0)</f>
        <v>3662</v>
      </c>
    </row>
    <row r="16" spans="2:153" ht="30" customHeight="1" x14ac:dyDescent="0.25">
      <c r="S16" s="22" t="s">
        <v>169</v>
      </c>
      <c r="T16" s="22" t="s">
        <v>143</v>
      </c>
      <c r="U16" s="22">
        <v>4</v>
      </c>
      <c r="V16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7620</v>
      </c>
      <c r="W16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8382</v>
      </c>
      <c r="X16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9145</v>
      </c>
      <c r="Y16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6" s="27">
        <v>169</v>
      </c>
      <c r="AB16" s="20" t="s">
        <v>182</v>
      </c>
      <c r="AC16" s="20" t="s">
        <v>158</v>
      </c>
      <c r="AD16" s="20">
        <v>19</v>
      </c>
      <c r="AE16" s="20">
        <v>16</v>
      </c>
      <c r="AF16" s="106">
        <v>135</v>
      </c>
      <c r="AG16" s="106">
        <v>2550</v>
      </c>
      <c r="AH16" s="106">
        <v>240</v>
      </c>
      <c r="AI16" s="106">
        <v>950</v>
      </c>
      <c r="AJ16" s="20" t="s">
        <v>71</v>
      </c>
      <c r="AK16" s="20" t="s">
        <v>10</v>
      </c>
      <c r="AL16" s="20">
        <v>0</v>
      </c>
      <c r="AN16" s="307" t="s">
        <v>799</v>
      </c>
      <c r="AO16" s="37" t="s">
        <v>509</v>
      </c>
      <c r="AP16" s="37">
        <f>VLOOKUP(Пластики_Acryline[[#This Row],[Ценовая группа]],Цены_по_категориям_Acryline[],2,0)</f>
        <v>6040</v>
      </c>
      <c r="AQ16" s="37">
        <f>VLOOKUP(Пластики_Acryline[[#This Row],[Ценовая группа]],Цены_по_категориям_Acryline[],3,0)</f>
        <v>9574</v>
      </c>
      <c r="AR16" s="37" t="s">
        <v>515</v>
      </c>
      <c r="AS16" s="37" t="s">
        <v>71</v>
      </c>
      <c r="AT16" s="37" t="s">
        <v>10</v>
      </c>
      <c r="AU16" s="37">
        <v>90</v>
      </c>
      <c r="AV16" s="37">
        <v>2750</v>
      </c>
      <c r="AW16" s="37">
        <v>250</v>
      </c>
      <c r="AX16" s="37">
        <v>1200</v>
      </c>
      <c r="AY16" s="37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6" s="20">
        <v>14</v>
      </c>
      <c r="CR16" s="90"/>
      <c r="CS16" s="91"/>
      <c r="DC16" s="54" t="s">
        <v>575</v>
      </c>
      <c r="DD16" s="48" t="s">
        <v>538</v>
      </c>
      <c r="DE16" s="54" t="s">
        <v>547</v>
      </c>
      <c r="DF16" s="65" t="s">
        <v>673</v>
      </c>
      <c r="DG16" s="81">
        <f>VLOOKUP(Ручки[[#This Row],[Категория]],Ценовые_категории_ручек[],2,0)</f>
        <v>450</v>
      </c>
      <c r="DW16" s="22" t="s">
        <v>445</v>
      </c>
      <c r="DX16" s="22" t="s">
        <v>441</v>
      </c>
      <c r="DY16" s="22">
        <v>15</v>
      </c>
      <c r="DZ16" s="22">
        <v>3600</v>
      </c>
      <c r="EA16" s="22">
        <v>1200</v>
      </c>
      <c r="EB16" s="26">
        <v>1268</v>
      </c>
      <c r="EC16" s="26">
        <v>2139</v>
      </c>
      <c r="ED16" s="26">
        <v>3010</v>
      </c>
      <c r="EE16" s="26">
        <f>ROUND(3650/1000/3*Столешницы[[#This Row],[600 х 3000]],0)</f>
        <v>3662</v>
      </c>
    </row>
    <row r="17" spans="1:135" ht="30" customHeight="1" x14ac:dyDescent="0.25">
      <c r="S17" s="22" t="s">
        <v>172</v>
      </c>
      <c r="T17" s="22" t="s">
        <v>143</v>
      </c>
      <c r="U17" s="22">
        <v>1</v>
      </c>
      <c r="V17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5096</v>
      </c>
      <c r="W17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5602</v>
      </c>
      <c r="X17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6115</v>
      </c>
      <c r="Y17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7" s="27">
        <v>182</v>
      </c>
      <c r="AB17" s="20" t="s">
        <v>184</v>
      </c>
      <c r="AC17" s="20" t="s">
        <v>158</v>
      </c>
      <c r="AD17" s="20">
        <v>19</v>
      </c>
      <c r="AE17" s="20">
        <v>16</v>
      </c>
      <c r="AF17" s="106">
        <v>135</v>
      </c>
      <c r="AG17" s="106">
        <v>2550</v>
      </c>
      <c r="AH17" s="106">
        <v>240</v>
      </c>
      <c r="AI17" s="106">
        <v>950</v>
      </c>
      <c r="AJ17" s="20" t="s">
        <v>71</v>
      </c>
      <c r="AK17" s="20" t="s">
        <v>71</v>
      </c>
      <c r="AL17" s="20">
        <v>0</v>
      </c>
      <c r="AN17" s="307" t="s">
        <v>801</v>
      </c>
      <c r="AO17" s="37" t="s">
        <v>509</v>
      </c>
      <c r="AP17" s="37">
        <f>VLOOKUP(Пластики_Acryline[[#This Row],[Ценовая группа]],Цены_по_категориям_Acryline[],2,0)</f>
        <v>6040</v>
      </c>
      <c r="AQ17" s="37">
        <f>VLOOKUP(Пластики_Acryline[[#This Row],[Ценовая группа]],Цены_по_категориям_Acryline[],3,0)</f>
        <v>9574</v>
      </c>
      <c r="AR17" s="37" t="s">
        <v>515</v>
      </c>
      <c r="AS17" s="37" t="s">
        <v>71</v>
      </c>
      <c r="AT17" s="37" t="s">
        <v>10</v>
      </c>
      <c r="AU17" s="37">
        <v>90</v>
      </c>
      <c r="AV17" s="37">
        <v>2750</v>
      </c>
      <c r="AW17" s="37">
        <v>250</v>
      </c>
      <c r="AX17" s="37">
        <v>1200</v>
      </c>
      <c r="AY17" s="37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7" s="20">
        <v>26</v>
      </c>
      <c r="DC17" s="37" t="s">
        <v>563</v>
      </c>
      <c r="DD17" s="48" t="s">
        <v>545</v>
      </c>
      <c r="DE17" s="37" t="s">
        <v>508</v>
      </c>
      <c r="DF17" s="65" t="s">
        <v>669</v>
      </c>
      <c r="DG17" s="81">
        <f>VLOOKUP(Ручки[[#This Row],[Категория]],Ценовые_категории_ручек[],2,0)</f>
        <v>257</v>
      </c>
      <c r="DJ17" s="51"/>
      <c r="DK17" s="37"/>
      <c r="DW17" s="22" t="s">
        <v>436</v>
      </c>
      <c r="DX17" s="22" t="s">
        <v>441</v>
      </c>
      <c r="DY17" s="22">
        <v>15</v>
      </c>
      <c r="DZ17" s="22">
        <v>3600</v>
      </c>
      <c r="EA17" s="22">
        <v>1200</v>
      </c>
      <c r="EB17" s="26">
        <v>1268</v>
      </c>
      <c r="EC17" s="26">
        <v>2139</v>
      </c>
      <c r="ED17" s="26">
        <v>3010</v>
      </c>
      <c r="EE17" s="26">
        <f>ROUND(3650/1000/3*Столешницы[[#This Row],[600 х 3000]],0)</f>
        <v>3662</v>
      </c>
    </row>
    <row r="18" spans="1:135" ht="30" customHeight="1" x14ac:dyDescent="0.25">
      <c r="A18" s="22" t="s">
        <v>87</v>
      </c>
      <c r="S18" s="22" t="s">
        <v>174</v>
      </c>
      <c r="T18" s="22" t="s">
        <v>143</v>
      </c>
      <c r="U18" s="22">
        <v>1</v>
      </c>
      <c r="V18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5096</v>
      </c>
      <c r="W18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5602</v>
      </c>
      <c r="X18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6115</v>
      </c>
      <c r="Y18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8" s="27">
        <v>185</v>
      </c>
      <c r="AB18" s="20" t="s">
        <v>187</v>
      </c>
      <c r="AC18" s="20" t="s">
        <v>158</v>
      </c>
      <c r="AD18" s="20">
        <v>19</v>
      </c>
      <c r="AE18" s="20">
        <v>16</v>
      </c>
      <c r="AF18" s="106">
        <v>135</v>
      </c>
      <c r="AG18" s="106">
        <v>2550</v>
      </c>
      <c r="AH18" s="106">
        <v>240</v>
      </c>
      <c r="AI18" s="106">
        <v>950</v>
      </c>
      <c r="AJ18" s="20" t="s">
        <v>71</v>
      </c>
      <c r="AK18" s="20" t="s">
        <v>71</v>
      </c>
      <c r="AL18" s="20">
        <v>0</v>
      </c>
      <c r="AN18" s="309" t="s">
        <v>1236</v>
      </c>
      <c r="AO18" s="37" t="s">
        <v>512</v>
      </c>
      <c r="AP18" s="249">
        <f>VLOOKUP(Пластики_Acryline[[#This Row],[Ценовая группа]],Цены_по_категориям_Acryline[],2,0)</f>
        <v>8520</v>
      </c>
      <c r="AQ18" s="249">
        <f>VLOOKUP(Пластики_Acryline[[#This Row],[Ценовая группа]],Цены_по_категориям_Acryline[],3,0)</f>
        <v>13501</v>
      </c>
      <c r="AR18" s="37" t="s">
        <v>516</v>
      </c>
      <c r="AS18" s="37" t="s">
        <v>71</v>
      </c>
      <c r="AT18" s="251" t="s">
        <v>10</v>
      </c>
      <c r="AU18" s="251">
        <v>90</v>
      </c>
      <c r="AV18" s="251">
        <v>2750</v>
      </c>
      <c r="AW18" s="251">
        <v>250</v>
      </c>
      <c r="AX18" s="251">
        <v>1200</v>
      </c>
      <c r="AY18" s="249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8" s="250">
        <v>27</v>
      </c>
      <c r="DC18" s="56" t="s">
        <v>584</v>
      </c>
      <c r="DD18" s="48" t="s">
        <v>545</v>
      </c>
      <c r="DE18" s="56" t="s">
        <v>548</v>
      </c>
      <c r="DF18" s="65" t="s">
        <v>677</v>
      </c>
      <c r="DG18" s="81">
        <f>VLOOKUP(Ручки[[#This Row],[Категория]],Ценовые_категории_ручек[],2,0)</f>
        <v>625</v>
      </c>
      <c r="DJ18" s="51"/>
      <c r="DK18" s="37"/>
      <c r="DW18" s="22" t="s">
        <v>446</v>
      </c>
      <c r="DX18" s="22" t="s">
        <v>441</v>
      </c>
      <c r="DY18" s="22">
        <v>15</v>
      </c>
      <c r="DZ18" s="22">
        <v>3600</v>
      </c>
      <c r="EA18" s="22">
        <v>1200</v>
      </c>
      <c r="EB18" s="26">
        <v>1268</v>
      </c>
      <c r="EC18" s="26">
        <v>2139</v>
      </c>
      <c r="ED18" s="26">
        <v>3010</v>
      </c>
      <c r="EE18" s="26">
        <f>ROUND(3650/1000/3*Столешницы[[#This Row],[600 х 3000]],0)</f>
        <v>3662</v>
      </c>
    </row>
    <row r="19" spans="1:135" ht="30" customHeight="1" x14ac:dyDescent="0.25">
      <c r="A19" s="22" t="s">
        <v>347</v>
      </c>
      <c r="B19" s="22" t="s">
        <v>414</v>
      </c>
      <c r="S19" s="22" t="s">
        <v>176</v>
      </c>
      <c r="T19" s="22" t="s">
        <v>142</v>
      </c>
      <c r="U19" s="22">
        <v>1</v>
      </c>
      <c r="V19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4203</v>
      </c>
      <c r="W19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4623</v>
      </c>
      <c r="X19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5045</v>
      </c>
      <c r="Y19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9" s="27">
        <v>186</v>
      </c>
      <c r="AB19" s="256" t="s">
        <v>1271</v>
      </c>
      <c r="AC19" s="256" t="s">
        <v>158</v>
      </c>
      <c r="AD19" s="256">
        <v>19</v>
      </c>
      <c r="AE19" s="256">
        <v>16</v>
      </c>
      <c r="AF19" s="257">
        <v>135</v>
      </c>
      <c r="AG19" s="257">
        <v>2550</v>
      </c>
      <c r="AH19" s="257">
        <v>135</v>
      </c>
      <c r="AI19" s="257">
        <v>950</v>
      </c>
      <c r="AJ19" s="256" t="s">
        <v>71</v>
      </c>
      <c r="AK19" s="256" t="s">
        <v>71</v>
      </c>
      <c r="AL19" s="257">
        <v>0</v>
      </c>
      <c r="AN19" s="307" t="s">
        <v>1272</v>
      </c>
      <c r="AO19" s="37" t="s">
        <v>1273</v>
      </c>
      <c r="AP19" s="37">
        <f>VLOOKUP(Пластики_Acryline[[#This Row],[Ценовая группа]],Цены_по_категориям_Acryline[],2,0)</f>
        <v>10224</v>
      </c>
      <c r="AQ19" s="37">
        <f>VLOOKUP(Пластики_Acryline[[#This Row],[Ценовая группа]],Цены_по_категориям_Acryline[],3,0)</f>
        <v>16201.199999999999</v>
      </c>
      <c r="AR19" s="37" t="s">
        <v>515</v>
      </c>
      <c r="AS19" s="37" t="s">
        <v>71</v>
      </c>
      <c r="AT19" s="37" t="s">
        <v>10</v>
      </c>
      <c r="AU19" s="37">
        <v>90</v>
      </c>
      <c r="AV19" s="37">
        <v>2750</v>
      </c>
      <c r="AW19" s="37">
        <v>250</v>
      </c>
      <c r="AX19" s="37">
        <v>1200</v>
      </c>
      <c r="AY19" s="37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9" s="284">
        <v>27</v>
      </c>
      <c r="DC19" s="56" t="s">
        <v>577</v>
      </c>
      <c r="DD19" s="48" t="s">
        <v>545</v>
      </c>
      <c r="DE19" s="54" t="s">
        <v>547</v>
      </c>
      <c r="DF19" s="65" t="s">
        <v>662</v>
      </c>
      <c r="DG19" s="81">
        <f>VLOOKUP(Ручки[[#This Row],[Категория]],Ценовые_категории_ручек[],2,0)</f>
        <v>450</v>
      </c>
      <c r="DJ19" s="51"/>
      <c r="DK19" s="37"/>
      <c r="DW19" s="22" t="s">
        <v>447</v>
      </c>
      <c r="DX19" s="22" t="s">
        <v>441</v>
      </c>
      <c r="DY19" s="22">
        <v>15</v>
      </c>
      <c r="DZ19" s="22">
        <v>3600</v>
      </c>
      <c r="EA19" s="22">
        <v>1200</v>
      </c>
      <c r="EB19" s="26">
        <v>1268</v>
      </c>
      <c r="EC19" s="26">
        <v>2139</v>
      </c>
      <c r="ED19" s="26">
        <v>3010</v>
      </c>
      <c r="EE19" s="26">
        <f>ROUND(3650/1000/3*Столешницы[[#This Row],[600 х 3000]],0)</f>
        <v>3662</v>
      </c>
    </row>
    <row r="20" spans="1:135" ht="30" customHeight="1" x14ac:dyDescent="0.25">
      <c r="A20" s="22" t="s">
        <v>415</v>
      </c>
      <c r="B20" s="81">
        <v>2185</v>
      </c>
      <c r="S20" s="22" t="s">
        <v>178</v>
      </c>
      <c r="T20" s="22" t="s">
        <v>143</v>
      </c>
      <c r="U20" s="22">
        <v>1</v>
      </c>
      <c r="V20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5096</v>
      </c>
      <c r="W20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5602</v>
      </c>
      <c r="X20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6115</v>
      </c>
      <c r="Y20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0" s="27">
        <v>192</v>
      </c>
      <c r="AB20" s="20" t="s">
        <v>189</v>
      </c>
      <c r="AC20" s="20" t="s">
        <v>158</v>
      </c>
      <c r="AD20" s="20">
        <v>19</v>
      </c>
      <c r="AE20" s="20">
        <v>16</v>
      </c>
      <c r="AF20" s="106">
        <v>140</v>
      </c>
      <c r="AG20" s="106">
        <v>2550</v>
      </c>
      <c r="AH20" s="106">
        <v>290</v>
      </c>
      <c r="AI20" s="106">
        <v>950</v>
      </c>
      <c r="AJ20" s="20" t="s">
        <v>71</v>
      </c>
      <c r="AK20" s="20" t="s">
        <v>71</v>
      </c>
      <c r="AL20" s="20">
        <v>0</v>
      </c>
      <c r="AN20" s="222" t="s">
        <v>1237</v>
      </c>
      <c r="AO20" s="37" t="s">
        <v>512</v>
      </c>
      <c r="AP20" s="249">
        <f>VLOOKUP(Пластики_Acryline[[#This Row],[Ценовая группа]],Цены_по_категориям_Acryline[],2,0)</f>
        <v>8520</v>
      </c>
      <c r="AQ20" s="249">
        <f>VLOOKUP(Пластики_Acryline[[#This Row],[Ценовая группа]],Цены_по_категориям_Acryline[],3,0)</f>
        <v>13501</v>
      </c>
      <c r="AR20" s="37" t="s">
        <v>516</v>
      </c>
      <c r="AS20" s="37" t="s">
        <v>71</v>
      </c>
      <c r="AT20" s="251" t="s">
        <v>10</v>
      </c>
      <c r="AU20" s="251">
        <v>90</v>
      </c>
      <c r="AV20" s="251">
        <v>2750</v>
      </c>
      <c r="AW20" s="251">
        <v>250</v>
      </c>
      <c r="AX20" s="251">
        <v>1200</v>
      </c>
      <c r="AY20" s="249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0" s="250">
        <v>28</v>
      </c>
      <c r="DC20" s="55" t="s">
        <v>557</v>
      </c>
      <c r="DD20" s="50" t="s">
        <v>543</v>
      </c>
      <c r="DE20" s="37" t="s">
        <v>508</v>
      </c>
      <c r="DF20" s="65" t="s">
        <v>662</v>
      </c>
      <c r="DG20" s="81">
        <f>VLOOKUP(Ручки[[#This Row],[Категория]],Ценовые_категории_ручек[],2,0)</f>
        <v>257</v>
      </c>
      <c r="DJ20" s="51"/>
      <c r="DK20" s="37"/>
      <c r="DW20" s="22" t="s">
        <v>439</v>
      </c>
      <c r="DX20" s="22" t="s">
        <v>441</v>
      </c>
      <c r="DY20" s="22">
        <v>15</v>
      </c>
      <c r="DZ20" s="22">
        <v>3600</v>
      </c>
      <c r="EA20" s="22">
        <v>600</v>
      </c>
      <c r="EB20" s="26">
        <v>1268</v>
      </c>
      <c r="EC20" s="26">
        <v>2139</v>
      </c>
      <c r="ED20" s="26">
        <v>3010</v>
      </c>
      <c r="EE20" s="26">
        <f>ROUND(3650/1000/3*Столешницы[[#This Row],[600 х 3000]],0)</f>
        <v>3662</v>
      </c>
    </row>
    <row r="21" spans="1:135" ht="30" customHeight="1" x14ac:dyDescent="0.25">
      <c r="A21" s="22" t="s">
        <v>527</v>
      </c>
      <c r="B21" s="81">
        <v>2912</v>
      </c>
      <c r="N21" s="23"/>
      <c r="S21" s="22" t="s">
        <v>179</v>
      </c>
      <c r="T21" s="22" t="s">
        <v>143</v>
      </c>
      <c r="U21" s="22">
        <v>1</v>
      </c>
      <c r="V21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5096</v>
      </c>
      <c r="W21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5602</v>
      </c>
      <c r="X21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6115</v>
      </c>
      <c r="Y21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1" s="27">
        <v>196</v>
      </c>
      <c r="AB21" s="20" t="s">
        <v>191</v>
      </c>
      <c r="AC21" s="20" t="s">
        <v>158</v>
      </c>
      <c r="AD21" s="20">
        <v>19</v>
      </c>
      <c r="AE21" s="20">
        <v>16</v>
      </c>
      <c r="AF21" s="106">
        <v>175</v>
      </c>
      <c r="AG21" s="106">
        <v>2550</v>
      </c>
      <c r="AH21" s="106">
        <v>290</v>
      </c>
      <c r="AI21" s="106">
        <v>950</v>
      </c>
      <c r="AJ21" s="20" t="s">
        <v>71</v>
      </c>
      <c r="AK21" s="20" t="s">
        <v>10</v>
      </c>
      <c r="AL21" s="20">
        <v>0</v>
      </c>
      <c r="AN21" s="307" t="s">
        <v>802</v>
      </c>
      <c r="AO21" s="37" t="s">
        <v>521</v>
      </c>
      <c r="AP21" s="37">
        <f>VLOOKUP(Пластики_Acryline[[#This Row],[Ценовая группа]],Цены_по_категориям_Acryline[],2,0)</f>
        <v>8055</v>
      </c>
      <c r="AQ21" s="37">
        <f>VLOOKUP(Пластики_Acryline[[#This Row],[Ценовая группа]],Цены_по_категориям_Acryline[],3,0)</f>
        <v>12765</v>
      </c>
      <c r="AR21" s="37" t="s">
        <v>515</v>
      </c>
      <c r="AS21" s="37" t="s">
        <v>71</v>
      </c>
      <c r="AT21" s="37" t="s">
        <v>10</v>
      </c>
      <c r="AU21" s="37">
        <v>90</v>
      </c>
      <c r="AV21" s="37">
        <v>2750</v>
      </c>
      <c r="AW21" s="37">
        <v>250</v>
      </c>
      <c r="AX21" s="37">
        <v>1200</v>
      </c>
      <c r="AY21" s="37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1" s="284">
        <v>28</v>
      </c>
      <c r="CP21" s="90"/>
      <c r="CQ21" s="90"/>
      <c r="DC21" s="56" t="s">
        <v>587</v>
      </c>
      <c r="DD21" s="48" t="s">
        <v>545</v>
      </c>
      <c r="DE21" s="56" t="s">
        <v>548</v>
      </c>
      <c r="DF21" s="65" t="s">
        <v>661</v>
      </c>
      <c r="DG21" s="81">
        <f>VLOOKUP(Ручки[[#This Row],[Категория]],Ценовые_категории_ручек[],2,0)</f>
        <v>625</v>
      </c>
      <c r="DJ21" s="51"/>
      <c r="DK21" s="37"/>
      <c r="DW21" s="22" t="s">
        <v>440</v>
      </c>
      <c r="DX21" s="22" t="s">
        <v>441</v>
      </c>
      <c r="DY21" s="22">
        <v>15</v>
      </c>
      <c r="DZ21" s="22">
        <v>3600</v>
      </c>
      <c r="EA21" s="22">
        <v>1200</v>
      </c>
      <c r="EB21" s="26">
        <v>1268</v>
      </c>
      <c r="EC21" s="26">
        <v>2139</v>
      </c>
      <c r="ED21" s="26">
        <v>3010</v>
      </c>
      <c r="EE21" s="26">
        <f>ROUND(3650/1000/3*Столешницы[[#This Row],[600 х 3000]],0)</f>
        <v>3662</v>
      </c>
    </row>
    <row r="22" spans="1:135" ht="30" customHeight="1" x14ac:dyDescent="0.25">
      <c r="A22" s="22" t="s">
        <v>518</v>
      </c>
      <c r="B22" s="81">
        <v>2722</v>
      </c>
      <c r="N22" s="23"/>
      <c r="S22" s="22" t="s">
        <v>181</v>
      </c>
      <c r="T22" s="22" t="s">
        <v>143</v>
      </c>
      <c r="U22" s="22">
        <v>1</v>
      </c>
      <c r="V22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5096</v>
      </c>
      <c r="W22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5602</v>
      </c>
      <c r="X22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6115</v>
      </c>
      <c r="Y22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2" s="27">
        <v>197</v>
      </c>
      <c r="AB22" s="20" t="s">
        <v>193</v>
      </c>
      <c r="AC22" s="20" t="s">
        <v>156</v>
      </c>
      <c r="AD22" s="20">
        <v>19</v>
      </c>
      <c r="AE22" s="20">
        <v>0</v>
      </c>
      <c r="AF22" s="106">
        <v>275</v>
      </c>
      <c r="AG22" s="106">
        <v>2550</v>
      </c>
      <c r="AH22" s="106">
        <v>286</v>
      </c>
      <c r="AI22" s="106">
        <v>950</v>
      </c>
      <c r="AJ22" s="20" t="s">
        <v>10</v>
      </c>
      <c r="AK22" s="20" t="s">
        <v>10</v>
      </c>
      <c r="AL22" s="20">
        <v>0</v>
      </c>
      <c r="AN22" s="307" t="s">
        <v>803</v>
      </c>
      <c r="AO22" s="37" t="s">
        <v>509</v>
      </c>
      <c r="AP22" s="37">
        <f>VLOOKUP(Пластики_Acryline[[#This Row],[Ценовая группа]],Цены_по_категориям_Acryline[],2,0)</f>
        <v>6040</v>
      </c>
      <c r="AQ22" s="37">
        <f>VLOOKUP(Пластики_Acryline[[#This Row],[Ценовая группа]],Цены_по_категориям_Acryline[],3,0)</f>
        <v>9574</v>
      </c>
      <c r="AR22" s="37" t="s">
        <v>515</v>
      </c>
      <c r="AS22" s="37" t="s">
        <v>71</v>
      </c>
      <c r="AT22" s="37" t="s">
        <v>10</v>
      </c>
      <c r="AU22" s="37">
        <v>90</v>
      </c>
      <c r="AV22" s="37">
        <v>2750</v>
      </c>
      <c r="AW22" s="37">
        <v>250</v>
      </c>
      <c r="AX22" s="37">
        <v>1200</v>
      </c>
      <c r="AY22" s="37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2" s="20">
        <v>36</v>
      </c>
      <c r="CN22" s="90"/>
      <c r="CO22" s="90"/>
      <c r="DC22" s="54" t="s">
        <v>576</v>
      </c>
      <c r="DD22" s="48" t="s">
        <v>545</v>
      </c>
      <c r="DE22" s="53" t="s">
        <v>547</v>
      </c>
      <c r="DF22" s="65" t="s">
        <v>661</v>
      </c>
      <c r="DG22" s="81">
        <f>VLOOKUP(Ручки[[#This Row],[Категория]],Ценовые_категории_ручек[],2,0)</f>
        <v>450</v>
      </c>
      <c r="DW22" s="22" t="s">
        <v>434</v>
      </c>
      <c r="DX22" s="22" t="s">
        <v>441</v>
      </c>
      <c r="DY22" s="22">
        <v>15</v>
      </c>
      <c r="DZ22" s="22">
        <v>3600</v>
      </c>
      <c r="EA22" s="22">
        <v>1200</v>
      </c>
      <c r="EB22" s="26">
        <v>1268</v>
      </c>
      <c r="EC22" s="26">
        <v>2139</v>
      </c>
      <c r="ED22" s="26">
        <v>3010</v>
      </c>
      <c r="EE22" s="26">
        <f>ROUND(3650/1000/3*Столешницы[[#This Row],[600 х 3000]],0)</f>
        <v>3662</v>
      </c>
    </row>
    <row r="23" spans="1:135" ht="30" customHeight="1" x14ac:dyDescent="0.25">
      <c r="A23" s="20" t="s">
        <v>376</v>
      </c>
      <c r="B23" s="81">
        <f>'комплекты фурнитуры'!$C$85</f>
        <v>1110</v>
      </c>
      <c r="N23" s="34"/>
      <c r="S23" s="22" t="s">
        <v>183</v>
      </c>
      <c r="T23" s="22" t="s">
        <v>143</v>
      </c>
      <c r="U23" s="22">
        <v>1</v>
      </c>
      <c r="V23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5096</v>
      </c>
      <c r="W23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5602</v>
      </c>
      <c r="X23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6115</v>
      </c>
      <c r="Y23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3" s="27">
        <v>198</v>
      </c>
      <c r="AB23" s="20" t="s">
        <v>195</v>
      </c>
      <c r="AC23" s="20" t="s">
        <v>156</v>
      </c>
      <c r="AD23" s="20">
        <v>19</v>
      </c>
      <c r="AE23" s="20">
        <v>0</v>
      </c>
      <c r="AF23" s="106">
        <v>275</v>
      </c>
      <c r="AG23" s="106">
        <v>1100</v>
      </c>
      <c r="AH23" s="106">
        <v>290</v>
      </c>
      <c r="AI23" s="106">
        <v>950</v>
      </c>
      <c r="AJ23" s="20" t="s">
        <v>71</v>
      </c>
      <c r="AK23" s="20" t="s">
        <v>10</v>
      </c>
      <c r="AL23" s="20">
        <v>0</v>
      </c>
      <c r="AN23" s="307" t="s">
        <v>804</v>
      </c>
      <c r="AO23" s="37" t="s">
        <v>521</v>
      </c>
      <c r="AP23" s="37">
        <f>VLOOKUP(Пластики_Acryline[[#This Row],[Ценовая группа]],Цены_по_категориям_Acryline[],2,0)</f>
        <v>8055</v>
      </c>
      <c r="AQ23" s="37">
        <f>VLOOKUP(Пластики_Acryline[[#This Row],[Ценовая группа]],Цены_по_категориям_Acryline[],3,0)</f>
        <v>12765</v>
      </c>
      <c r="AR23" s="37" t="s">
        <v>516</v>
      </c>
      <c r="AS23" s="37" t="s">
        <v>71</v>
      </c>
      <c r="AT23" s="37" t="s">
        <v>10</v>
      </c>
      <c r="AU23" s="37">
        <v>90</v>
      </c>
      <c r="AV23" s="37">
        <v>2750</v>
      </c>
      <c r="AW23" s="37">
        <v>250</v>
      </c>
      <c r="AX23" s="37">
        <v>1200</v>
      </c>
      <c r="AY23" s="37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3" s="284">
        <v>39</v>
      </c>
      <c r="DC23" s="37" t="s">
        <v>542</v>
      </c>
      <c r="DD23" s="50" t="s">
        <v>543</v>
      </c>
      <c r="DE23" s="37" t="s">
        <v>508</v>
      </c>
      <c r="DF23" s="65" t="s">
        <v>661</v>
      </c>
      <c r="DG23" s="81">
        <f>VLOOKUP(Ручки[[#This Row],[Категория]],Ценовые_категории_ручек[],2,0)</f>
        <v>257</v>
      </c>
      <c r="DW23" s="108" t="s">
        <v>448</v>
      </c>
      <c r="DX23" s="22" t="s">
        <v>454</v>
      </c>
      <c r="DY23" s="22">
        <v>38</v>
      </c>
      <c r="DZ23" s="22">
        <v>4190</v>
      </c>
      <c r="EA23" s="22">
        <v>1200</v>
      </c>
      <c r="EB23" s="26">
        <v>5477</v>
      </c>
      <c r="EC23" s="26">
        <v>9240</v>
      </c>
      <c r="ED23" s="26">
        <v>13003</v>
      </c>
      <c r="EE23" s="26">
        <v>18022</v>
      </c>
    </row>
    <row r="24" spans="1:135" ht="30" customHeight="1" x14ac:dyDescent="0.25">
      <c r="A24" s="22" t="s">
        <v>519</v>
      </c>
      <c r="B24" s="81">
        <v>2714</v>
      </c>
      <c r="N24" s="33"/>
      <c r="S24" s="22" t="s">
        <v>185</v>
      </c>
      <c r="T24" s="22" t="s">
        <v>143</v>
      </c>
      <c r="U24" s="22">
        <v>1</v>
      </c>
      <c r="V24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5096</v>
      </c>
      <c r="W24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5602</v>
      </c>
      <c r="X24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6115</v>
      </c>
      <c r="Y24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4" s="27">
        <v>201</v>
      </c>
      <c r="AB24" s="20" t="s">
        <v>700</v>
      </c>
      <c r="AC24" s="20" t="s">
        <v>156</v>
      </c>
      <c r="AD24" s="20">
        <v>19</v>
      </c>
      <c r="AE24" s="20">
        <v>0</v>
      </c>
      <c r="AF24" s="106">
        <v>116</v>
      </c>
      <c r="AG24" s="106">
        <v>2550</v>
      </c>
      <c r="AH24" s="106">
        <v>146</v>
      </c>
      <c r="AI24" s="106">
        <v>946</v>
      </c>
      <c r="AJ24" s="20" t="s">
        <v>10</v>
      </c>
      <c r="AK24" s="20" t="s">
        <v>10</v>
      </c>
      <c r="AL24" s="20">
        <v>0.1</v>
      </c>
      <c r="AN24" s="307" t="s">
        <v>805</v>
      </c>
      <c r="AO24" s="37" t="s">
        <v>521</v>
      </c>
      <c r="AP24" s="37">
        <f>VLOOKUP(Пластики_Acryline[[#This Row],[Ценовая группа]],Цены_по_категориям_Acryline[],2,0)</f>
        <v>8055</v>
      </c>
      <c r="AQ24" s="37">
        <f>VLOOKUP(Пластики_Acryline[[#This Row],[Ценовая группа]],Цены_по_категориям_Acryline[],3,0)</f>
        <v>12765</v>
      </c>
      <c r="AR24" s="37" t="s">
        <v>515</v>
      </c>
      <c r="AS24" s="37" t="s">
        <v>71</v>
      </c>
      <c r="AT24" s="37" t="s">
        <v>10</v>
      </c>
      <c r="AU24" s="37">
        <v>90</v>
      </c>
      <c r="AV24" s="37">
        <v>2750</v>
      </c>
      <c r="AW24" s="37">
        <v>250</v>
      </c>
      <c r="AX24" s="37">
        <v>1200</v>
      </c>
      <c r="AY24" s="37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4" s="22">
        <v>40</v>
      </c>
      <c r="DC24" s="54" t="s">
        <v>556</v>
      </c>
      <c r="DD24" s="50" t="s">
        <v>543</v>
      </c>
      <c r="DE24" s="37" t="s">
        <v>508</v>
      </c>
      <c r="DF24" s="65" t="s">
        <v>661</v>
      </c>
      <c r="DG24" s="81">
        <f>VLOOKUP(Ручки[[#This Row],[Категория]],Ценовые_категории_ручек[],2,0)</f>
        <v>257</v>
      </c>
      <c r="DW24" s="108" t="s">
        <v>449</v>
      </c>
      <c r="DX24" s="22" t="s">
        <v>454</v>
      </c>
      <c r="DY24" s="22">
        <v>38</v>
      </c>
      <c r="DZ24" s="22">
        <v>4190</v>
      </c>
      <c r="EA24" s="22">
        <v>1200</v>
      </c>
      <c r="EB24" s="26">
        <v>5477</v>
      </c>
      <c r="EC24" s="26">
        <v>9240</v>
      </c>
      <c r="ED24" s="26">
        <v>13003</v>
      </c>
      <c r="EE24" s="26">
        <v>18022</v>
      </c>
    </row>
    <row r="25" spans="1:135" ht="30" customHeight="1" x14ac:dyDescent="0.25">
      <c r="A25" s="22" t="s">
        <v>687</v>
      </c>
      <c r="B25" s="82">
        <v>1090</v>
      </c>
      <c r="N25" s="33"/>
      <c r="S25" s="22" t="s">
        <v>186</v>
      </c>
      <c r="T25" s="22" t="s">
        <v>143</v>
      </c>
      <c r="U25" s="22">
        <v>3</v>
      </c>
      <c r="V25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6690</v>
      </c>
      <c r="W25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7361</v>
      </c>
      <c r="X25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8008</v>
      </c>
      <c r="Y25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5" s="27">
        <v>211</v>
      </c>
      <c r="AB25" s="20" t="s">
        <v>198</v>
      </c>
      <c r="AC25" s="20" t="s">
        <v>156</v>
      </c>
      <c r="AD25" s="20">
        <v>19</v>
      </c>
      <c r="AE25" s="20">
        <v>0</v>
      </c>
      <c r="AF25" s="106">
        <v>116</v>
      </c>
      <c r="AG25" s="106">
        <v>2550</v>
      </c>
      <c r="AH25" s="106">
        <v>246</v>
      </c>
      <c r="AI25" s="106">
        <v>946</v>
      </c>
      <c r="AJ25" s="20" t="s">
        <v>10</v>
      </c>
      <c r="AK25" s="20" t="s">
        <v>10</v>
      </c>
      <c r="AL25" s="20">
        <v>0.1</v>
      </c>
      <c r="AN25" s="310" t="s">
        <v>806</v>
      </c>
      <c r="AO25" s="37" t="s">
        <v>512</v>
      </c>
      <c r="AP25" s="37">
        <f>VLOOKUP(Пластики_Acryline[[#This Row],[Ценовая группа]],Цены_по_категориям_Acryline[],2,0)</f>
        <v>8520</v>
      </c>
      <c r="AQ25" s="37">
        <f>VLOOKUP(Пластики_Acryline[[#This Row],[Ценовая группа]],Цены_по_категориям_Acryline[],3,0)</f>
        <v>13501</v>
      </c>
      <c r="AR25" s="37" t="s">
        <v>516</v>
      </c>
      <c r="AS25" s="37" t="s">
        <v>71</v>
      </c>
      <c r="AT25" s="37" t="s">
        <v>10</v>
      </c>
      <c r="AU25" s="37">
        <v>90</v>
      </c>
      <c r="AV25" s="37">
        <v>2750</v>
      </c>
      <c r="AW25" s="37">
        <v>250</v>
      </c>
      <c r="AX25" s="37">
        <v>1200</v>
      </c>
      <c r="AY25" s="37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5" s="284">
        <v>41</v>
      </c>
      <c r="DC25" s="55" t="s">
        <v>589</v>
      </c>
      <c r="DD25" s="48" t="s">
        <v>545</v>
      </c>
      <c r="DE25" s="56" t="s">
        <v>548</v>
      </c>
      <c r="DF25" s="65" t="s">
        <v>664</v>
      </c>
      <c r="DG25" s="81">
        <f>VLOOKUP(Ручки[[#This Row],[Категория]],Ценовые_категории_ручек[],2,0)</f>
        <v>625</v>
      </c>
      <c r="DW25" s="108" t="s">
        <v>450</v>
      </c>
      <c r="DX25" s="22" t="s">
        <v>454</v>
      </c>
      <c r="DY25" s="22">
        <v>38</v>
      </c>
      <c r="DZ25" s="22">
        <v>4190</v>
      </c>
      <c r="EA25" s="22">
        <v>1200</v>
      </c>
      <c r="EB25" s="26">
        <v>5477</v>
      </c>
      <c r="EC25" s="26">
        <v>9240</v>
      </c>
      <c r="ED25" s="26">
        <v>13003</v>
      </c>
      <c r="EE25" s="26">
        <v>18022</v>
      </c>
    </row>
    <row r="26" spans="1:135" ht="30" customHeight="1" x14ac:dyDescent="0.25">
      <c r="A26" s="262" t="s">
        <v>1268</v>
      </c>
      <c r="B26" s="263">
        <v>1090</v>
      </c>
      <c r="F26" s="23"/>
      <c r="N26" s="35"/>
      <c r="S26" s="22" t="s">
        <v>188</v>
      </c>
      <c r="T26" s="22" t="s">
        <v>143</v>
      </c>
      <c r="U26" s="22">
        <v>2</v>
      </c>
      <c r="V26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5764</v>
      </c>
      <c r="W26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6340</v>
      </c>
      <c r="X26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6916</v>
      </c>
      <c r="Y26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6" s="27">
        <v>212</v>
      </c>
      <c r="AB26" s="20" t="s">
        <v>200</v>
      </c>
      <c r="AC26" s="20" t="s">
        <v>156</v>
      </c>
      <c r="AD26" s="20">
        <v>22</v>
      </c>
      <c r="AE26" s="20">
        <v>0</v>
      </c>
      <c r="AF26" s="106">
        <v>100</v>
      </c>
      <c r="AG26" s="106">
        <v>2550</v>
      </c>
      <c r="AH26" s="106">
        <v>235</v>
      </c>
      <c r="AI26" s="106">
        <v>950</v>
      </c>
      <c r="AJ26" s="20" t="s">
        <v>71</v>
      </c>
      <c r="AK26" s="20" t="s">
        <v>10</v>
      </c>
      <c r="AL26" s="20">
        <v>0</v>
      </c>
      <c r="AN26" s="307" t="s">
        <v>807</v>
      </c>
      <c r="AO26" s="37" t="s">
        <v>521</v>
      </c>
      <c r="AP26" s="37">
        <f>VLOOKUP(Пластики_Acryline[[#This Row],[Ценовая группа]],Цены_по_категориям_Acryline[],2,0)</f>
        <v>8055</v>
      </c>
      <c r="AQ26" s="37">
        <f>VLOOKUP(Пластики_Acryline[[#This Row],[Ценовая группа]],Цены_по_категориям_Acryline[],3,0)</f>
        <v>12765</v>
      </c>
      <c r="AR26" s="37" t="s">
        <v>516</v>
      </c>
      <c r="AS26" s="37" t="s">
        <v>71</v>
      </c>
      <c r="AT26" s="37" t="s">
        <v>10</v>
      </c>
      <c r="AU26" s="37">
        <v>90</v>
      </c>
      <c r="AV26" s="37">
        <v>2750</v>
      </c>
      <c r="AW26" s="37">
        <v>250</v>
      </c>
      <c r="AX26" s="37">
        <v>1200</v>
      </c>
      <c r="AY26" s="37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6" s="284">
        <v>42</v>
      </c>
      <c r="DC26" s="55" t="s">
        <v>559</v>
      </c>
      <c r="DD26" s="50" t="s">
        <v>543</v>
      </c>
      <c r="DE26" s="37" t="s">
        <v>508</v>
      </c>
      <c r="DF26" s="65" t="s">
        <v>664</v>
      </c>
      <c r="DG26" s="81">
        <f>VLOOKUP(Ручки[[#This Row],[Категория]],Ценовые_категории_ручек[],2,0)</f>
        <v>257</v>
      </c>
      <c r="DW26" s="108" t="s">
        <v>451</v>
      </c>
      <c r="DX26" s="22" t="s">
        <v>454</v>
      </c>
      <c r="DY26" s="22">
        <v>38</v>
      </c>
      <c r="DZ26" s="22">
        <v>4190</v>
      </c>
      <c r="EA26" s="22">
        <v>1200</v>
      </c>
      <c r="EB26" s="26">
        <v>5477</v>
      </c>
      <c r="EC26" s="26">
        <v>9240</v>
      </c>
      <c r="ED26" s="26">
        <v>13003</v>
      </c>
      <c r="EE26" s="26">
        <v>18022</v>
      </c>
    </row>
    <row r="27" spans="1:135" ht="30" customHeight="1" x14ac:dyDescent="0.25">
      <c r="C27" s="23"/>
      <c r="D27" s="23"/>
      <c r="E27" s="23"/>
      <c r="F27" s="23"/>
      <c r="S27" s="22" t="s">
        <v>190</v>
      </c>
      <c r="T27" s="22" t="s">
        <v>143</v>
      </c>
      <c r="U27" s="22">
        <v>1</v>
      </c>
      <c r="V27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5096</v>
      </c>
      <c r="W27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5602</v>
      </c>
      <c r="X27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6115</v>
      </c>
      <c r="Y27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7" s="27">
        <v>217</v>
      </c>
      <c r="AB27" s="20" t="s">
        <v>202</v>
      </c>
      <c r="AC27" s="20" t="s">
        <v>158</v>
      </c>
      <c r="AD27" s="20">
        <v>18</v>
      </c>
      <c r="AE27" s="20">
        <v>16</v>
      </c>
      <c r="AF27" s="106">
        <v>50</v>
      </c>
      <c r="AG27" s="106">
        <v>2550</v>
      </c>
      <c r="AH27" s="106">
        <v>50</v>
      </c>
      <c r="AI27" s="106">
        <v>950</v>
      </c>
      <c r="AJ27" s="20" t="s">
        <v>71</v>
      </c>
      <c r="AK27" s="20" t="s">
        <v>10</v>
      </c>
      <c r="AL27" s="20">
        <v>0</v>
      </c>
      <c r="AN27" s="307" t="s">
        <v>808</v>
      </c>
      <c r="AO27" s="37" t="s">
        <v>521</v>
      </c>
      <c r="AP27" s="37">
        <f>VLOOKUP(Пластики_Acryline[[#This Row],[Ценовая группа]],Цены_по_категориям_Acryline[],2,0)</f>
        <v>8055</v>
      </c>
      <c r="AQ27" s="37">
        <f>VLOOKUP(Пластики_Acryline[[#This Row],[Ценовая группа]],Цены_по_категориям_Acryline[],3,0)</f>
        <v>12765</v>
      </c>
      <c r="AR27" s="37" t="s">
        <v>516</v>
      </c>
      <c r="AS27" s="37" t="s">
        <v>71</v>
      </c>
      <c r="AT27" s="37" t="s">
        <v>10</v>
      </c>
      <c r="AU27" s="37">
        <v>90</v>
      </c>
      <c r="AV27" s="37">
        <v>2750</v>
      </c>
      <c r="AW27" s="37">
        <v>250</v>
      </c>
      <c r="AX27" s="37">
        <v>1200</v>
      </c>
      <c r="AY27" s="37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7" s="284">
        <v>43</v>
      </c>
      <c r="DC27" s="55" t="s">
        <v>592</v>
      </c>
      <c r="DD27" s="48" t="s">
        <v>545</v>
      </c>
      <c r="DE27" s="56" t="s">
        <v>549</v>
      </c>
      <c r="DF27" s="65" t="s">
        <v>664</v>
      </c>
      <c r="DG27" s="81">
        <f>VLOOKUP(Ручки[[#This Row],[Категория]],Ценовые_категории_ручек[],2,0)</f>
        <v>800</v>
      </c>
      <c r="DW27" s="108" t="s">
        <v>452</v>
      </c>
      <c r="DX27" s="22" t="s">
        <v>454</v>
      </c>
      <c r="DY27" s="22">
        <v>38</v>
      </c>
      <c r="DZ27" s="22">
        <v>4190</v>
      </c>
      <c r="EA27" s="22">
        <v>1200</v>
      </c>
      <c r="EB27" s="26">
        <v>5477</v>
      </c>
      <c r="EC27" s="26">
        <v>9240</v>
      </c>
      <c r="ED27" s="26">
        <v>13003</v>
      </c>
      <c r="EE27" s="26">
        <v>18022</v>
      </c>
    </row>
    <row r="28" spans="1:135" ht="30" customHeight="1" x14ac:dyDescent="0.25">
      <c r="C28" s="23"/>
      <c r="D28" s="23"/>
      <c r="E28" s="23"/>
      <c r="F28" s="23"/>
      <c r="S28" s="22" t="s">
        <v>192</v>
      </c>
      <c r="T28" s="22" t="s">
        <v>143</v>
      </c>
      <c r="U28" s="22">
        <v>3</v>
      </c>
      <c r="V28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6690</v>
      </c>
      <c r="W28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7361</v>
      </c>
      <c r="X28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8008</v>
      </c>
      <c r="Y28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8" s="27">
        <v>218</v>
      </c>
      <c r="AB28" s="20" t="s">
        <v>204</v>
      </c>
      <c r="AC28" s="20" t="s">
        <v>158</v>
      </c>
      <c r="AD28" s="20">
        <v>18</v>
      </c>
      <c r="AE28" s="20">
        <v>16</v>
      </c>
      <c r="AF28" s="106">
        <v>50</v>
      </c>
      <c r="AG28" s="106">
        <v>1200</v>
      </c>
      <c r="AH28" s="106">
        <v>50</v>
      </c>
      <c r="AI28" s="106">
        <v>2550</v>
      </c>
      <c r="AJ28" s="20" t="s">
        <v>71</v>
      </c>
      <c r="AK28" s="20" t="s">
        <v>10</v>
      </c>
      <c r="AL28" s="20">
        <v>0</v>
      </c>
      <c r="AN28" s="310" t="s">
        <v>809</v>
      </c>
      <c r="AO28" s="37" t="s">
        <v>512</v>
      </c>
      <c r="AP28" s="37">
        <f>VLOOKUP(Пластики_Acryline[[#This Row],[Ценовая группа]],Цены_по_категориям_Acryline[],2,0)</f>
        <v>8520</v>
      </c>
      <c r="AQ28" s="37">
        <f>VLOOKUP(Пластики_Acryline[[#This Row],[Ценовая группа]],Цены_по_категориям_Acryline[],3,0)</f>
        <v>13501</v>
      </c>
      <c r="AR28" s="37" t="s">
        <v>516</v>
      </c>
      <c r="AS28" s="37" t="s">
        <v>71</v>
      </c>
      <c r="AT28" s="37" t="s">
        <v>10</v>
      </c>
      <c r="AU28" s="37">
        <v>90</v>
      </c>
      <c r="AV28" s="37">
        <v>2750</v>
      </c>
      <c r="AW28" s="37">
        <v>250</v>
      </c>
      <c r="AX28" s="37">
        <v>1200</v>
      </c>
      <c r="AY28" s="37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8" s="284">
        <v>44</v>
      </c>
      <c r="CZ28" s="73"/>
      <c r="DC28" s="55" t="s">
        <v>579</v>
      </c>
      <c r="DD28" s="50" t="s">
        <v>543</v>
      </c>
      <c r="DE28" s="54" t="s">
        <v>547</v>
      </c>
      <c r="DF28" s="65" t="s">
        <v>664</v>
      </c>
      <c r="DG28" s="81">
        <f>VLOOKUP(Ручки[[#This Row],[Категория]],Ценовые_категории_ручек[],2,0)</f>
        <v>450</v>
      </c>
      <c r="DW28" s="108" t="s">
        <v>453</v>
      </c>
      <c r="DX28" s="22" t="s">
        <v>454</v>
      </c>
      <c r="DY28" s="22">
        <v>38</v>
      </c>
      <c r="DZ28" s="22">
        <v>3200</v>
      </c>
      <c r="EA28" s="22">
        <v>600</v>
      </c>
      <c r="EB28" s="26">
        <v>5477</v>
      </c>
      <c r="EC28" s="26">
        <v>9240</v>
      </c>
      <c r="ED28" s="26">
        <v>13003</v>
      </c>
      <c r="EE28" s="26">
        <v>18022</v>
      </c>
    </row>
    <row r="29" spans="1:135" ht="30" customHeight="1" x14ac:dyDescent="0.25">
      <c r="C29" s="23"/>
      <c r="D29" s="23"/>
      <c r="E29" s="23"/>
      <c r="F29" s="23"/>
      <c r="S29" s="22" t="s">
        <v>196</v>
      </c>
      <c r="T29" s="22" t="s">
        <v>143</v>
      </c>
      <c r="U29" s="22">
        <v>1</v>
      </c>
      <c r="V29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5096</v>
      </c>
      <c r="W29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5602</v>
      </c>
      <c r="X29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6115</v>
      </c>
      <c r="Y29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9" s="27">
        <v>222</v>
      </c>
      <c r="AB29" s="20" t="s">
        <v>206</v>
      </c>
      <c r="AC29" s="20" t="s">
        <v>158</v>
      </c>
      <c r="AD29" s="20">
        <v>19</v>
      </c>
      <c r="AE29" s="20">
        <v>16</v>
      </c>
      <c r="AF29" s="106">
        <v>116</v>
      </c>
      <c r="AG29" s="106">
        <v>2550</v>
      </c>
      <c r="AH29" s="106">
        <v>270</v>
      </c>
      <c r="AI29" s="106">
        <v>950</v>
      </c>
      <c r="AJ29" s="20" t="s">
        <v>71</v>
      </c>
      <c r="AK29" s="20" t="s">
        <v>10</v>
      </c>
      <c r="AL29" s="20">
        <v>0.1</v>
      </c>
      <c r="AN29" s="310" t="s">
        <v>810</v>
      </c>
      <c r="AO29" s="37" t="s">
        <v>512</v>
      </c>
      <c r="AP29" s="37">
        <f>VLOOKUP(Пластики_Acryline[[#This Row],[Ценовая группа]],Цены_по_категориям_Acryline[],2,0)</f>
        <v>8520</v>
      </c>
      <c r="AQ29" s="37">
        <f>VLOOKUP(Пластики_Acryline[[#This Row],[Ценовая группа]],Цены_по_категориям_Acryline[],3,0)</f>
        <v>13501</v>
      </c>
      <c r="AR29" s="37" t="s">
        <v>516</v>
      </c>
      <c r="AS29" s="37" t="s">
        <v>71</v>
      </c>
      <c r="AT29" s="37" t="s">
        <v>10</v>
      </c>
      <c r="AU29" s="37">
        <v>90</v>
      </c>
      <c r="AV29" s="37">
        <v>2750</v>
      </c>
      <c r="AW29" s="37">
        <v>250</v>
      </c>
      <c r="AX29" s="37">
        <v>1200</v>
      </c>
      <c r="AY29" s="37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9" s="284">
        <v>45</v>
      </c>
      <c r="CZ29" s="73"/>
      <c r="DC29" s="54" t="s">
        <v>601</v>
      </c>
      <c r="DD29" s="48" t="s">
        <v>545</v>
      </c>
      <c r="DE29" s="62" t="s">
        <v>554</v>
      </c>
      <c r="DF29" s="65" t="s">
        <v>683</v>
      </c>
      <c r="DG29" s="81">
        <f>VLOOKUP(Ручки[[#This Row],[Категория]],Ценовые_категории_ручек[],2,0)</f>
        <v>800</v>
      </c>
      <c r="DW29" s="22" t="s">
        <v>455</v>
      </c>
      <c r="DX29" s="22" t="s">
        <v>454</v>
      </c>
      <c r="DY29" s="22">
        <v>38</v>
      </c>
      <c r="DZ29" s="22">
        <v>4190</v>
      </c>
      <c r="EA29" s="22">
        <v>1200</v>
      </c>
      <c r="EB29" s="26">
        <v>5477</v>
      </c>
      <c r="EC29" s="26">
        <v>9240</v>
      </c>
      <c r="ED29" s="26">
        <v>13003</v>
      </c>
      <c r="EE29" s="26">
        <v>18022</v>
      </c>
    </row>
    <row r="30" spans="1:135" ht="30" customHeight="1" x14ac:dyDescent="0.25">
      <c r="C30" s="23"/>
      <c r="D30" s="23"/>
      <c r="E30" s="23"/>
      <c r="F30" s="23"/>
      <c r="S30" s="22" t="s">
        <v>197</v>
      </c>
      <c r="T30" s="22" t="s">
        <v>143</v>
      </c>
      <c r="U30" s="22">
        <v>3</v>
      </c>
      <c r="V30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6690</v>
      </c>
      <c r="W30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7361</v>
      </c>
      <c r="X30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8008</v>
      </c>
      <c r="Y30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0" s="27">
        <v>223</v>
      </c>
      <c r="AB30" s="20" t="s">
        <v>208</v>
      </c>
      <c r="AC30" s="20" t="s">
        <v>158</v>
      </c>
      <c r="AD30" s="20">
        <v>19</v>
      </c>
      <c r="AE30" s="20">
        <v>0</v>
      </c>
      <c r="AF30" s="106">
        <v>70</v>
      </c>
      <c r="AG30" s="106">
        <v>950</v>
      </c>
      <c r="AH30" s="106">
        <v>90</v>
      </c>
      <c r="AI30" s="106">
        <v>950</v>
      </c>
      <c r="AJ30" s="20" t="s">
        <v>71</v>
      </c>
      <c r="AK30" s="20" t="s">
        <v>10</v>
      </c>
      <c r="AL30" s="20">
        <v>0</v>
      </c>
      <c r="AN30" s="310" t="s">
        <v>811</v>
      </c>
      <c r="AO30" s="37" t="s">
        <v>512</v>
      </c>
      <c r="AP30" s="37">
        <f>VLOOKUP(Пластики_Acryline[[#This Row],[Ценовая группа]],Цены_по_категориям_Acryline[],2,0)</f>
        <v>8520</v>
      </c>
      <c r="AQ30" s="37">
        <f>VLOOKUP(Пластики_Acryline[[#This Row],[Ценовая группа]],Цены_по_категориям_Acryline[],3,0)</f>
        <v>13501</v>
      </c>
      <c r="AR30" s="37" t="s">
        <v>516</v>
      </c>
      <c r="AS30" s="37" t="s">
        <v>71</v>
      </c>
      <c r="AT30" s="37" t="s">
        <v>10</v>
      </c>
      <c r="AU30" s="37">
        <v>90</v>
      </c>
      <c r="AV30" s="37">
        <v>2750</v>
      </c>
      <c r="AW30" s="37">
        <v>250</v>
      </c>
      <c r="AX30" s="37">
        <v>1200</v>
      </c>
      <c r="AY30" s="37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30" s="284">
        <v>46</v>
      </c>
      <c r="CZ30" s="73"/>
      <c r="DC30" s="54" t="s">
        <v>600</v>
      </c>
      <c r="DD30" s="48" t="s">
        <v>545</v>
      </c>
      <c r="DE30" s="62" t="s">
        <v>554</v>
      </c>
      <c r="DF30" s="65" t="s">
        <v>683</v>
      </c>
      <c r="DG30" s="81">
        <f>VLOOKUP(Ручки[[#This Row],[Категория]],Ценовые_категории_ручек[],2,0)</f>
        <v>800</v>
      </c>
      <c r="DW30" s="108" t="s">
        <v>431</v>
      </c>
      <c r="DX30" s="103" t="s">
        <v>441</v>
      </c>
      <c r="DY30" s="103">
        <v>10</v>
      </c>
      <c r="DZ30" s="103">
        <v>3600</v>
      </c>
      <c r="EA30" s="103">
        <v>600</v>
      </c>
      <c r="EB30" s="104">
        <v>2536</v>
      </c>
      <c r="EC30" s="104">
        <v>4278</v>
      </c>
      <c r="ED30" s="104">
        <v>6020</v>
      </c>
      <c r="EE30" s="26">
        <f>ROUND(3650/1000/3*Столешницы[[#This Row],[600 х 3000]],0)</f>
        <v>7324</v>
      </c>
    </row>
    <row r="31" spans="1:135" ht="30" customHeight="1" x14ac:dyDescent="0.25">
      <c r="C31" s="23"/>
      <c r="D31" s="23"/>
      <c r="E31" s="23"/>
      <c r="F31" s="23"/>
      <c r="S31" s="22" t="s">
        <v>199</v>
      </c>
      <c r="T31" s="22" t="s">
        <v>143</v>
      </c>
      <c r="U31" s="22">
        <v>2</v>
      </c>
      <c r="V31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5764</v>
      </c>
      <c r="W31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6340</v>
      </c>
      <c r="X31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6916</v>
      </c>
      <c r="Y31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1" s="27">
        <v>224</v>
      </c>
      <c r="AB31" s="20" t="s">
        <v>210</v>
      </c>
      <c r="AC31" s="20" t="s">
        <v>158</v>
      </c>
      <c r="AD31" s="20">
        <v>19</v>
      </c>
      <c r="AE31" s="20">
        <v>0</v>
      </c>
      <c r="AF31" s="106">
        <v>70</v>
      </c>
      <c r="AG31" s="106">
        <v>2400</v>
      </c>
      <c r="AH31" s="106">
        <v>230</v>
      </c>
      <c r="AI31" s="106">
        <v>950</v>
      </c>
      <c r="AJ31" s="20" t="s">
        <v>71</v>
      </c>
      <c r="AK31" s="20" t="s">
        <v>10</v>
      </c>
      <c r="AL31" s="20">
        <v>0</v>
      </c>
      <c r="AN31" s="310" t="s">
        <v>812</v>
      </c>
      <c r="AO31" s="37" t="s">
        <v>512</v>
      </c>
      <c r="AP31" s="37">
        <f>VLOOKUP(Пластики_Acryline[[#This Row],[Ценовая группа]],Цены_по_категориям_Acryline[],2,0)</f>
        <v>8520</v>
      </c>
      <c r="AQ31" s="37">
        <f>VLOOKUP(Пластики_Acryline[[#This Row],[Ценовая группа]],Цены_по_категориям_Acryline[],3,0)</f>
        <v>13501</v>
      </c>
      <c r="AR31" s="37" t="s">
        <v>516</v>
      </c>
      <c r="AS31" s="37" t="s">
        <v>71</v>
      </c>
      <c r="AT31" s="37" t="s">
        <v>10</v>
      </c>
      <c r="AU31" s="37">
        <v>90</v>
      </c>
      <c r="AV31" s="37">
        <v>2750</v>
      </c>
      <c r="AW31" s="37">
        <v>250</v>
      </c>
      <c r="AX31" s="37">
        <v>1200</v>
      </c>
      <c r="AY31" s="37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31" s="284">
        <v>47</v>
      </c>
      <c r="CZ31" s="73"/>
      <c r="DC31" s="56" t="s">
        <v>585</v>
      </c>
      <c r="DD31" s="48" t="s">
        <v>545</v>
      </c>
      <c r="DE31" s="56" t="s">
        <v>548</v>
      </c>
      <c r="DF31" s="65" t="s">
        <v>606</v>
      </c>
      <c r="DG31" s="81">
        <f>VLOOKUP(Ручки[[#This Row],[Категория]],Ценовые_категории_ручек[],2,0)</f>
        <v>625</v>
      </c>
      <c r="DW31" s="108" t="s">
        <v>432</v>
      </c>
      <c r="DX31" s="103" t="s">
        <v>441</v>
      </c>
      <c r="DY31" s="103">
        <v>10</v>
      </c>
      <c r="DZ31" s="103">
        <v>3600</v>
      </c>
      <c r="EA31" s="103">
        <v>600</v>
      </c>
      <c r="EB31" s="104">
        <v>2536</v>
      </c>
      <c r="EC31" s="104">
        <v>4278</v>
      </c>
      <c r="ED31" s="104">
        <v>6020</v>
      </c>
      <c r="EE31" s="26">
        <f>ROUND(3650/1000/3*Столешницы[[#This Row],[600 х 3000]],0)</f>
        <v>7324</v>
      </c>
    </row>
    <row r="32" spans="1:135" ht="30" customHeight="1" x14ac:dyDescent="0.25">
      <c r="C32" s="23"/>
      <c r="D32" s="23"/>
      <c r="E32" s="23"/>
      <c r="F32" s="23"/>
      <c r="S32" s="22" t="s">
        <v>201</v>
      </c>
      <c r="T32" s="22" t="s">
        <v>143</v>
      </c>
      <c r="U32" s="22">
        <v>3</v>
      </c>
      <c r="V32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6690</v>
      </c>
      <c r="W32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7361</v>
      </c>
      <c r="X32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8008</v>
      </c>
      <c r="Y32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2" s="27">
        <v>226</v>
      </c>
      <c r="AB32" s="20" t="s">
        <v>212</v>
      </c>
      <c r="AC32" s="20" t="s">
        <v>156</v>
      </c>
      <c r="AD32" s="20">
        <v>19</v>
      </c>
      <c r="AE32" s="20">
        <v>0</v>
      </c>
      <c r="AF32" s="106">
        <v>285</v>
      </c>
      <c r="AG32" s="106">
        <v>2550</v>
      </c>
      <c r="AH32" s="106">
        <v>296</v>
      </c>
      <c r="AI32" s="106">
        <v>950</v>
      </c>
      <c r="AJ32" s="20" t="s">
        <v>71</v>
      </c>
      <c r="AK32" s="20" t="s">
        <v>10</v>
      </c>
      <c r="AL32" s="20">
        <v>0</v>
      </c>
      <c r="CZ32" s="73"/>
      <c r="DC32" s="37" t="s">
        <v>541</v>
      </c>
      <c r="DD32" s="50" t="s">
        <v>543</v>
      </c>
      <c r="DE32" s="37" t="s">
        <v>508</v>
      </c>
      <c r="DF32" s="65" t="s">
        <v>606</v>
      </c>
      <c r="DG32" s="81">
        <f>VLOOKUP(Ручки[[#This Row],[Категория]],Ценовые_категории_ручек[],2,0)</f>
        <v>257</v>
      </c>
      <c r="DW32" s="108" t="s">
        <v>433</v>
      </c>
      <c r="DX32" s="103" t="s">
        <v>441</v>
      </c>
      <c r="DY32" s="103">
        <v>10</v>
      </c>
      <c r="DZ32" s="103">
        <v>3600</v>
      </c>
      <c r="EA32" s="103">
        <v>600</v>
      </c>
      <c r="EB32" s="104">
        <v>2536</v>
      </c>
      <c r="EC32" s="104">
        <v>4278</v>
      </c>
      <c r="ED32" s="104">
        <v>6020</v>
      </c>
      <c r="EE32" s="26">
        <f>ROUND(3650/1000/3*Столешницы[[#This Row],[600 х 3000]],0)</f>
        <v>7324</v>
      </c>
    </row>
    <row r="33" spans="1:164" ht="30" customHeight="1" x14ac:dyDescent="0.25">
      <c r="C33" s="23"/>
      <c r="D33" s="23"/>
      <c r="E33" s="23"/>
      <c r="F33" s="23"/>
      <c r="S33" s="22" t="s">
        <v>203</v>
      </c>
      <c r="T33" s="22" t="s">
        <v>142</v>
      </c>
      <c r="U33" s="22">
        <v>1</v>
      </c>
      <c r="V33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4203</v>
      </c>
      <c r="W33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4623</v>
      </c>
      <c r="X33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5045</v>
      </c>
      <c r="Y33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3" s="27">
        <v>229</v>
      </c>
      <c r="AB33" s="20" t="s">
        <v>214</v>
      </c>
      <c r="AC33" s="20" t="s">
        <v>156</v>
      </c>
      <c r="AD33" s="20">
        <v>19</v>
      </c>
      <c r="AE33" s="20">
        <v>0</v>
      </c>
      <c r="AF33" s="106">
        <v>205</v>
      </c>
      <c r="AG33" s="106">
        <v>2400</v>
      </c>
      <c r="AH33" s="106">
        <v>205</v>
      </c>
      <c r="AI33" s="106">
        <v>950</v>
      </c>
      <c r="AJ33" s="20" t="s">
        <v>71</v>
      </c>
      <c r="AK33" s="20" t="s">
        <v>10</v>
      </c>
      <c r="AL33" s="20">
        <v>0</v>
      </c>
      <c r="CZ33" s="73"/>
      <c r="DC33" s="56" t="s">
        <v>574</v>
      </c>
      <c r="DD33" s="50" t="s">
        <v>543</v>
      </c>
      <c r="DE33" s="53" t="s">
        <v>547</v>
      </c>
      <c r="DF33" s="65" t="s">
        <v>606</v>
      </c>
      <c r="DG33" s="81">
        <f>VLOOKUP(Ручки[[#This Row],[Категория]],Ценовые_категории_ручек[],2,0)</f>
        <v>450</v>
      </c>
      <c r="DW33" s="108" t="s">
        <v>434</v>
      </c>
      <c r="DX33" s="103" t="s">
        <v>441</v>
      </c>
      <c r="DY33" s="103">
        <v>10</v>
      </c>
      <c r="DZ33" s="103">
        <v>3600</v>
      </c>
      <c r="EA33" s="103">
        <v>600</v>
      </c>
      <c r="EB33" s="104">
        <v>2536</v>
      </c>
      <c r="EC33" s="104">
        <v>4278</v>
      </c>
      <c r="ED33" s="104">
        <v>6020</v>
      </c>
      <c r="EE33" s="26">
        <f>ROUND(3650/1000/3*Столешницы[[#This Row],[600 х 3000]],0)</f>
        <v>7324</v>
      </c>
    </row>
    <row r="34" spans="1:164" ht="30" customHeight="1" x14ac:dyDescent="0.25">
      <c r="C34" s="23"/>
      <c r="D34" s="23"/>
      <c r="E34" s="23"/>
      <c r="S34" s="22" t="s">
        <v>205</v>
      </c>
      <c r="T34" s="22" t="s">
        <v>143</v>
      </c>
      <c r="U34" s="22">
        <v>2</v>
      </c>
      <c r="V34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5764</v>
      </c>
      <c r="W34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6340</v>
      </c>
      <c r="X34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6916</v>
      </c>
      <c r="Y34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4" s="27">
        <v>230</v>
      </c>
      <c r="AB34" s="20" t="s">
        <v>216</v>
      </c>
      <c r="AC34" s="20" t="s">
        <v>158</v>
      </c>
      <c r="AD34" s="20">
        <v>19</v>
      </c>
      <c r="AE34" s="20">
        <v>16</v>
      </c>
      <c r="AF34" s="106">
        <v>135</v>
      </c>
      <c r="AG34" s="106">
        <v>2550</v>
      </c>
      <c r="AH34" s="106">
        <v>285</v>
      </c>
      <c r="AI34" s="106">
        <v>950</v>
      </c>
      <c r="AJ34" s="20" t="s">
        <v>71</v>
      </c>
      <c r="AK34" s="20" t="s">
        <v>10</v>
      </c>
      <c r="AL34" s="20">
        <v>0</v>
      </c>
      <c r="CZ34" s="73"/>
      <c r="DC34" s="37" t="s">
        <v>540</v>
      </c>
      <c r="DD34" s="50" t="s">
        <v>543</v>
      </c>
      <c r="DE34" s="37" t="s">
        <v>508</v>
      </c>
      <c r="DF34" s="65" t="s">
        <v>606</v>
      </c>
      <c r="DG34" s="81">
        <f>VLOOKUP(Ручки[[#This Row],[Категория]],Ценовые_категории_ручек[],2,0)</f>
        <v>257</v>
      </c>
      <c r="DW34" s="108" t="s">
        <v>435</v>
      </c>
      <c r="DX34" s="103" t="s">
        <v>441</v>
      </c>
      <c r="DY34" s="103">
        <v>10</v>
      </c>
      <c r="DZ34" s="103">
        <v>3600</v>
      </c>
      <c r="EA34" s="103">
        <v>600</v>
      </c>
      <c r="EB34" s="104">
        <v>2536</v>
      </c>
      <c r="EC34" s="104">
        <v>4278</v>
      </c>
      <c r="ED34" s="104">
        <v>6020</v>
      </c>
      <c r="EE34" s="26">
        <f>ROUND(3650/1000/3*Столешницы[[#This Row],[600 х 3000]],0)</f>
        <v>7324</v>
      </c>
    </row>
    <row r="35" spans="1:164" ht="30" customHeight="1" x14ac:dyDescent="0.25">
      <c r="S35" s="22" t="s">
        <v>207</v>
      </c>
      <c r="T35" s="22" t="s">
        <v>143</v>
      </c>
      <c r="U35" s="22">
        <v>1</v>
      </c>
      <c r="V35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5096</v>
      </c>
      <c r="W35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5602</v>
      </c>
      <c r="X35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6115</v>
      </c>
      <c r="Y35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5" s="27">
        <v>232</v>
      </c>
      <c r="AB35" s="20" t="s">
        <v>218</v>
      </c>
      <c r="AC35" s="20" t="s">
        <v>158</v>
      </c>
      <c r="AD35" s="20">
        <v>19</v>
      </c>
      <c r="AE35" s="20">
        <v>16</v>
      </c>
      <c r="AF35" s="106">
        <v>137</v>
      </c>
      <c r="AG35" s="106">
        <v>2550</v>
      </c>
      <c r="AH35" s="106">
        <v>290</v>
      </c>
      <c r="AI35" s="106">
        <v>950</v>
      </c>
      <c r="AJ35" s="20" t="s">
        <v>71</v>
      </c>
      <c r="AK35" s="20" t="s">
        <v>10</v>
      </c>
      <c r="AL35" s="20">
        <v>0</v>
      </c>
      <c r="CZ35" s="73"/>
      <c r="DC35" s="56" t="s">
        <v>599</v>
      </c>
      <c r="DD35" s="48" t="s">
        <v>555</v>
      </c>
      <c r="DE35" s="62" t="s">
        <v>554</v>
      </c>
      <c r="DF35" s="65" t="s">
        <v>682</v>
      </c>
      <c r="DG35" s="81">
        <f>VLOOKUP(Ручки[[#This Row],[Категория]],Ценовые_категории_ручек[],2,0)</f>
        <v>800</v>
      </c>
      <c r="DW35" s="108" t="s">
        <v>439</v>
      </c>
      <c r="DX35" s="103" t="s">
        <v>441</v>
      </c>
      <c r="DY35" s="103">
        <v>10</v>
      </c>
      <c r="DZ35" s="103">
        <v>3600</v>
      </c>
      <c r="EA35" s="103">
        <v>600</v>
      </c>
      <c r="EB35" s="104">
        <v>2536</v>
      </c>
      <c r="EC35" s="104">
        <v>4278</v>
      </c>
      <c r="ED35" s="104">
        <v>6020</v>
      </c>
      <c r="EE35" s="26">
        <f>ROUND(3650/1000/3*Столешницы[[#This Row],[600 х 3000]],0)</f>
        <v>7324</v>
      </c>
    </row>
    <row r="36" spans="1:164" ht="30" customHeight="1" x14ac:dyDescent="0.25">
      <c r="C36" s="23"/>
      <c r="D36" s="23"/>
      <c r="E36" s="23"/>
      <c r="F36" s="23"/>
      <c r="G36" s="24"/>
      <c r="S36" s="22" t="s">
        <v>209</v>
      </c>
      <c r="T36" s="22" t="s">
        <v>143</v>
      </c>
      <c r="U36" s="22">
        <v>1</v>
      </c>
      <c r="V36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5096</v>
      </c>
      <c r="W36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5602</v>
      </c>
      <c r="X36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6115</v>
      </c>
      <c r="Y36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6" s="27">
        <v>233</v>
      </c>
      <c r="AB36" s="20" t="s">
        <v>220</v>
      </c>
      <c r="AC36" s="20" t="s">
        <v>158</v>
      </c>
      <c r="AD36" s="20">
        <v>19</v>
      </c>
      <c r="AE36" s="20">
        <v>0</v>
      </c>
      <c r="AF36" s="106">
        <v>90</v>
      </c>
      <c r="AG36" s="106">
        <v>950</v>
      </c>
      <c r="AH36" s="106">
        <v>270</v>
      </c>
      <c r="AI36" s="106">
        <v>950</v>
      </c>
      <c r="AJ36" s="20" t="s">
        <v>71</v>
      </c>
      <c r="AK36" s="20" t="s">
        <v>10</v>
      </c>
      <c r="AL36" s="20">
        <v>0</v>
      </c>
      <c r="CZ36" s="73"/>
      <c r="DC36" s="56" t="s">
        <v>598</v>
      </c>
      <c r="DD36" s="48" t="s">
        <v>555</v>
      </c>
      <c r="DE36" s="62" t="s">
        <v>554</v>
      </c>
      <c r="DF36" s="65" t="s">
        <v>682</v>
      </c>
      <c r="DG36" s="81">
        <f>VLOOKUP(Ручки[[#This Row],[Категория]],Ценовые_категории_ручек[],2,0)</f>
        <v>800</v>
      </c>
      <c r="DH36" s="52"/>
      <c r="DW36" s="108" t="s">
        <v>440</v>
      </c>
      <c r="DX36" s="103" t="s">
        <v>441</v>
      </c>
      <c r="DY36" s="103">
        <v>10</v>
      </c>
      <c r="DZ36" s="103">
        <v>3600</v>
      </c>
      <c r="EA36" s="103">
        <v>600</v>
      </c>
      <c r="EB36" s="104">
        <v>2536</v>
      </c>
      <c r="EC36" s="104">
        <v>4278</v>
      </c>
      <c r="ED36" s="104">
        <v>6020</v>
      </c>
      <c r="EE36" s="26">
        <f>ROUND(3650/1000/3*Столешницы[[#This Row],[600 х 3000]],0)</f>
        <v>7324</v>
      </c>
    </row>
    <row r="37" spans="1:164" ht="30" customHeight="1" x14ac:dyDescent="0.25">
      <c r="S37" s="22" t="s">
        <v>211</v>
      </c>
      <c r="T37" s="22" t="s">
        <v>143</v>
      </c>
      <c r="U37" s="22">
        <v>1</v>
      </c>
      <c r="V37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5096</v>
      </c>
      <c r="W37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5602</v>
      </c>
      <c r="X37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6115</v>
      </c>
      <c r="Y37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7" s="27">
        <v>236</v>
      </c>
      <c r="AB37" s="20" t="s">
        <v>222</v>
      </c>
      <c r="AC37" s="20" t="s">
        <v>158</v>
      </c>
      <c r="AD37" s="20">
        <v>19</v>
      </c>
      <c r="AE37" s="20">
        <v>0</v>
      </c>
      <c r="AF37" s="106">
        <v>90</v>
      </c>
      <c r="AG37" s="106">
        <v>2400</v>
      </c>
      <c r="AH37" s="106">
        <v>270</v>
      </c>
      <c r="AI37" s="106">
        <v>950</v>
      </c>
      <c r="AJ37" s="20" t="s">
        <v>71</v>
      </c>
      <c r="AK37" s="20" t="s">
        <v>10</v>
      </c>
      <c r="AL37" s="20">
        <v>0</v>
      </c>
      <c r="CZ37" s="73"/>
      <c r="DC37" s="54" t="s">
        <v>597</v>
      </c>
      <c r="DD37" s="48" t="s">
        <v>555</v>
      </c>
      <c r="DE37" s="62" t="s">
        <v>554</v>
      </c>
      <c r="DF37" s="65" t="s">
        <v>682</v>
      </c>
      <c r="DG37" s="81">
        <f>VLOOKUP(Ручки[[#This Row],[Категория]],Ценовые_категории_ручек[],2,0)</f>
        <v>800</v>
      </c>
      <c r="DH37" s="49"/>
      <c r="DW37" s="22" t="s">
        <v>445</v>
      </c>
      <c r="DX37" s="103" t="s">
        <v>441</v>
      </c>
      <c r="DY37" s="103">
        <v>10</v>
      </c>
      <c r="DZ37" s="103">
        <v>3600</v>
      </c>
      <c r="EA37" s="103">
        <v>600</v>
      </c>
      <c r="EB37" s="104">
        <v>2536</v>
      </c>
      <c r="EC37" s="104">
        <v>4278</v>
      </c>
      <c r="ED37" s="104">
        <v>6020</v>
      </c>
      <c r="EE37" s="26">
        <f>ROUND(3650/1000/3*Столешницы[[#This Row],[600 х 3000]],0)</f>
        <v>7324</v>
      </c>
    </row>
    <row r="38" spans="1:164" ht="30" customHeight="1" x14ac:dyDescent="0.25">
      <c r="C38" s="23"/>
      <c r="D38" s="23"/>
      <c r="E38" s="23"/>
      <c r="F38" s="23"/>
      <c r="S38" s="22" t="s">
        <v>716</v>
      </c>
      <c r="T38" s="22" t="s">
        <v>142</v>
      </c>
      <c r="U38" s="22">
        <v>3</v>
      </c>
      <c r="V38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5764</v>
      </c>
      <c r="W38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6340</v>
      </c>
      <c r="X38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6916</v>
      </c>
      <c r="Y38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8" s="22">
        <v>237</v>
      </c>
      <c r="AB38" s="20" t="s">
        <v>224</v>
      </c>
      <c r="AC38" s="20" t="s">
        <v>158</v>
      </c>
      <c r="AD38" s="20">
        <v>19</v>
      </c>
      <c r="AE38" s="20">
        <v>16</v>
      </c>
      <c r="AF38" s="106">
        <v>135</v>
      </c>
      <c r="AG38" s="106">
        <v>2550</v>
      </c>
      <c r="AH38" s="106">
        <v>240</v>
      </c>
      <c r="AI38" s="106">
        <v>950</v>
      </c>
      <c r="AJ38" s="20" t="s">
        <v>71</v>
      </c>
      <c r="AK38" s="20" t="s">
        <v>71</v>
      </c>
      <c r="AL38" s="20">
        <v>0</v>
      </c>
      <c r="CZ38" s="73"/>
      <c r="DC38" s="55" t="s">
        <v>582</v>
      </c>
      <c r="DD38" s="48" t="s">
        <v>545</v>
      </c>
      <c r="DE38" s="53" t="s">
        <v>547</v>
      </c>
      <c r="DF38" s="65" t="s">
        <v>666</v>
      </c>
      <c r="DG38" s="81">
        <f>VLOOKUP(Ручки[[#This Row],[Категория]],Ценовые_категории_ручек[],2,0)</f>
        <v>450</v>
      </c>
      <c r="DH38" s="49"/>
      <c r="DW38" s="22" t="s">
        <v>446</v>
      </c>
      <c r="DX38" s="103" t="s">
        <v>441</v>
      </c>
      <c r="DY38" s="103">
        <v>10</v>
      </c>
      <c r="DZ38" s="103">
        <v>3600</v>
      </c>
      <c r="EA38" s="103">
        <v>600</v>
      </c>
      <c r="EB38" s="104">
        <v>2536</v>
      </c>
      <c r="EC38" s="104">
        <v>4278</v>
      </c>
      <c r="ED38" s="104">
        <v>6020</v>
      </c>
      <c r="EE38" s="26">
        <f>ROUND(3650/1000/3*Столешницы[[#This Row],[600 х 3000]],0)</f>
        <v>7324</v>
      </c>
    </row>
    <row r="39" spans="1:164" ht="30" customHeight="1" x14ac:dyDescent="0.25">
      <c r="A39" s="43" t="s">
        <v>524</v>
      </c>
      <c r="B39" s="23"/>
      <c r="C39" s="23"/>
      <c r="D39" s="23"/>
      <c r="E39" s="23"/>
      <c r="F39" s="23"/>
      <c r="S39" s="22" t="s">
        <v>213</v>
      </c>
      <c r="T39" s="22" t="s">
        <v>143</v>
      </c>
      <c r="U39" s="22">
        <v>2</v>
      </c>
      <c r="V39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5764</v>
      </c>
      <c r="W39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6340</v>
      </c>
      <c r="X39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6916</v>
      </c>
      <c r="Y39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9" s="27">
        <v>276</v>
      </c>
      <c r="AB39" s="20" t="s">
        <v>226</v>
      </c>
      <c r="AC39" s="20" t="s">
        <v>158</v>
      </c>
      <c r="AD39" s="20">
        <v>19</v>
      </c>
      <c r="AE39" s="20">
        <v>16</v>
      </c>
      <c r="AF39" s="106">
        <v>135</v>
      </c>
      <c r="AG39" s="106">
        <v>2550</v>
      </c>
      <c r="AH39" s="106">
        <v>285</v>
      </c>
      <c r="AI39" s="106">
        <v>950</v>
      </c>
      <c r="AJ39" s="20" t="s">
        <v>71</v>
      </c>
      <c r="AK39" s="20" t="s">
        <v>10</v>
      </c>
      <c r="AL39" s="20">
        <v>0</v>
      </c>
      <c r="CZ39" s="73"/>
      <c r="DC39" s="55" t="s">
        <v>561</v>
      </c>
      <c r="DD39" s="50" t="s">
        <v>543</v>
      </c>
      <c r="DE39" s="37" t="s">
        <v>508</v>
      </c>
      <c r="DF39" s="65" t="s">
        <v>666</v>
      </c>
      <c r="DG39" s="81">
        <f>VLOOKUP(Ручки[[#This Row],[Категория]],Ценовые_категории_ручек[],2,0)</f>
        <v>257</v>
      </c>
      <c r="DW39" s="22" t="s">
        <v>447</v>
      </c>
      <c r="DX39" s="103" t="s">
        <v>441</v>
      </c>
      <c r="DY39" s="103">
        <v>10</v>
      </c>
      <c r="DZ39" s="103">
        <v>3600</v>
      </c>
      <c r="EA39" s="103">
        <v>600</v>
      </c>
      <c r="EB39" s="104">
        <v>2536</v>
      </c>
      <c r="EC39" s="104">
        <v>4278</v>
      </c>
      <c r="ED39" s="104">
        <v>6020</v>
      </c>
      <c r="EE39" s="26">
        <f>ROUND(3650/1000/3*Столешницы[[#This Row],[600 х 3000]],0)</f>
        <v>7324</v>
      </c>
    </row>
    <row r="40" spans="1:164" ht="30" customHeight="1" x14ac:dyDescent="0.25">
      <c r="A40" s="44" t="s">
        <v>525</v>
      </c>
      <c r="S40" s="22" t="s">
        <v>215</v>
      </c>
      <c r="T40" s="22" t="s">
        <v>143</v>
      </c>
      <c r="U40" s="22">
        <v>2</v>
      </c>
      <c r="V40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5764</v>
      </c>
      <c r="W40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6340</v>
      </c>
      <c r="X40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6916</v>
      </c>
      <c r="Y40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0" s="27">
        <v>277</v>
      </c>
      <c r="AB40" s="20" t="s">
        <v>227</v>
      </c>
      <c r="AC40" s="20" t="s">
        <v>158</v>
      </c>
      <c r="AD40" s="20">
        <v>19</v>
      </c>
      <c r="AE40" s="20">
        <v>16</v>
      </c>
      <c r="AF40" s="106">
        <v>135</v>
      </c>
      <c r="AG40" s="106">
        <v>2550</v>
      </c>
      <c r="AH40" s="106">
        <v>228</v>
      </c>
      <c r="AI40" s="106">
        <v>950</v>
      </c>
      <c r="AJ40" s="20" t="s">
        <v>71</v>
      </c>
      <c r="AK40" s="20" t="s">
        <v>71</v>
      </c>
      <c r="AL40" s="20">
        <v>0</v>
      </c>
      <c r="DC40" s="55" t="s">
        <v>591</v>
      </c>
      <c r="DD40" s="48" t="s">
        <v>545</v>
      </c>
      <c r="DE40" s="56" t="s">
        <v>549</v>
      </c>
      <c r="DF40" s="65" t="s">
        <v>670</v>
      </c>
      <c r="DG40" s="81">
        <f>VLOOKUP(Ручки[[#This Row],[Категория]],Ценовые_категории_ручек[],2,0)</f>
        <v>800</v>
      </c>
      <c r="DW40" s="108" t="s">
        <v>448</v>
      </c>
      <c r="DX40" s="103" t="s">
        <v>454</v>
      </c>
      <c r="DY40" s="103">
        <v>10</v>
      </c>
      <c r="DZ40" s="103">
        <v>4200</v>
      </c>
      <c r="EA40" s="103">
        <v>600</v>
      </c>
      <c r="EB40" s="104">
        <v>5477</v>
      </c>
      <c r="EC40" s="104">
        <v>9240</v>
      </c>
      <c r="ED40" s="104">
        <v>13003</v>
      </c>
      <c r="EE40" s="26">
        <v>18022</v>
      </c>
    </row>
    <row r="41" spans="1:164" ht="30" customHeight="1" x14ac:dyDescent="0.25">
      <c r="A41" s="20" t="s">
        <v>491</v>
      </c>
      <c r="B41" s="20" t="s">
        <v>122</v>
      </c>
      <c r="C41" s="257" t="s">
        <v>715</v>
      </c>
      <c r="D41" s="25"/>
      <c r="E41" s="25"/>
      <c r="S41" s="22" t="s">
        <v>217</v>
      </c>
      <c r="T41" s="22" t="s">
        <v>143</v>
      </c>
      <c r="U41" s="22">
        <v>2</v>
      </c>
      <c r="V41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5764</v>
      </c>
      <c r="W41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6340</v>
      </c>
      <c r="X41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6916</v>
      </c>
      <c r="Y41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1" s="27">
        <v>278</v>
      </c>
      <c r="AB41" s="20" t="s">
        <v>229</v>
      </c>
      <c r="AC41" s="20" t="s">
        <v>158</v>
      </c>
      <c r="AD41" s="20">
        <v>19</v>
      </c>
      <c r="AE41" s="20">
        <v>16</v>
      </c>
      <c r="AF41" s="106">
        <v>70</v>
      </c>
      <c r="AG41" s="106">
        <v>2550</v>
      </c>
      <c r="AH41" s="106">
        <v>278</v>
      </c>
      <c r="AI41" s="106">
        <v>950</v>
      </c>
      <c r="AJ41" s="20" t="s">
        <v>71</v>
      </c>
      <c r="AK41" s="20" t="s">
        <v>10</v>
      </c>
      <c r="AL41" s="20">
        <v>0</v>
      </c>
      <c r="DC41" s="37" t="s">
        <v>564</v>
      </c>
      <c r="DD41" s="50" t="s">
        <v>543</v>
      </c>
      <c r="DE41" s="37" t="s">
        <v>508</v>
      </c>
      <c r="DF41" s="65" t="s">
        <v>670</v>
      </c>
      <c r="DG41" s="81">
        <f>VLOOKUP(Ручки[[#This Row],[Категория]],Ценовые_категории_ручек[],2,0)</f>
        <v>257</v>
      </c>
      <c r="DW41" s="108" t="s">
        <v>449</v>
      </c>
      <c r="DX41" s="103" t="s">
        <v>454</v>
      </c>
      <c r="DY41" s="103">
        <v>10</v>
      </c>
      <c r="DZ41" s="103">
        <v>4200</v>
      </c>
      <c r="EA41" s="103">
        <v>600</v>
      </c>
      <c r="EB41" s="104">
        <v>5477</v>
      </c>
      <c r="EC41" s="104">
        <v>9240</v>
      </c>
      <c r="ED41" s="104">
        <v>13003</v>
      </c>
      <c r="EE41" s="26">
        <v>18022</v>
      </c>
    </row>
    <row r="42" spans="1:164" ht="30" customHeight="1" x14ac:dyDescent="0.25">
      <c r="A42" s="115" t="s">
        <v>481</v>
      </c>
      <c r="B42" s="114">
        <v>2931</v>
      </c>
      <c r="C42" s="25"/>
      <c r="D42" s="28"/>
      <c r="E42" s="25"/>
      <c r="S42" s="22" t="s">
        <v>219</v>
      </c>
      <c r="T42" s="22" t="s">
        <v>143</v>
      </c>
      <c r="U42" s="22">
        <v>1</v>
      </c>
      <c r="V42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5096</v>
      </c>
      <c r="W42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5602</v>
      </c>
      <c r="X42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6115</v>
      </c>
      <c r="Y42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2" s="27">
        <v>281</v>
      </c>
      <c r="AB42" s="20" t="s">
        <v>231</v>
      </c>
      <c r="AC42" s="20" t="s">
        <v>158</v>
      </c>
      <c r="AD42" s="20">
        <v>19</v>
      </c>
      <c r="AE42" s="20">
        <v>16</v>
      </c>
      <c r="AF42" s="106">
        <v>70</v>
      </c>
      <c r="AG42" s="106">
        <v>2550</v>
      </c>
      <c r="AH42" s="106">
        <v>205</v>
      </c>
      <c r="AI42" s="106">
        <v>950</v>
      </c>
      <c r="AJ42" s="20" t="s">
        <v>71</v>
      </c>
      <c r="AK42" s="20" t="s">
        <v>71</v>
      </c>
      <c r="AL42" s="20">
        <v>0</v>
      </c>
      <c r="DC42" s="55" t="s">
        <v>604</v>
      </c>
      <c r="DD42" s="48" t="s">
        <v>538</v>
      </c>
      <c r="DE42" s="62" t="s">
        <v>554</v>
      </c>
      <c r="DF42" s="65" t="s">
        <v>685</v>
      </c>
      <c r="DG42" s="81">
        <f>VLOOKUP(Ручки[[#This Row],[Категория]],Ценовые_категории_ручек[],2,0)</f>
        <v>800</v>
      </c>
      <c r="DW42" s="108" t="s">
        <v>450</v>
      </c>
      <c r="DX42" s="103" t="s">
        <v>454</v>
      </c>
      <c r="DY42" s="103">
        <v>10</v>
      </c>
      <c r="DZ42" s="103">
        <v>4200</v>
      </c>
      <c r="EA42" s="103">
        <v>600</v>
      </c>
      <c r="EB42" s="104">
        <v>5477</v>
      </c>
      <c r="EC42" s="104">
        <v>9240</v>
      </c>
      <c r="ED42" s="104">
        <v>13003</v>
      </c>
      <c r="EE42" s="26">
        <v>18022</v>
      </c>
    </row>
    <row r="43" spans="1:164" ht="30" customHeight="1" x14ac:dyDescent="0.25">
      <c r="A43" s="115" t="s">
        <v>482</v>
      </c>
      <c r="B43" s="25">
        <v>4373</v>
      </c>
      <c r="C43" s="25"/>
      <c r="D43" s="28"/>
      <c r="E43" s="25"/>
      <c r="S43" s="22" t="s">
        <v>221</v>
      </c>
      <c r="T43" s="22" t="s">
        <v>143</v>
      </c>
      <c r="U43" s="22">
        <v>4</v>
      </c>
      <c r="V43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7620</v>
      </c>
      <c r="W43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8382</v>
      </c>
      <c r="X43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9145</v>
      </c>
      <c r="Y43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3" s="27">
        <v>283</v>
      </c>
      <c r="AB43" s="20" t="s">
        <v>233</v>
      </c>
      <c r="AC43" s="20" t="s">
        <v>156</v>
      </c>
      <c r="AD43" s="20">
        <v>19</v>
      </c>
      <c r="AE43" s="20">
        <v>0</v>
      </c>
      <c r="AF43" s="106">
        <v>250</v>
      </c>
      <c r="AG43" s="106">
        <v>2550</v>
      </c>
      <c r="AH43" s="106">
        <v>250</v>
      </c>
      <c r="AI43" s="106">
        <v>950</v>
      </c>
      <c r="AJ43" s="20" t="s">
        <v>71</v>
      </c>
      <c r="AK43" s="20" t="s">
        <v>71</v>
      </c>
      <c r="AL43" s="20">
        <v>0</v>
      </c>
      <c r="DC43" s="54" t="s">
        <v>594</v>
      </c>
      <c r="DD43" s="48" t="s">
        <v>551</v>
      </c>
      <c r="DE43" s="62" t="s">
        <v>553</v>
      </c>
      <c r="DF43" s="65" t="s">
        <v>680</v>
      </c>
      <c r="DG43" s="81">
        <f>VLOOKUP(Ручки[[#This Row],[Категория]],Ценовые_категории_ручек[],2,0)</f>
        <v>625</v>
      </c>
      <c r="DW43" s="108" t="s">
        <v>451</v>
      </c>
      <c r="DX43" s="103" t="s">
        <v>454</v>
      </c>
      <c r="DY43" s="103">
        <v>10</v>
      </c>
      <c r="DZ43" s="103">
        <v>4200</v>
      </c>
      <c r="EA43" s="103">
        <v>600</v>
      </c>
      <c r="EB43" s="104">
        <v>5477</v>
      </c>
      <c r="EC43" s="104">
        <v>9240</v>
      </c>
      <c r="ED43" s="104">
        <v>13003</v>
      </c>
      <c r="EE43" s="26">
        <v>18022</v>
      </c>
    </row>
    <row r="44" spans="1:164" ht="30" customHeight="1" x14ac:dyDescent="0.25">
      <c r="A44" s="115" t="s">
        <v>483</v>
      </c>
      <c r="B44" s="25">
        <v>4373</v>
      </c>
      <c r="C44" s="25"/>
      <c r="D44" s="28"/>
      <c r="E44" s="25"/>
      <c r="S44" s="22" t="s">
        <v>223</v>
      </c>
      <c r="T44" s="22" t="s">
        <v>143</v>
      </c>
      <c r="U44" s="22">
        <v>4</v>
      </c>
      <c r="V44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7620</v>
      </c>
      <c r="W44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8382</v>
      </c>
      <c r="X44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9145</v>
      </c>
      <c r="Y44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4" s="27">
        <v>284</v>
      </c>
      <c r="AB44" s="20" t="s">
        <v>235</v>
      </c>
      <c r="AC44" s="20" t="s">
        <v>156</v>
      </c>
      <c r="AD44" s="20">
        <v>19</v>
      </c>
      <c r="AE44" s="20">
        <v>0</v>
      </c>
      <c r="AF44" s="106">
        <v>186</v>
      </c>
      <c r="AG44" s="106">
        <v>2550</v>
      </c>
      <c r="AH44" s="106">
        <v>254</v>
      </c>
      <c r="AI44" s="106">
        <v>950</v>
      </c>
      <c r="AJ44" s="20" t="s">
        <v>71</v>
      </c>
      <c r="AK44" s="20" t="s">
        <v>71</v>
      </c>
      <c r="AL44" s="20">
        <v>0</v>
      </c>
      <c r="DC44" s="54" t="s">
        <v>596</v>
      </c>
      <c r="DD44" s="48" t="s">
        <v>551</v>
      </c>
      <c r="DE44" s="62" t="s">
        <v>553</v>
      </c>
      <c r="DF44" s="65" t="s">
        <v>680</v>
      </c>
      <c r="DG44" s="81">
        <f>VLOOKUP(Ручки[[#This Row],[Категория]],Ценовые_категории_ручек[],2,0)</f>
        <v>625</v>
      </c>
      <c r="DW44" s="108" t="s">
        <v>452</v>
      </c>
      <c r="DX44" s="103" t="s">
        <v>454</v>
      </c>
      <c r="DY44" s="103">
        <v>10</v>
      </c>
      <c r="DZ44" s="103">
        <v>4200</v>
      </c>
      <c r="EA44" s="103">
        <v>600</v>
      </c>
      <c r="EB44" s="104">
        <v>5477</v>
      </c>
      <c r="EC44" s="104">
        <v>9240</v>
      </c>
      <c r="ED44" s="104">
        <v>13003</v>
      </c>
      <c r="EE44" s="26">
        <v>18022</v>
      </c>
      <c r="EV44" s="72"/>
      <c r="EW44" s="72"/>
      <c r="EX44" s="72"/>
      <c r="EY44" s="72"/>
      <c r="EZ44" s="72"/>
      <c r="FA44" s="72"/>
      <c r="FB44" s="72"/>
      <c r="FC44" s="72"/>
      <c r="FD44" s="72"/>
      <c r="FE44" s="72"/>
      <c r="FF44" s="72"/>
      <c r="FG44" s="72"/>
      <c r="FH44" s="72"/>
    </row>
    <row r="45" spans="1:164" ht="30" customHeight="1" x14ac:dyDescent="0.25">
      <c r="A45" s="115" t="s">
        <v>484</v>
      </c>
      <c r="B45" s="25">
        <v>4033</v>
      </c>
      <c r="C45" s="25"/>
      <c r="D45" s="28"/>
      <c r="E45" s="25"/>
      <c r="S45" s="22" t="s">
        <v>225</v>
      </c>
      <c r="T45" s="22" t="s">
        <v>143</v>
      </c>
      <c r="U45" s="22">
        <v>1</v>
      </c>
      <c r="V45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5096</v>
      </c>
      <c r="W45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5602</v>
      </c>
      <c r="X45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6115</v>
      </c>
      <c r="Y45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5" s="27">
        <v>285</v>
      </c>
      <c r="AB45" s="20" t="s">
        <v>237</v>
      </c>
      <c r="AC45" s="20" t="s">
        <v>156</v>
      </c>
      <c r="AD45" s="20">
        <v>19</v>
      </c>
      <c r="AE45" s="20">
        <v>0</v>
      </c>
      <c r="AF45" s="106">
        <v>70</v>
      </c>
      <c r="AG45" s="106">
        <v>2550</v>
      </c>
      <c r="AH45" s="106">
        <v>70</v>
      </c>
      <c r="AI45" s="106">
        <v>2550</v>
      </c>
      <c r="AJ45" s="20" t="s">
        <v>71</v>
      </c>
      <c r="AK45" s="20" t="s">
        <v>10</v>
      </c>
      <c r="AL45" s="20">
        <v>0</v>
      </c>
      <c r="DC45" s="55" t="s">
        <v>593</v>
      </c>
      <c r="DD45" s="48" t="s">
        <v>545</v>
      </c>
      <c r="DE45" s="62" t="s">
        <v>550</v>
      </c>
      <c r="DF45" s="65" t="s">
        <v>679</v>
      </c>
      <c r="DG45" s="81">
        <f>VLOOKUP(Ручки[[#This Row],[Категория]],Ценовые_категории_ручек[],2,0)</f>
        <v>450</v>
      </c>
      <c r="DW45" s="108" t="s">
        <v>453</v>
      </c>
      <c r="DX45" s="103" t="s">
        <v>454</v>
      </c>
      <c r="DY45" s="103">
        <v>10</v>
      </c>
      <c r="DZ45" s="103">
        <v>4200</v>
      </c>
      <c r="EA45" s="103">
        <v>600</v>
      </c>
      <c r="EB45" s="104">
        <v>5477</v>
      </c>
      <c r="EC45" s="104">
        <v>9240</v>
      </c>
      <c r="ED45" s="104">
        <v>13003</v>
      </c>
      <c r="EE45" s="26">
        <v>18022</v>
      </c>
      <c r="EV45" s="72"/>
      <c r="EW45" s="72"/>
      <c r="EX45" s="72"/>
      <c r="EY45" s="72"/>
      <c r="EZ45" s="72"/>
      <c r="FA45" s="72"/>
      <c r="FB45" s="72"/>
      <c r="FC45" s="72"/>
      <c r="FD45" s="72"/>
      <c r="FE45" s="72"/>
      <c r="FF45" s="72"/>
      <c r="FG45" s="72"/>
      <c r="FH45" s="72"/>
    </row>
    <row r="46" spans="1:164" ht="30" customHeight="1" x14ac:dyDescent="0.25">
      <c r="A46" s="115" t="s">
        <v>485</v>
      </c>
      <c r="B46" s="25">
        <v>4915</v>
      </c>
      <c r="C46" s="20"/>
      <c r="D46" s="28"/>
      <c r="E46" s="25"/>
      <c r="S46" s="22" t="s">
        <v>228</v>
      </c>
      <c r="T46" s="22" t="s">
        <v>143</v>
      </c>
      <c r="U46" s="22">
        <v>3</v>
      </c>
      <c r="V46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6690</v>
      </c>
      <c r="W46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7361</v>
      </c>
      <c r="X46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8008</v>
      </c>
      <c r="Y46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6" s="27">
        <v>296</v>
      </c>
      <c r="DC46" s="55" t="s">
        <v>581</v>
      </c>
      <c r="DD46" s="48" t="s">
        <v>545</v>
      </c>
      <c r="DE46" s="54" t="s">
        <v>547</v>
      </c>
      <c r="DF46" s="65" t="s">
        <v>676</v>
      </c>
      <c r="DG46" s="81">
        <f>VLOOKUP(Ручки[[#This Row],[Категория]],Ценовые_категории_ручек[],2,0)</f>
        <v>450</v>
      </c>
      <c r="DW46" s="22" t="s">
        <v>455</v>
      </c>
      <c r="DX46" s="103" t="s">
        <v>454</v>
      </c>
      <c r="DY46" s="103">
        <v>10</v>
      </c>
      <c r="DZ46" s="103">
        <v>4200</v>
      </c>
      <c r="EA46" s="103">
        <v>600</v>
      </c>
      <c r="EB46" s="104">
        <v>5477</v>
      </c>
      <c r="EC46" s="104">
        <v>9240</v>
      </c>
      <c r="ED46" s="104">
        <v>13003</v>
      </c>
      <c r="EE46" s="26">
        <v>18022</v>
      </c>
      <c r="EV46" s="72"/>
      <c r="EW46" s="72"/>
      <c r="EX46" s="72"/>
      <c r="EY46" s="72"/>
      <c r="EZ46" s="72"/>
      <c r="FA46" s="72"/>
      <c r="FB46" s="72"/>
      <c r="FC46" s="72"/>
      <c r="FD46" s="72"/>
      <c r="FE46" s="72"/>
      <c r="FF46" s="72"/>
      <c r="FG46" s="72"/>
      <c r="FH46" s="72"/>
    </row>
    <row r="47" spans="1:164" ht="30" customHeight="1" x14ac:dyDescent="0.25">
      <c r="A47" s="115" t="s">
        <v>488</v>
      </c>
      <c r="B47" s="114">
        <v>5423</v>
      </c>
      <c r="C47" s="25"/>
      <c r="D47" s="28"/>
      <c r="E47" s="25"/>
      <c r="S47" s="22" t="s">
        <v>230</v>
      </c>
      <c r="T47" s="22" t="s">
        <v>143</v>
      </c>
      <c r="U47" s="22">
        <v>3</v>
      </c>
      <c r="V47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6690</v>
      </c>
      <c r="W47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7361</v>
      </c>
      <c r="X47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8008</v>
      </c>
      <c r="Y47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7" s="27">
        <v>300</v>
      </c>
      <c r="DC47" s="37" t="s">
        <v>562</v>
      </c>
      <c r="DD47" s="48" t="s">
        <v>545</v>
      </c>
      <c r="DE47" s="37" t="s">
        <v>508</v>
      </c>
      <c r="DF47" s="65" t="s">
        <v>668</v>
      </c>
      <c r="DG47" s="81">
        <f>VLOOKUP(Ручки[[#This Row],[Категория]],Ценовые_категории_ручек[],2,0)</f>
        <v>257</v>
      </c>
      <c r="EV47" s="72"/>
      <c r="EW47" s="72"/>
      <c r="EX47" s="72"/>
      <c r="EY47" s="72"/>
      <c r="EZ47" s="72"/>
      <c r="FA47" s="72"/>
      <c r="FB47" s="72"/>
      <c r="FC47" s="72"/>
      <c r="FD47" s="72"/>
      <c r="FE47" s="72"/>
      <c r="FF47" s="72"/>
      <c r="FG47" s="72"/>
      <c r="FH47" s="72"/>
    </row>
    <row r="48" spans="1:164" ht="30" customHeight="1" x14ac:dyDescent="0.25">
      <c r="A48" s="45" t="s">
        <v>489</v>
      </c>
      <c r="B48" s="25">
        <v>9200</v>
      </c>
      <c r="C48" s="20"/>
      <c r="D48" s="28"/>
      <c r="E48" s="25"/>
      <c r="S48" s="22" t="s">
        <v>232</v>
      </c>
      <c r="T48" s="22" t="s">
        <v>143</v>
      </c>
      <c r="U48" s="22">
        <v>2</v>
      </c>
      <c r="V48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5764</v>
      </c>
      <c r="W48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6340</v>
      </c>
      <c r="X48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6916</v>
      </c>
      <c r="Y48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8" s="27">
        <v>301</v>
      </c>
      <c r="DC48" s="55" t="s">
        <v>603</v>
      </c>
      <c r="DD48" s="48" t="s">
        <v>545</v>
      </c>
      <c r="DE48" s="62" t="s">
        <v>554</v>
      </c>
      <c r="DF48" s="65" t="s">
        <v>684</v>
      </c>
      <c r="DG48" s="81">
        <f>VLOOKUP(Ручки[[#This Row],[Категория]],Ценовые_категории_ручек[],2,0)</f>
        <v>800</v>
      </c>
    </row>
    <row r="49" spans="1:111" ht="30" customHeight="1" x14ac:dyDescent="0.25">
      <c r="D49" s="28"/>
      <c r="E49" s="25"/>
      <c r="S49" s="22" t="s">
        <v>234</v>
      </c>
      <c r="T49" s="22" t="s">
        <v>142</v>
      </c>
      <c r="U49" s="22">
        <v>1</v>
      </c>
      <c r="V49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4203</v>
      </c>
      <c r="W49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4623</v>
      </c>
      <c r="X49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5045</v>
      </c>
      <c r="Y49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9" s="27">
        <v>307</v>
      </c>
      <c r="DC49" s="54" t="s">
        <v>602</v>
      </c>
      <c r="DD49" s="48" t="s">
        <v>545</v>
      </c>
      <c r="DE49" s="62" t="s">
        <v>554</v>
      </c>
      <c r="DF49" s="65" t="s">
        <v>684</v>
      </c>
      <c r="DG49" s="81">
        <f>VLOOKUP(Ручки[[#This Row],[Категория]],Ценовые_категории_ручек[],2,0)</f>
        <v>800</v>
      </c>
    </row>
    <row r="50" spans="1:111" ht="30" customHeight="1" x14ac:dyDescent="0.25">
      <c r="D50" s="28"/>
      <c r="E50" s="25"/>
      <c r="S50" s="22" t="s">
        <v>236</v>
      </c>
      <c r="T50" s="22" t="s">
        <v>142</v>
      </c>
      <c r="U50" s="22">
        <v>1</v>
      </c>
      <c r="V50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4203</v>
      </c>
      <c r="W50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4623</v>
      </c>
      <c r="X50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5045</v>
      </c>
      <c r="Y50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0" s="27">
        <v>308</v>
      </c>
      <c r="DC50" s="37" t="s">
        <v>544</v>
      </c>
      <c r="DD50" s="48" t="s">
        <v>545</v>
      </c>
      <c r="DE50" s="37" t="s">
        <v>508</v>
      </c>
      <c r="DF50" s="65" t="s">
        <v>667</v>
      </c>
      <c r="DG50" s="81">
        <f>VLOOKUP(Ручки[[#This Row],[Категория]],Ценовые_категории_ручек[],2,0)</f>
        <v>257</v>
      </c>
    </row>
    <row r="51" spans="1:111" ht="30" customHeight="1" x14ac:dyDescent="0.25">
      <c r="D51" s="28"/>
      <c r="E51" s="25"/>
      <c r="S51" s="22" t="s">
        <v>238</v>
      </c>
      <c r="T51" s="22" t="s">
        <v>143</v>
      </c>
      <c r="U51" s="22">
        <v>4</v>
      </c>
      <c r="V51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7620</v>
      </c>
      <c r="W51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8382</v>
      </c>
      <c r="X51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9145</v>
      </c>
      <c r="Y51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1" s="27">
        <v>384</v>
      </c>
      <c r="DC51" s="55" t="s">
        <v>583</v>
      </c>
      <c r="DD51" s="48" t="s">
        <v>545</v>
      </c>
      <c r="DE51" s="54" t="s">
        <v>547</v>
      </c>
      <c r="DF51" s="65" t="s">
        <v>674</v>
      </c>
      <c r="DG51" s="81">
        <f>VLOOKUP(Ручки[[#This Row],[Категория]],Ценовые_категории_ручек[],2,0)</f>
        <v>450</v>
      </c>
    </row>
    <row r="52" spans="1:111" ht="30" customHeight="1" x14ac:dyDescent="0.25">
      <c r="D52" s="28"/>
      <c r="E52" s="25"/>
      <c r="S52" s="22" t="s">
        <v>240</v>
      </c>
      <c r="T52" s="22" t="s">
        <v>143</v>
      </c>
      <c r="U52" s="22">
        <v>1</v>
      </c>
      <c r="V52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5096</v>
      </c>
      <c r="W52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5602</v>
      </c>
      <c r="X52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6115</v>
      </c>
      <c r="Y52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2" s="27">
        <v>419</v>
      </c>
      <c r="DC52" s="56" t="s">
        <v>578</v>
      </c>
      <c r="DD52" s="48" t="s">
        <v>545</v>
      </c>
      <c r="DE52" s="53" t="s">
        <v>547</v>
      </c>
      <c r="DF52" s="65" t="s">
        <v>674</v>
      </c>
      <c r="DG52" s="81">
        <f>VLOOKUP(Ручки[[#This Row],[Категория]],Ценовые_категории_ручек[],2,0)</f>
        <v>450</v>
      </c>
    </row>
    <row r="53" spans="1:111" ht="30" customHeight="1" x14ac:dyDescent="0.25">
      <c r="D53" s="28"/>
      <c r="E53" s="25"/>
      <c r="S53" s="22" t="s">
        <v>242</v>
      </c>
      <c r="T53" s="22" t="s">
        <v>142</v>
      </c>
      <c r="U53" s="22">
        <v>3</v>
      </c>
      <c r="V53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5764</v>
      </c>
      <c r="W53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6340</v>
      </c>
      <c r="X53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6916</v>
      </c>
      <c r="Y53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3" s="27">
        <v>500</v>
      </c>
      <c r="DC53" s="55" t="s">
        <v>588</v>
      </c>
      <c r="DD53" s="48" t="s">
        <v>545</v>
      </c>
      <c r="DE53" s="56" t="s">
        <v>548</v>
      </c>
      <c r="DF53" s="65" t="s">
        <v>663</v>
      </c>
      <c r="DG53" s="81">
        <f>VLOOKUP(Ручки[[#This Row],[Категория]],Ценовые_категории_ручек[],2,0)</f>
        <v>625</v>
      </c>
    </row>
    <row r="54" spans="1:111" ht="30" customHeight="1" x14ac:dyDescent="0.25">
      <c r="A54" s="330" t="s">
        <v>1270</v>
      </c>
      <c r="B54" s="330"/>
      <c r="S54" s="22" t="s">
        <v>243</v>
      </c>
      <c r="T54" s="22" t="s">
        <v>142</v>
      </c>
      <c r="U54" s="22">
        <v>3</v>
      </c>
      <c r="V54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5764</v>
      </c>
      <c r="W54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6340</v>
      </c>
      <c r="X54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6916</v>
      </c>
      <c r="Y54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4" s="27">
        <v>501</v>
      </c>
      <c r="DC54" s="55" t="s">
        <v>558</v>
      </c>
      <c r="DD54" s="50" t="s">
        <v>543</v>
      </c>
      <c r="DE54" s="37" t="s">
        <v>508</v>
      </c>
      <c r="DF54" s="65" t="s">
        <v>663</v>
      </c>
      <c r="DG54" s="81">
        <f>VLOOKUP(Ручки[[#This Row],[Категория]],Ценовые_категории_ручек[],2,0)</f>
        <v>257</v>
      </c>
    </row>
    <row r="55" spans="1:111" ht="30" customHeight="1" x14ac:dyDescent="0.25">
      <c r="A55" s="113" t="s">
        <v>477</v>
      </c>
      <c r="B55" s="25">
        <v>1179</v>
      </c>
      <c r="S55" s="22" t="s">
        <v>244</v>
      </c>
      <c r="T55" s="22" t="s">
        <v>142</v>
      </c>
      <c r="U55" s="22">
        <v>3</v>
      </c>
      <c r="V55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5764</v>
      </c>
      <c r="W55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6340</v>
      </c>
      <c r="X55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6916</v>
      </c>
      <c r="Y55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5" s="27">
        <v>503</v>
      </c>
      <c r="DC55" s="55" t="s">
        <v>605</v>
      </c>
      <c r="DD55" s="48" t="s">
        <v>545</v>
      </c>
      <c r="DE55" s="62" t="s">
        <v>554</v>
      </c>
      <c r="DF55" s="65" t="s">
        <v>686</v>
      </c>
      <c r="DG55" s="81">
        <f>VLOOKUP(Ручки[[#This Row],[Категория]],Ценовые_категории_ручек[],2,0)</f>
        <v>800</v>
      </c>
    </row>
    <row r="56" spans="1:111" ht="30" customHeight="1" x14ac:dyDescent="0.25">
      <c r="A56" s="45" t="s">
        <v>478</v>
      </c>
      <c r="B56" s="25">
        <v>2024</v>
      </c>
      <c r="S56" s="22" t="s">
        <v>245</v>
      </c>
      <c r="T56" s="22" t="s">
        <v>142</v>
      </c>
      <c r="U56" s="22">
        <v>3</v>
      </c>
      <c r="V56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5764</v>
      </c>
      <c r="W56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6340</v>
      </c>
      <c r="X56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6916</v>
      </c>
      <c r="Y56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6" s="27">
        <v>504</v>
      </c>
      <c r="DC56" s="56" t="s">
        <v>590</v>
      </c>
      <c r="DD56" s="48" t="s">
        <v>545</v>
      </c>
      <c r="DE56" s="56" t="s">
        <v>549</v>
      </c>
      <c r="DF56" s="65" t="s">
        <v>675</v>
      </c>
      <c r="DG56" s="81">
        <f>VLOOKUP(Ручки[[#This Row],[Категория]],Ценовые_категории_ручек[],2,0)</f>
        <v>800</v>
      </c>
    </row>
    <row r="57" spans="1:111" ht="30" customHeight="1" x14ac:dyDescent="0.25">
      <c r="A57" s="45" t="s">
        <v>479</v>
      </c>
      <c r="B57" s="25">
        <v>2024</v>
      </c>
      <c r="S57" s="22" t="s">
        <v>246</v>
      </c>
      <c r="T57" s="22" t="s">
        <v>142</v>
      </c>
      <c r="U57" s="22">
        <v>3</v>
      </c>
      <c r="V57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5764</v>
      </c>
      <c r="W57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6340</v>
      </c>
      <c r="X57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6916</v>
      </c>
      <c r="Y57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7" s="27">
        <v>505</v>
      </c>
      <c r="DC57" s="55" t="s">
        <v>580</v>
      </c>
      <c r="DD57" s="50" t="s">
        <v>543</v>
      </c>
      <c r="DE57" s="53" t="s">
        <v>547</v>
      </c>
      <c r="DF57" s="65" t="s">
        <v>675</v>
      </c>
      <c r="DG57" s="81">
        <f>VLOOKUP(Ручки[[#This Row],[Категория]],Ценовые_категории_ручек[],2,0)</f>
        <v>450</v>
      </c>
    </row>
    <row r="58" spans="1:111" ht="30" customHeight="1" x14ac:dyDescent="0.25">
      <c r="A58" s="45" t="s">
        <v>480</v>
      </c>
      <c r="B58" s="25">
        <v>2024</v>
      </c>
      <c r="S58" s="22" t="s">
        <v>247</v>
      </c>
      <c r="T58" s="22" t="s">
        <v>142</v>
      </c>
      <c r="U58" s="22">
        <v>3</v>
      </c>
      <c r="V58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5764</v>
      </c>
      <c r="W58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6340</v>
      </c>
      <c r="X58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6916</v>
      </c>
      <c r="Y58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8" s="27">
        <v>506</v>
      </c>
      <c r="DC58" s="54" t="s">
        <v>595</v>
      </c>
      <c r="DD58" s="48" t="s">
        <v>552</v>
      </c>
      <c r="DE58" s="62" t="s">
        <v>553</v>
      </c>
      <c r="DF58" s="65" t="s">
        <v>681</v>
      </c>
      <c r="DG58" s="81">
        <f>VLOOKUP(Ручки[[#This Row],[Категория]],Ценовые_категории_ручек[],2,0)</f>
        <v>625</v>
      </c>
    </row>
    <row r="59" spans="1:111" ht="30" customHeight="1" x14ac:dyDescent="0.25">
      <c r="A59" s="45" t="s">
        <v>486</v>
      </c>
      <c r="B59" s="25">
        <v>4660</v>
      </c>
      <c r="S59" s="22" t="s">
        <v>248</v>
      </c>
      <c r="T59" s="22" t="s">
        <v>142</v>
      </c>
      <c r="U59" s="22">
        <v>3</v>
      </c>
      <c r="V59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5764</v>
      </c>
      <c r="W59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6340</v>
      </c>
      <c r="X59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6916</v>
      </c>
      <c r="Y59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9" s="27">
        <v>507</v>
      </c>
      <c r="DC59" s="37" t="s">
        <v>537</v>
      </c>
      <c r="DD59" s="48" t="s">
        <v>538</v>
      </c>
      <c r="DE59" s="65" t="s">
        <v>539</v>
      </c>
      <c r="DF59" s="65" t="s">
        <v>607</v>
      </c>
      <c r="DG59" s="81">
        <f>VLOOKUP(Ручки[[#This Row],[Категория]],Ценовые_категории_ручек[],2,0)</f>
        <v>50</v>
      </c>
    </row>
    <row r="60" spans="1:111" ht="30" customHeight="1" x14ac:dyDescent="0.25">
      <c r="A60" s="45" t="s">
        <v>487</v>
      </c>
      <c r="B60" s="25">
        <v>4660</v>
      </c>
      <c r="S60" s="22" t="s">
        <v>249</v>
      </c>
      <c r="T60" s="22" t="s">
        <v>142</v>
      </c>
      <c r="U60" s="22">
        <v>3</v>
      </c>
      <c r="V60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5764</v>
      </c>
      <c r="W60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6340</v>
      </c>
      <c r="X60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6916</v>
      </c>
      <c r="Y60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0" s="27">
        <v>508</v>
      </c>
    </row>
    <row r="61" spans="1:111" ht="30" customHeight="1" x14ac:dyDescent="0.25">
      <c r="S61" s="22" t="s">
        <v>250</v>
      </c>
      <c r="T61" s="22" t="s">
        <v>142</v>
      </c>
      <c r="U61" s="22">
        <v>3</v>
      </c>
      <c r="V61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5764</v>
      </c>
      <c r="W61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6340</v>
      </c>
      <c r="X61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6916</v>
      </c>
      <c r="Y61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1" s="27">
        <v>509</v>
      </c>
    </row>
    <row r="62" spans="1:111" ht="30" customHeight="1" x14ac:dyDescent="0.25">
      <c r="S62" s="22" t="s">
        <v>251</v>
      </c>
      <c r="T62" s="22" t="s">
        <v>142</v>
      </c>
      <c r="U62" s="22">
        <v>3</v>
      </c>
      <c r="V62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5764</v>
      </c>
      <c r="W62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6340</v>
      </c>
      <c r="X62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6916</v>
      </c>
      <c r="Y62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2" s="27">
        <v>510</v>
      </c>
    </row>
    <row r="63" spans="1:111" ht="30" customHeight="1" x14ac:dyDescent="0.25">
      <c r="S63" s="22" t="s">
        <v>252</v>
      </c>
      <c r="T63" s="22" t="s">
        <v>142</v>
      </c>
      <c r="U63" s="22">
        <v>2</v>
      </c>
      <c r="V63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4835</v>
      </c>
      <c r="W63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5318</v>
      </c>
      <c r="X63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5801</v>
      </c>
      <c r="Y63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3" s="27">
        <v>511</v>
      </c>
    </row>
    <row r="64" spans="1:111" ht="30" customHeight="1" x14ac:dyDescent="0.25">
      <c r="S64" s="22" t="s">
        <v>253</v>
      </c>
      <c r="T64" s="22" t="s">
        <v>142</v>
      </c>
      <c r="U64" s="22">
        <v>3</v>
      </c>
      <c r="V64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5764</v>
      </c>
      <c r="W64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6340</v>
      </c>
      <c r="X64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6916</v>
      </c>
      <c r="Y64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4" s="27">
        <v>513</v>
      </c>
    </row>
    <row r="65" spans="19:26" ht="30" customHeight="1" x14ac:dyDescent="0.25">
      <c r="S65" s="22" t="s">
        <v>254</v>
      </c>
      <c r="T65" s="22" t="s">
        <v>142</v>
      </c>
      <c r="U65" s="22">
        <v>2</v>
      </c>
      <c r="V65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4835</v>
      </c>
      <c r="W65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5318</v>
      </c>
      <c r="X65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5801</v>
      </c>
      <c r="Y65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5" s="27">
        <v>514</v>
      </c>
    </row>
    <row r="66" spans="19:26" ht="30" customHeight="1" x14ac:dyDescent="0.25">
      <c r="S66" s="22" t="s">
        <v>255</v>
      </c>
      <c r="T66" s="22" t="s">
        <v>142</v>
      </c>
      <c r="U66" s="22">
        <v>3</v>
      </c>
      <c r="V66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5764</v>
      </c>
      <c r="W66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6340</v>
      </c>
      <c r="X66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6916</v>
      </c>
      <c r="Y66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6" s="27">
        <v>515</v>
      </c>
    </row>
    <row r="67" spans="19:26" ht="30" customHeight="1" x14ac:dyDescent="0.25">
      <c r="S67" s="22" t="s">
        <v>256</v>
      </c>
      <c r="T67" s="22" t="s">
        <v>142</v>
      </c>
      <c r="U67" s="22">
        <v>2</v>
      </c>
      <c r="V67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4835</v>
      </c>
      <c r="W67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5318</v>
      </c>
      <c r="X67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5801</v>
      </c>
      <c r="Y67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7" s="27">
        <v>516</v>
      </c>
    </row>
    <row r="68" spans="19:26" ht="30" customHeight="1" x14ac:dyDescent="0.25">
      <c r="S68" s="22" t="s">
        <v>257</v>
      </c>
      <c r="T68" s="22" t="s">
        <v>142</v>
      </c>
      <c r="U68" s="22">
        <v>1</v>
      </c>
      <c r="V68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4203</v>
      </c>
      <c r="W68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4623</v>
      </c>
      <c r="X68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5045</v>
      </c>
      <c r="Y68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8" s="27">
        <v>518</v>
      </c>
    </row>
    <row r="69" spans="19:26" ht="30" customHeight="1" x14ac:dyDescent="0.25">
      <c r="S69" s="22" t="s">
        <v>258</v>
      </c>
      <c r="T69" s="22" t="s">
        <v>142</v>
      </c>
      <c r="U69" s="22">
        <v>2</v>
      </c>
      <c r="V69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4835</v>
      </c>
      <c r="W69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5318</v>
      </c>
      <c r="X69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5801</v>
      </c>
      <c r="Y69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9" s="27">
        <v>519</v>
      </c>
    </row>
    <row r="70" spans="19:26" ht="30" customHeight="1" x14ac:dyDescent="0.25">
      <c r="S70" s="22" t="s">
        <v>259</v>
      </c>
      <c r="T70" s="22" t="s">
        <v>142</v>
      </c>
      <c r="U70" s="22">
        <v>2</v>
      </c>
      <c r="V70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4835</v>
      </c>
      <c r="W70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5318</v>
      </c>
      <c r="X70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5801</v>
      </c>
      <c r="Y70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0" s="27">
        <v>520</v>
      </c>
    </row>
    <row r="71" spans="19:26" ht="30" customHeight="1" x14ac:dyDescent="0.25">
      <c r="S71" s="22" t="s">
        <v>261</v>
      </c>
      <c r="T71" s="22" t="s">
        <v>142</v>
      </c>
      <c r="U71" s="22">
        <v>2</v>
      </c>
      <c r="V71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4835</v>
      </c>
      <c r="W71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5318</v>
      </c>
      <c r="X71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5801</v>
      </c>
      <c r="Y71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1" s="27">
        <v>522</v>
      </c>
    </row>
    <row r="72" spans="19:26" ht="30" customHeight="1" x14ac:dyDescent="0.25">
      <c r="S72" s="22" t="s">
        <v>262</v>
      </c>
      <c r="T72" s="22" t="s">
        <v>142</v>
      </c>
      <c r="U72" s="22">
        <v>3</v>
      </c>
      <c r="V72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5764</v>
      </c>
      <c r="W72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6340</v>
      </c>
      <c r="X72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6916</v>
      </c>
      <c r="Y72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2" s="27">
        <v>524</v>
      </c>
    </row>
    <row r="73" spans="19:26" ht="30" customHeight="1" x14ac:dyDescent="0.25">
      <c r="S73" s="22" t="s">
        <v>263</v>
      </c>
      <c r="T73" s="22" t="s">
        <v>142</v>
      </c>
      <c r="U73" s="22">
        <v>3</v>
      </c>
      <c r="V73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5764</v>
      </c>
      <c r="W73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6340</v>
      </c>
      <c r="X73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6916</v>
      </c>
      <c r="Y73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3" s="27">
        <v>525</v>
      </c>
    </row>
    <row r="74" spans="19:26" ht="30" customHeight="1" x14ac:dyDescent="0.25">
      <c r="S74" s="22" t="s">
        <v>264</v>
      </c>
      <c r="T74" s="22" t="s">
        <v>142</v>
      </c>
      <c r="U74" s="22">
        <v>3</v>
      </c>
      <c r="V74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5764</v>
      </c>
      <c r="W74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6340</v>
      </c>
      <c r="X74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6916</v>
      </c>
      <c r="Y74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4" s="27">
        <v>526</v>
      </c>
    </row>
    <row r="75" spans="19:26" ht="30" customHeight="1" x14ac:dyDescent="0.25">
      <c r="S75" s="22" t="s">
        <v>265</v>
      </c>
      <c r="T75" s="22" t="s">
        <v>142</v>
      </c>
      <c r="U75" s="22">
        <v>3</v>
      </c>
      <c r="V75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5764</v>
      </c>
      <c r="W75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6340</v>
      </c>
      <c r="X75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6916</v>
      </c>
      <c r="Y75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5" s="27">
        <v>528</v>
      </c>
    </row>
    <row r="76" spans="19:26" ht="30" customHeight="1" x14ac:dyDescent="0.25">
      <c r="S76" s="22" t="s">
        <v>266</v>
      </c>
      <c r="T76" s="22" t="s">
        <v>142</v>
      </c>
      <c r="U76" s="22">
        <v>3</v>
      </c>
      <c r="V76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5764</v>
      </c>
      <c r="W76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6340</v>
      </c>
      <c r="X76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6916</v>
      </c>
      <c r="Y76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6" s="27">
        <v>529</v>
      </c>
    </row>
    <row r="77" spans="19:26" ht="30" customHeight="1" x14ac:dyDescent="0.25">
      <c r="S77" s="22" t="s">
        <v>267</v>
      </c>
      <c r="T77" s="22" t="s">
        <v>143</v>
      </c>
      <c r="U77" s="22">
        <v>4</v>
      </c>
      <c r="V77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7620</v>
      </c>
      <c r="W77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8382</v>
      </c>
      <c r="X77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9145</v>
      </c>
      <c r="Y77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7" s="27">
        <v>530</v>
      </c>
    </row>
    <row r="78" spans="19:26" ht="30" customHeight="1" x14ac:dyDescent="0.25">
      <c r="S78" s="22" t="s">
        <v>268</v>
      </c>
      <c r="T78" s="22" t="s">
        <v>143</v>
      </c>
      <c r="U78" s="22">
        <v>3</v>
      </c>
      <c r="V78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6690</v>
      </c>
      <c r="W78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7361</v>
      </c>
      <c r="X78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8008</v>
      </c>
      <c r="Y78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8" s="27">
        <v>533</v>
      </c>
    </row>
    <row r="79" spans="19:26" ht="30" customHeight="1" x14ac:dyDescent="0.25">
      <c r="S79" s="22" t="s">
        <v>269</v>
      </c>
      <c r="T79" s="22" t="s">
        <v>143</v>
      </c>
      <c r="U79" s="22">
        <v>2</v>
      </c>
      <c r="V79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5764</v>
      </c>
      <c r="W79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6340</v>
      </c>
      <c r="X79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6916</v>
      </c>
      <c r="Y79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9" s="27">
        <v>534</v>
      </c>
    </row>
    <row r="80" spans="19:26" ht="30" customHeight="1" x14ac:dyDescent="0.25">
      <c r="S80" s="22" t="s">
        <v>270</v>
      </c>
      <c r="T80" s="22" t="s">
        <v>143</v>
      </c>
      <c r="U80" s="22">
        <v>2</v>
      </c>
      <c r="V80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5764</v>
      </c>
      <c r="W80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6340</v>
      </c>
      <c r="X80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6916</v>
      </c>
      <c r="Y80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0" s="27">
        <v>535</v>
      </c>
    </row>
    <row r="81" spans="1:26" ht="30" customHeight="1" x14ac:dyDescent="0.25">
      <c r="S81" s="22" t="s">
        <v>271</v>
      </c>
      <c r="T81" s="22" t="s">
        <v>143</v>
      </c>
      <c r="U81" s="22">
        <v>4</v>
      </c>
      <c r="V81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7620</v>
      </c>
      <c r="W81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8382</v>
      </c>
      <c r="X81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9145</v>
      </c>
      <c r="Y81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1" s="27">
        <v>536</v>
      </c>
    </row>
    <row r="82" spans="1:26" ht="30" customHeight="1" x14ac:dyDescent="0.25">
      <c r="S82" s="22" t="s">
        <v>272</v>
      </c>
      <c r="T82" s="22" t="s">
        <v>143</v>
      </c>
      <c r="U82" s="22">
        <v>4</v>
      </c>
      <c r="V82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7620</v>
      </c>
      <c r="W82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8382</v>
      </c>
      <c r="X82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9145</v>
      </c>
      <c r="Y82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2" s="27">
        <v>537</v>
      </c>
    </row>
    <row r="83" spans="1:26" ht="30" customHeight="1" x14ac:dyDescent="0.25">
      <c r="C83" s="20"/>
      <c r="S83" s="22" t="s">
        <v>273</v>
      </c>
      <c r="T83" s="22" t="s">
        <v>142</v>
      </c>
      <c r="U83" s="22">
        <v>2</v>
      </c>
      <c r="V83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4835</v>
      </c>
      <c r="W83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5318</v>
      </c>
      <c r="X83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5801</v>
      </c>
      <c r="Y83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3" s="27">
        <v>538</v>
      </c>
    </row>
    <row r="84" spans="1:26" ht="30" customHeight="1" x14ac:dyDescent="0.25">
      <c r="A84" s="20"/>
      <c r="B84" s="20"/>
      <c r="C84" s="20"/>
      <c r="S84" s="22" t="s">
        <v>274</v>
      </c>
      <c r="T84" s="22" t="s">
        <v>142</v>
      </c>
      <c r="U84" s="22">
        <v>3</v>
      </c>
      <c r="V84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5764</v>
      </c>
      <c r="W84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6340</v>
      </c>
      <c r="X84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6916</v>
      </c>
      <c r="Y84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4" s="27">
        <v>539</v>
      </c>
    </row>
    <row r="85" spans="1:26" ht="30" customHeight="1" x14ac:dyDescent="0.25">
      <c r="A85" s="20"/>
      <c r="B85" s="20"/>
      <c r="C85" s="20"/>
      <c r="S85" s="22" t="s">
        <v>275</v>
      </c>
      <c r="T85" s="22" t="s">
        <v>142</v>
      </c>
      <c r="U85" s="22">
        <v>3</v>
      </c>
      <c r="V85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5764</v>
      </c>
      <c r="W85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6340</v>
      </c>
      <c r="X85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6916</v>
      </c>
      <c r="Y85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5" s="27">
        <v>540</v>
      </c>
    </row>
    <row r="86" spans="1:26" ht="30" customHeight="1" x14ac:dyDescent="0.25">
      <c r="A86" s="20"/>
      <c r="B86" s="20"/>
      <c r="C86" s="20"/>
      <c r="S86" s="22" t="s">
        <v>276</v>
      </c>
      <c r="T86" s="22" t="s">
        <v>142</v>
      </c>
      <c r="U86" s="22">
        <v>3</v>
      </c>
      <c r="V86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5764</v>
      </c>
      <c r="W86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6340</v>
      </c>
      <c r="X86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6916</v>
      </c>
      <c r="Y86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6" s="27">
        <v>541</v>
      </c>
    </row>
    <row r="87" spans="1:26" ht="30" customHeight="1" x14ac:dyDescent="0.25">
      <c r="A87" s="20"/>
      <c r="B87" s="20"/>
      <c r="C87" s="20"/>
      <c r="S87" s="22" t="s">
        <v>277</v>
      </c>
      <c r="T87" s="22" t="s">
        <v>142</v>
      </c>
      <c r="U87" s="22">
        <v>3</v>
      </c>
      <c r="V87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5764</v>
      </c>
      <c r="W87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6340</v>
      </c>
      <c r="X87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6916</v>
      </c>
      <c r="Y87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7" s="27">
        <v>543</v>
      </c>
    </row>
    <row r="88" spans="1:26" ht="30" customHeight="1" x14ac:dyDescent="0.25">
      <c r="A88" s="20"/>
      <c r="B88" s="20"/>
      <c r="C88" s="20"/>
      <c r="S88" s="22" t="s">
        <v>278</v>
      </c>
      <c r="T88" s="22" t="s">
        <v>142</v>
      </c>
      <c r="U88" s="22">
        <v>3</v>
      </c>
      <c r="V88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5764</v>
      </c>
      <c r="W88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6340</v>
      </c>
      <c r="X88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6916</v>
      </c>
      <c r="Y88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8" s="27">
        <v>544</v>
      </c>
    </row>
    <row r="89" spans="1:26" ht="30" customHeight="1" x14ac:dyDescent="0.25">
      <c r="A89" s="20"/>
      <c r="B89" s="20"/>
      <c r="C89" s="20"/>
      <c r="D89" s="20"/>
      <c r="S89" s="22" t="s">
        <v>279</v>
      </c>
      <c r="T89" s="22" t="s">
        <v>142</v>
      </c>
      <c r="U89" s="22">
        <v>2</v>
      </c>
      <c r="V89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4835</v>
      </c>
      <c r="W89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5318</v>
      </c>
      <c r="X89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5801</v>
      </c>
      <c r="Y89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9" s="27">
        <v>545</v>
      </c>
    </row>
    <row r="90" spans="1:26" ht="30" customHeight="1" x14ac:dyDescent="0.25">
      <c r="A90" s="20"/>
      <c r="B90" s="20"/>
      <c r="C90" s="20"/>
      <c r="D90" s="20"/>
      <c r="S90" s="22" t="s">
        <v>280</v>
      </c>
      <c r="T90" s="22" t="s">
        <v>142</v>
      </c>
      <c r="U90" s="22">
        <v>3</v>
      </c>
      <c r="V90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5764</v>
      </c>
      <c r="W90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6340</v>
      </c>
      <c r="X90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6916</v>
      </c>
      <c r="Y90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0" s="27">
        <v>546</v>
      </c>
    </row>
    <row r="91" spans="1:26" ht="30" customHeight="1" x14ac:dyDescent="0.25">
      <c r="A91" s="20"/>
      <c r="B91" s="20"/>
      <c r="C91" s="20"/>
      <c r="D91" s="20"/>
      <c r="S91" s="22" t="s">
        <v>281</v>
      </c>
      <c r="T91" s="22" t="s">
        <v>142</v>
      </c>
      <c r="U91" s="22">
        <v>3</v>
      </c>
      <c r="V91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5764</v>
      </c>
      <c r="W91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6340</v>
      </c>
      <c r="X91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6916</v>
      </c>
      <c r="Y91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1" s="27">
        <v>547</v>
      </c>
    </row>
    <row r="92" spans="1:26" ht="30" customHeight="1" x14ac:dyDescent="0.25">
      <c r="A92" s="20"/>
      <c r="B92" s="20"/>
      <c r="C92" s="20"/>
      <c r="D92" s="20"/>
      <c r="S92" s="22" t="s">
        <v>282</v>
      </c>
      <c r="T92" s="22" t="s">
        <v>143</v>
      </c>
      <c r="U92" s="22">
        <v>4</v>
      </c>
      <c r="V92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7620</v>
      </c>
      <c r="W92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8382</v>
      </c>
      <c r="X92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9145</v>
      </c>
      <c r="Y92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2" s="27">
        <v>548</v>
      </c>
    </row>
    <row r="93" spans="1:26" ht="30" customHeight="1" x14ac:dyDescent="0.25">
      <c r="A93" s="20"/>
      <c r="B93" s="20"/>
      <c r="C93" s="20"/>
      <c r="D93" s="20"/>
      <c r="S93" s="22" t="s">
        <v>283</v>
      </c>
      <c r="T93" s="22" t="s">
        <v>142</v>
      </c>
      <c r="U93" s="22">
        <v>3</v>
      </c>
      <c r="V93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5764</v>
      </c>
      <c r="W93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6340</v>
      </c>
      <c r="X93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6916</v>
      </c>
      <c r="Y93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3" s="27">
        <v>549</v>
      </c>
    </row>
    <row r="94" spans="1:26" ht="30" customHeight="1" x14ac:dyDescent="0.25">
      <c r="A94" s="20"/>
      <c r="B94" s="20"/>
      <c r="C94" s="20"/>
      <c r="D94" s="20"/>
      <c r="S94" s="22" t="s">
        <v>284</v>
      </c>
      <c r="T94" s="22" t="s">
        <v>142</v>
      </c>
      <c r="U94" s="22">
        <v>3</v>
      </c>
      <c r="V94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5764</v>
      </c>
      <c r="W94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6340</v>
      </c>
      <c r="X94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6916</v>
      </c>
      <c r="Y94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4" s="27">
        <v>550</v>
      </c>
    </row>
    <row r="95" spans="1:26" ht="30" customHeight="1" x14ac:dyDescent="0.25">
      <c r="A95" s="20"/>
      <c r="B95" s="20"/>
      <c r="C95" s="20"/>
      <c r="D95" s="20"/>
      <c r="S95" s="22" t="s">
        <v>285</v>
      </c>
      <c r="T95" s="22" t="s">
        <v>142</v>
      </c>
      <c r="U95" s="22">
        <v>3</v>
      </c>
      <c r="V95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5764</v>
      </c>
      <c r="W95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6340</v>
      </c>
      <c r="X95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6916</v>
      </c>
      <c r="Y95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5" s="27">
        <v>551</v>
      </c>
    </row>
    <row r="96" spans="1:26" ht="30" customHeight="1" x14ac:dyDescent="0.25">
      <c r="A96" s="20"/>
      <c r="B96" s="20"/>
      <c r="C96" s="20"/>
      <c r="D96" s="20"/>
      <c r="S96" s="22" t="s">
        <v>286</v>
      </c>
      <c r="T96" s="22" t="s">
        <v>142</v>
      </c>
      <c r="U96" s="22">
        <v>3</v>
      </c>
      <c r="V96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5764</v>
      </c>
      <c r="W96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6340</v>
      </c>
      <c r="X96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6916</v>
      </c>
      <c r="Y96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6" s="27">
        <v>552</v>
      </c>
    </row>
    <row r="97" spans="1:26" ht="30" customHeight="1" x14ac:dyDescent="0.25">
      <c r="A97" s="20"/>
      <c r="B97" s="20"/>
      <c r="C97" s="20"/>
      <c r="D97" s="20"/>
      <c r="S97" s="22" t="s">
        <v>287</v>
      </c>
      <c r="T97" s="22" t="s">
        <v>142</v>
      </c>
      <c r="U97" s="22">
        <v>3</v>
      </c>
      <c r="V97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5764</v>
      </c>
      <c r="W97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6340</v>
      </c>
      <c r="X97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6916</v>
      </c>
      <c r="Y97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7" s="27">
        <v>553</v>
      </c>
    </row>
    <row r="98" spans="1:26" ht="30" customHeight="1" x14ac:dyDescent="0.25">
      <c r="A98" s="20"/>
      <c r="B98" s="20"/>
      <c r="C98" s="20"/>
      <c r="D98" s="20"/>
      <c r="S98" s="22" t="s">
        <v>288</v>
      </c>
      <c r="T98" s="22" t="s">
        <v>142</v>
      </c>
      <c r="U98" s="22">
        <v>3</v>
      </c>
      <c r="V98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5764</v>
      </c>
      <c r="W98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6340</v>
      </c>
      <c r="X98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6916</v>
      </c>
      <c r="Y98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8" s="27">
        <v>554</v>
      </c>
    </row>
    <row r="99" spans="1:26" ht="30" customHeight="1" x14ac:dyDescent="0.25">
      <c r="A99" s="20"/>
      <c r="B99" s="20"/>
      <c r="C99" s="20"/>
      <c r="D99" s="20"/>
      <c r="S99" s="22" t="s">
        <v>289</v>
      </c>
      <c r="T99" s="22" t="s">
        <v>142</v>
      </c>
      <c r="U99" s="22">
        <v>3</v>
      </c>
      <c r="V99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5764</v>
      </c>
      <c r="W99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6340</v>
      </c>
      <c r="X99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6916</v>
      </c>
      <c r="Y99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9" s="27">
        <v>555</v>
      </c>
    </row>
    <row r="100" spans="1:26" ht="30" customHeight="1" x14ac:dyDescent="0.25">
      <c r="A100" s="20"/>
      <c r="B100" s="20"/>
      <c r="C100" s="20"/>
      <c r="D100" s="20"/>
      <c r="S100" s="22" t="s">
        <v>290</v>
      </c>
      <c r="T100" s="22" t="s">
        <v>142</v>
      </c>
      <c r="U100" s="22">
        <v>2</v>
      </c>
      <c r="V100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4835</v>
      </c>
      <c r="W100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5318</v>
      </c>
      <c r="X100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5801</v>
      </c>
      <c r="Y100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0" s="27">
        <v>556</v>
      </c>
    </row>
    <row r="101" spans="1:26" ht="30" customHeight="1" x14ac:dyDescent="0.25">
      <c r="A101" s="20"/>
      <c r="B101" s="20"/>
      <c r="D101" s="20"/>
      <c r="S101" s="22" t="s">
        <v>291</v>
      </c>
      <c r="T101" s="22" t="s">
        <v>142</v>
      </c>
      <c r="U101" s="22">
        <v>3</v>
      </c>
      <c r="V101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5764</v>
      </c>
      <c r="W101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6340</v>
      </c>
      <c r="X101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6916</v>
      </c>
      <c r="Y101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1" s="27">
        <v>557</v>
      </c>
    </row>
    <row r="102" spans="1:26" ht="30" customHeight="1" x14ac:dyDescent="0.25">
      <c r="D102" s="20"/>
      <c r="S102" s="22" t="s">
        <v>292</v>
      </c>
      <c r="T102" s="22" t="s">
        <v>142</v>
      </c>
      <c r="U102" s="22">
        <v>2</v>
      </c>
      <c r="V102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4835</v>
      </c>
      <c r="W102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5318</v>
      </c>
      <c r="X102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5801</v>
      </c>
      <c r="Y102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2" s="27">
        <v>558</v>
      </c>
    </row>
    <row r="103" spans="1:26" ht="30" customHeight="1" x14ac:dyDescent="0.25">
      <c r="D103" s="20"/>
      <c r="S103" s="22" t="s">
        <v>295</v>
      </c>
      <c r="T103" s="22" t="s">
        <v>142</v>
      </c>
      <c r="U103" s="22">
        <v>1</v>
      </c>
      <c r="V103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4203</v>
      </c>
      <c r="W103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4623</v>
      </c>
      <c r="X103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5045</v>
      </c>
      <c r="Y103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3" s="27">
        <v>709</v>
      </c>
    </row>
    <row r="104" spans="1:26" ht="30" customHeight="1" x14ac:dyDescent="0.25">
      <c r="D104" s="20"/>
      <c r="S104" s="22" t="s">
        <v>260</v>
      </c>
      <c r="T104" s="22" t="s">
        <v>142</v>
      </c>
      <c r="U104" s="22">
        <v>2</v>
      </c>
      <c r="V104" s="2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4835</v>
      </c>
      <c r="W104" s="2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5318</v>
      </c>
      <c r="X104" s="2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5801</v>
      </c>
      <c r="Y104" s="2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4" s="27">
        <v>5211</v>
      </c>
    </row>
    <row r="105" spans="1:26" ht="30" customHeight="1" x14ac:dyDescent="0.25">
      <c r="D105" s="20"/>
      <c r="S105" s="135" t="s">
        <v>1110</v>
      </c>
      <c r="T105" s="135" t="s">
        <v>142</v>
      </c>
      <c r="U105" s="135">
        <v>3</v>
      </c>
      <c r="V105" s="1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5764</v>
      </c>
      <c r="W105" s="1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6340</v>
      </c>
      <c r="X105" s="1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6916</v>
      </c>
      <c r="Y105" s="1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5" s="27">
        <v>559</v>
      </c>
    </row>
    <row r="106" spans="1:26" ht="30" customHeight="1" x14ac:dyDescent="0.25">
      <c r="D106" s="20"/>
      <c r="S106" s="135" t="s">
        <v>1103</v>
      </c>
      <c r="T106" s="135" t="s">
        <v>142</v>
      </c>
      <c r="U106" s="135">
        <v>3</v>
      </c>
      <c r="V106" s="1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5764</v>
      </c>
      <c r="W106" s="1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6340</v>
      </c>
      <c r="X106" s="1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6916</v>
      </c>
      <c r="Y106" s="1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6" s="135">
        <v>560</v>
      </c>
    </row>
    <row r="107" spans="1:26" ht="30" customHeight="1" x14ac:dyDescent="0.25">
      <c r="S107" s="135" t="s">
        <v>1104</v>
      </c>
      <c r="T107" s="135" t="s">
        <v>142</v>
      </c>
      <c r="U107" s="135">
        <v>3</v>
      </c>
      <c r="V107" s="1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5764</v>
      </c>
      <c r="W107" s="1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6340</v>
      </c>
      <c r="X107" s="1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6916</v>
      </c>
      <c r="Y107" s="1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7" s="135">
        <v>561</v>
      </c>
    </row>
    <row r="108" spans="1:26" ht="30" customHeight="1" x14ac:dyDescent="0.25">
      <c r="S108" s="135" t="s">
        <v>1105</v>
      </c>
      <c r="T108" s="135" t="s">
        <v>142</v>
      </c>
      <c r="U108" s="135">
        <v>3</v>
      </c>
      <c r="V108" s="1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5764</v>
      </c>
      <c r="W108" s="1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6340</v>
      </c>
      <c r="X108" s="1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6916</v>
      </c>
      <c r="Y108" s="1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8" s="135">
        <v>562</v>
      </c>
    </row>
    <row r="109" spans="1:26" ht="30" customHeight="1" x14ac:dyDescent="0.25">
      <c r="S109" s="135" t="s">
        <v>1106</v>
      </c>
      <c r="T109" s="135" t="s">
        <v>142</v>
      </c>
      <c r="U109" s="135">
        <v>3</v>
      </c>
      <c r="V109" s="1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5764</v>
      </c>
      <c r="W109" s="1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6340</v>
      </c>
      <c r="X109" s="1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6916</v>
      </c>
      <c r="Y109" s="1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9" s="135">
        <v>563</v>
      </c>
    </row>
    <row r="110" spans="1:26" ht="30" customHeight="1" x14ac:dyDescent="0.25">
      <c r="S110" s="135" t="s">
        <v>1107</v>
      </c>
      <c r="T110" s="135" t="s">
        <v>142</v>
      </c>
      <c r="U110" s="135">
        <v>3</v>
      </c>
      <c r="V110" s="1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5764</v>
      </c>
      <c r="W110" s="1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6340</v>
      </c>
      <c r="X110" s="1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6916</v>
      </c>
      <c r="Y110" s="1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10" s="135">
        <v>564</v>
      </c>
    </row>
    <row r="111" spans="1:26" ht="30" customHeight="1" x14ac:dyDescent="0.25">
      <c r="S111" s="135" t="s">
        <v>1108</v>
      </c>
      <c r="T111" s="135" t="s">
        <v>142</v>
      </c>
      <c r="U111" s="135">
        <v>3</v>
      </c>
      <c r="V111" s="1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5764</v>
      </c>
      <c r="W111" s="1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6340</v>
      </c>
      <c r="X111" s="1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6916</v>
      </c>
      <c r="Y111" s="1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11" s="135">
        <v>565</v>
      </c>
    </row>
    <row r="112" spans="1:26" ht="30" customHeight="1" x14ac:dyDescent="0.25">
      <c r="S112" s="135" t="s">
        <v>1109</v>
      </c>
      <c r="T112" s="135" t="s">
        <v>142</v>
      </c>
      <c r="U112" s="135">
        <v>2</v>
      </c>
      <c r="V112" s="1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4835</v>
      </c>
      <c r="W112" s="1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5318</v>
      </c>
      <c r="X112" s="1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5801</v>
      </c>
      <c r="Y112" s="1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12" s="135">
        <v>566</v>
      </c>
    </row>
    <row r="113" spans="19:26" ht="30" customHeight="1" x14ac:dyDescent="0.25">
      <c r="S113" s="255" t="s">
        <v>1251</v>
      </c>
      <c r="T113" s="255" t="s">
        <v>143</v>
      </c>
      <c r="U113" s="255">
        <v>2</v>
      </c>
      <c r="V113" s="1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5764</v>
      </c>
      <c r="W113" s="1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6340</v>
      </c>
      <c r="X113" s="1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6916</v>
      </c>
      <c r="Y113" s="1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13" s="255">
        <v>567</v>
      </c>
    </row>
    <row r="114" spans="19:26" ht="30" customHeight="1" x14ac:dyDescent="0.25">
      <c r="S114" s="255" t="s">
        <v>1249</v>
      </c>
      <c r="T114" s="255" t="s">
        <v>142</v>
      </c>
      <c r="U114" s="255">
        <v>3</v>
      </c>
      <c r="V114" s="1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5764</v>
      </c>
      <c r="W114" s="1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6340</v>
      </c>
      <c r="X114" s="1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6916</v>
      </c>
      <c r="Y114" s="1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14" s="255">
        <v>568</v>
      </c>
    </row>
    <row r="115" spans="19:26" ht="30" customHeight="1" x14ac:dyDescent="0.25">
      <c r="S115" s="255" t="s">
        <v>1250</v>
      </c>
      <c r="T115" s="255" t="s">
        <v>142</v>
      </c>
      <c r="U115" s="255">
        <v>3</v>
      </c>
      <c r="V115" s="1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5764</v>
      </c>
      <c r="W115" s="1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6340</v>
      </c>
      <c r="X115" s="1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6916</v>
      </c>
      <c r="Y115" s="1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15" s="255">
        <v>569</v>
      </c>
    </row>
    <row r="116" spans="19:26" ht="30" customHeight="1" x14ac:dyDescent="0.25">
      <c r="S116" s="283" t="s">
        <v>1295</v>
      </c>
      <c r="T116" s="283" t="s">
        <v>143</v>
      </c>
      <c r="U116" s="283">
        <v>2</v>
      </c>
      <c r="V116" s="1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5764</v>
      </c>
      <c r="W116" s="1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6340</v>
      </c>
      <c r="X116" s="1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6916</v>
      </c>
      <c r="Y116" s="1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16" s="283">
        <v>570</v>
      </c>
    </row>
    <row r="117" spans="19:26" ht="30" customHeight="1" x14ac:dyDescent="0.25">
      <c r="S117" s="283" t="s">
        <v>1296</v>
      </c>
      <c r="T117" s="283" t="s">
        <v>143</v>
      </c>
      <c r="U117" s="283">
        <v>2</v>
      </c>
      <c r="V117" s="1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5764</v>
      </c>
      <c r="W117" s="1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6340</v>
      </c>
      <c r="X117" s="1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6916</v>
      </c>
      <c r="Y117" s="1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17" s="283">
        <v>571</v>
      </c>
    </row>
    <row r="118" spans="19:26" ht="30" customHeight="1" x14ac:dyDescent="0.25"/>
    <row r="119" spans="19:26" ht="30" customHeight="1" x14ac:dyDescent="0.25"/>
    <row r="120" spans="19:26" ht="30" customHeight="1" x14ac:dyDescent="0.25"/>
    <row r="121" spans="19:26" ht="30" customHeight="1" x14ac:dyDescent="0.25"/>
    <row r="122" spans="19:26" ht="30" customHeight="1" x14ac:dyDescent="0.25"/>
    <row r="123" spans="19:26" ht="30" customHeight="1" x14ac:dyDescent="0.25"/>
    <row r="124" spans="19:26" ht="30" customHeight="1" x14ac:dyDescent="0.25"/>
    <row r="125" spans="19:26" ht="30" customHeight="1" x14ac:dyDescent="0.25"/>
    <row r="126" spans="19:26" ht="30" customHeight="1" x14ac:dyDescent="0.25"/>
    <row r="127" spans="19:26" ht="30" customHeight="1" x14ac:dyDescent="0.25"/>
    <row r="128" spans="19:26" ht="30" customHeight="1" x14ac:dyDescent="0.25"/>
    <row r="129" ht="30" customHeight="1" x14ac:dyDescent="0.25"/>
    <row r="130" ht="30" customHeight="1" x14ac:dyDescent="0.25"/>
    <row r="131" ht="30" customHeight="1" x14ac:dyDescent="0.25"/>
    <row r="132" ht="30" customHeight="1" x14ac:dyDescent="0.25"/>
    <row r="133" ht="30" customHeight="1" x14ac:dyDescent="0.25"/>
    <row r="134" ht="30" customHeight="1" x14ac:dyDescent="0.25"/>
    <row r="135" ht="30" customHeight="1" x14ac:dyDescent="0.25"/>
    <row r="136" ht="30" customHeight="1" x14ac:dyDescent="0.25"/>
    <row r="137" ht="30" customHeight="1" x14ac:dyDescent="0.25"/>
    <row r="138" ht="30" customHeight="1" x14ac:dyDescent="0.25"/>
    <row r="139" ht="30" customHeight="1" x14ac:dyDescent="0.25"/>
    <row r="140" ht="30" customHeight="1" x14ac:dyDescent="0.25"/>
    <row r="141" ht="30" customHeight="1" x14ac:dyDescent="0.25"/>
    <row r="142" ht="30" customHeight="1" x14ac:dyDescent="0.25"/>
    <row r="143" ht="30" customHeight="1" x14ac:dyDescent="0.25"/>
    <row r="144" ht="30" customHeight="1" x14ac:dyDescent="0.25"/>
    <row r="145" ht="30" customHeight="1" x14ac:dyDescent="0.25"/>
    <row r="146" ht="30" customHeight="1" x14ac:dyDescent="0.25"/>
    <row r="147" ht="30" customHeight="1" x14ac:dyDescent="0.25"/>
    <row r="148" ht="30" customHeight="1" x14ac:dyDescent="0.25"/>
  </sheetData>
  <sheetProtection algorithmName="SHA-512" hashValue="LILbYNtVTSMRmqiyYoeWaWPG/VtsIAI9E63UNPYIrgpNOpXnFjQeu8g5Rmdfgym1YxNBZjHOnJLA9+fcxtNugQ==" saltValue="QXHOB1VVZWSr23QfSYY6ZA==" spinCount="100000" sheet="1" objects="1" scenarios="1"/>
  <mergeCells count="13">
    <mergeCell ref="A54:B54"/>
    <mergeCell ref="BH2:BJ2"/>
    <mergeCell ref="CN1:CO1"/>
    <mergeCell ref="CR1:CS1"/>
    <mergeCell ref="CU1:CV1"/>
    <mergeCell ref="BO1:BS1"/>
    <mergeCell ref="BV1:CH1"/>
    <mergeCell ref="K1:P1"/>
    <mergeCell ref="DC1:DG1"/>
    <mergeCell ref="DK1:DL1"/>
    <mergeCell ref="EG1:EJ1"/>
    <mergeCell ref="DO1:DS1"/>
    <mergeCell ref="BB1:BE1"/>
  </mergeCells>
  <phoneticPr fontId="6" type="noConversion"/>
  <pageMargins left="0.7" right="0.7" top="0.75" bottom="0.75" header="0.3" footer="0.3"/>
  <pageSetup paperSize="9" orientation="portrait" r:id="rId1"/>
  <ignoredErrors>
    <ignoredError sqref="EI3:EI4" calculatedColum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6" r:id="rId4" name="Button 12">
              <controlPr defaultSize="0" print="0" autoFill="0" autoPict="0" macro="[0]!UnprotectSheets">
                <anchor moveWithCells="1" sizeWithCells="1">
                  <from>
                    <xdr:col>0</xdr:col>
                    <xdr:colOff>247650</xdr:colOff>
                    <xdr:row>1</xdr:row>
                    <xdr:rowOff>57150</xdr:rowOff>
                  </from>
                  <to>
                    <xdr:col>0</xdr:col>
                    <xdr:colOff>2076450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20"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9">
    <tabColor rgb="FFFFC000"/>
  </sheetPr>
  <dimension ref="A1:D95"/>
  <sheetViews>
    <sheetView topLeftCell="A40" zoomScale="115" zoomScaleNormal="115" workbookViewId="0">
      <selection activeCell="B52" sqref="B52"/>
    </sheetView>
  </sheetViews>
  <sheetFormatPr defaultColWidth="9.140625" defaultRowHeight="12" x14ac:dyDescent="0.2"/>
  <cols>
    <col min="1" max="1" width="15.5703125" style="6" bestFit="1" customWidth="1"/>
    <col min="2" max="2" width="42.5703125" style="165" customWidth="1"/>
    <col min="3" max="4" width="15" style="6" customWidth="1"/>
    <col min="5" max="16384" width="9.140625" style="6"/>
  </cols>
  <sheetData>
    <row r="1" spans="2:4" ht="23.25" customHeight="1" x14ac:dyDescent="0.2">
      <c r="B1" s="335" t="s">
        <v>348</v>
      </c>
      <c r="C1" s="333" t="s">
        <v>349</v>
      </c>
      <c r="D1" s="333" t="s">
        <v>1274</v>
      </c>
    </row>
    <row r="2" spans="2:4" ht="12" customHeight="1" x14ac:dyDescent="0.2">
      <c r="B2" s="335"/>
      <c r="C2" s="334"/>
      <c r="D2" s="334"/>
    </row>
    <row r="3" spans="2:4" ht="15" x14ac:dyDescent="0.25">
      <c r="B3" s="173" t="s">
        <v>1031</v>
      </c>
      <c r="C3" s="174">
        <v>550</v>
      </c>
      <c r="D3" s="174">
        <v>500</v>
      </c>
    </row>
    <row r="4" spans="2:4" x14ac:dyDescent="0.2">
      <c r="B4" s="175" t="s">
        <v>304</v>
      </c>
      <c r="C4" s="174">
        <v>460</v>
      </c>
      <c r="D4" s="174">
        <v>420</v>
      </c>
    </row>
    <row r="5" spans="2:4" x14ac:dyDescent="0.2">
      <c r="B5" s="175" t="s">
        <v>351</v>
      </c>
      <c r="C5" s="174">
        <v>560</v>
      </c>
      <c r="D5" s="174">
        <v>510</v>
      </c>
    </row>
    <row r="6" spans="2:4" x14ac:dyDescent="0.2">
      <c r="B6" s="175" t="s">
        <v>305</v>
      </c>
      <c r="C6" s="174">
        <v>810</v>
      </c>
      <c r="D6" s="174">
        <v>740</v>
      </c>
    </row>
    <row r="7" spans="2:4" x14ac:dyDescent="0.2">
      <c r="B7" s="175" t="s">
        <v>352</v>
      </c>
      <c r="C7" s="174">
        <v>700</v>
      </c>
      <c r="D7" s="174">
        <v>650</v>
      </c>
    </row>
    <row r="8" spans="2:4" x14ac:dyDescent="0.2">
      <c r="B8" s="175" t="s">
        <v>308</v>
      </c>
      <c r="C8" s="174">
        <v>750</v>
      </c>
      <c r="D8" s="174">
        <v>690</v>
      </c>
    </row>
    <row r="9" spans="2:4" x14ac:dyDescent="0.2">
      <c r="B9" s="175" t="s">
        <v>309</v>
      </c>
      <c r="C9" s="174">
        <v>950</v>
      </c>
      <c r="D9" s="174">
        <v>870</v>
      </c>
    </row>
    <row r="10" spans="2:4" x14ac:dyDescent="0.2">
      <c r="B10" s="175" t="s">
        <v>353</v>
      </c>
      <c r="C10" s="174">
        <v>750</v>
      </c>
      <c r="D10" s="174">
        <v>690</v>
      </c>
    </row>
    <row r="11" spans="2:4" x14ac:dyDescent="0.2">
      <c r="B11" s="175" t="s">
        <v>320</v>
      </c>
      <c r="C11" s="174">
        <v>650</v>
      </c>
      <c r="D11" s="174">
        <v>600</v>
      </c>
    </row>
    <row r="12" spans="2:4" x14ac:dyDescent="0.2">
      <c r="B12" s="175" t="s">
        <v>342</v>
      </c>
      <c r="C12" s="174">
        <v>850</v>
      </c>
      <c r="D12" s="174">
        <v>780</v>
      </c>
    </row>
    <row r="13" spans="2:4" x14ac:dyDescent="0.2">
      <c r="B13" s="175" t="s">
        <v>318</v>
      </c>
      <c r="C13" s="174">
        <v>740</v>
      </c>
      <c r="D13" s="174">
        <v>680</v>
      </c>
    </row>
    <row r="14" spans="2:4" x14ac:dyDescent="0.2">
      <c r="B14" s="175" t="s">
        <v>1032</v>
      </c>
      <c r="C14" s="174">
        <v>940</v>
      </c>
      <c r="D14" s="174">
        <v>860</v>
      </c>
    </row>
    <row r="15" spans="2:4" ht="15" x14ac:dyDescent="0.25">
      <c r="B15" s="173" t="s">
        <v>1033</v>
      </c>
      <c r="C15" s="174">
        <v>1130</v>
      </c>
      <c r="D15" s="174">
        <v>1040</v>
      </c>
    </row>
    <row r="16" spans="2:4" x14ac:dyDescent="0.2">
      <c r="B16" s="175" t="s">
        <v>354</v>
      </c>
      <c r="C16" s="174">
        <v>340</v>
      </c>
      <c r="D16" s="174">
        <v>310</v>
      </c>
    </row>
    <row r="17" spans="1:4" x14ac:dyDescent="0.2">
      <c r="B17" s="175" t="s">
        <v>334</v>
      </c>
      <c r="C17" s="174">
        <v>760</v>
      </c>
      <c r="D17" s="174">
        <v>700</v>
      </c>
    </row>
    <row r="18" spans="1:4" x14ac:dyDescent="0.2">
      <c r="B18" s="175" t="s">
        <v>324</v>
      </c>
      <c r="C18" s="174">
        <v>600</v>
      </c>
      <c r="D18" s="174">
        <v>550</v>
      </c>
    </row>
    <row r="19" spans="1:4" x14ac:dyDescent="0.2">
      <c r="B19" s="175" t="s">
        <v>712</v>
      </c>
      <c r="C19" s="174">
        <v>540</v>
      </c>
      <c r="D19" s="174"/>
    </row>
    <row r="20" spans="1:4" x14ac:dyDescent="0.2">
      <c r="B20" s="175" t="s">
        <v>1101</v>
      </c>
      <c r="C20" s="174">
        <v>940</v>
      </c>
      <c r="D20" s="174">
        <v>940</v>
      </c>
    </row>
    <row r="21" spans="1:4" x14ac:dyDescent="0.2">
      <c r="B21" s="175" t="s">
        <v>1102</v>
      </c>
      <c r="C21" s="174">
        <v>1690</v>
      </c>
      <c r="D21" s="174">
        <v>1690</v>
      </c>
    </row>
    <row r="22" spans="1:4" x14ac:dyDescent="0.2">
      <c r="B22" s="175" t="s">
        <v>1112</v>
      </c>
      <c r="C22" s="174">
        <v>940</v>
      </c>
      <c r="D22" s="174">
        <v>940</v>
      </c>
    </row>
    <row r="23" spans="1:4" x14ac:dyDescent="0.2">
      <c r="B23" s="175" t="s">
        <v>1041</v>
      </c>
      <c r="C23" s="174">
        <v>280</v>
      </c>
      <c r="D23" s="174">
        <v>250</v>
      </c>
    </row>
    <row r="24" spans="1:4" x14ac:dyDescent="0.2">
      <c r="B24" s="175" t="s">
        <v>1041</v>
      </c>
      <c r="C24" s="174">
        <v>280</v>
      </c>
      <c r="D24" s="174">
        <v>250</v>
      </c>
    </row>
    <row r="25" spans="1:4" ht="24" x14ac:dyDescent="0.2">
      <c r="A25" s="8" t="s">
        <v>355</v>
      </c>
      <c r="B25" s="175" t="s">
        <v>504</v>
      </c>
      <c r="C25" s="174">
        <v>5100</v>
      </c>
      <c r="D25" s="174">
        <v>4390</v>
      </c>
    </row>
    <row r="26" spans="1:4" ht="24" x14ac:dyDescent="0.2">
      <c r="B26" s="175" t="s">
        <v>503</v>
      </c>
      <c r="C26" s="174">
        <v>6660</v>
      </c>
      <c r="D26" s="174">
        <v>6660</v>
      </c>
    </row>
    <row r="27" spans="1:4" x14ac:dyDescent="0.2">
      <c r="A27" s="161" t="s">
        <v>705</v>
      </c>
      <c r="B27" s="176" t="s">
        <v>504</v>
      </c>
      <c r="C27" s="177">
        <v>5100</v>
      </c>
      <c r="D27" s="174"/>
    </row>
    <row r="28" spans="1:4" x14ac:dyDescent="0.2">
      <c r="A28" s="161" t="s">
        <v>705</v>
      </c>
      <c r="B28" s="176" t="s">
        <v>503</v>
      </c>
      <c r="C28" s="177">
        <v>6660</v>
      </c>
      <c r="D28" s="174"/>
    </row>
    <row r="29" spans="1:4" x14ac:dyDescent="0.2">
      <c r="B29" s="175" t="s">
        <v>356</v>
      </c>
      <c r="C29" s="174">
        <v>5520</v>
      </c>
      <c r="D29" s="174">
        <v>4390</v>
      </c>
    </row>
    <row r="30" spans="1:4" x14ac:dyDescent="0.2">
      <c r="B30" s="175" t="s">
        <v>317</v>
      </c>
      <c r="C30" s="174">
        <v>480</v>
      </c>
      <c r="D30" s="174">
        <v>440</v>
      </c>
    </row>
    <row r="31" spans="1:4" x14ac:dyDescent="0.2">
      <c r="A31" s="8" t="s">
        <v>357</v>
      </c>
      <c r="B31" s="175" t="s">
        <v>315</v>
      </c>
      <c r="C31" s="174">
        <v>950</v>
      </c>
      <c r="D31" s="174">
        <v>870</v>
      </c>
    </row>
    <row r="32" spans="1:4" x14ac:dyDescent="0.2">
      <c r="B32" s="175" t="s">
        <v>311</v>
      </c>
      <c r="C32" s="174">
        <v>370</v>
      </c>
      <c r="D32" s="174">
        <v>340</v>
      </c>
    </row>
    <row r="33" spans="1:4" x14ac:dyDescent="0.2">
      <c r="B33" s="175" t="s">
        <v>312</v>
      </c>
      <c r="C33" s="174">
        <v>170</v>
      </c>
      <c r="D33" s="174">
        <v>160</v>
      </c>
    </row>
    <row r="34" spans="1:4" x14ac:dyDescent="0.2">
      <c r="A34" s="8" t="s">
        <v>358</v>
      </c>
      <c r="B34" s="175" t="s">
        <v>344</v>
      </c>
      <c r="C34" s="174">
        <v>5040</v>
      </c>
      <c r="D34" s="174">
        <v>4660</v>
      </c>
    </row>
    <row r="35" spans="1:4" x14ac:dyDescent="0.2">
      <c r="B35" s="175" t="s">
        <v>313</v>
      </c>
      <c r="C35" s="174">
        <v>4140</v>
      </c>
      <c r="D35" s="174">
        <v>3820</v>
      </c>
    </row>
    <row r="36" spans="1:4" ht="12.75" x14ac:dyDescent="0.2">
      <c r="B36" s="178" t="s">
        <v>314</v>
      </c>
      <c r="C36" s="174">
        <v>6440</v>
      </c>
      <c r="D36" s="174"/>
    </row>
    <row r="37" spans="1:4" ht="12.75" x14ac:dyDescent="0.2">
      <c r="B37" s="178" t="s">
        <v>316</v>
      </c>
      <c r="C37" s="174">
        <v>7970</v>
      </c>
      <c r="D37" s="174"/>
    </row>
    <row r="38" spans="1:4" x14ac:dyDescent="0.2">
      <c r="B38" s="175" t="s">
        <v>336</v>
      </c>
      <c r="C38" s="174">
        <v>4920</v>
      </c>
      <c r="D38" s="174">
        <v>2820</v>
      </c>
    </row>
    <row r="39" spans="1:4" x14ac:dyDescent="0.2">
      <c r="B39" s="175" t="s">
        <v>337</v>
      </c>
      <c r="C39" s="174">
        <v>5530</v>
      </c>
      <c r="D39" s="174">
        <v>3170</v>
      </c>
    </row>
    <row r="40" spans="1:4" x14ac:dyDescent="0.2">
      <c r="B40" s="175" t="s">
        <v>338</v>
      </c>
      <c r="C40" s="174">
        <v>6130</v>
      </c>
      <c r="D40" s="174">
        <v>4780</v>
      </c>
    </row>
    <row r="41" spans="1:4" ht="15" x14ac:dyDescent="0.25">
      <c r="B41" s="173" t="s">
        <v>1046</v>
      </c>
      <c r="C41" s="174">
        <v>1600</v>
      </c>
      <c r="D41" s="174">
        <v>5280</v>
      </c>
    </row>
    <row r="42" spans="1:4" ht="15" x14ac:dyDescent="0.25">
      <c r="B42" s="173" t="s">
        <v>1042</v>
      </c>
      <c r="C42" s="174">
        <v>6330</v>
      </c>
      <c r="D42" s="174">
        <v>5850</v>
      </c>
    </row>
    <row r="43" spans="1:4" ht="15" x14ac:dyDescent="0.25">
      <c r="B43" s="173" t="s">
        <v>1043</v>
      </c>
      <c r="C43" s="174">
        <v>7270</v>
      </c>
      <c r="D43" s="174">
        <v>6720</v>
      </c>
    </row>
    <row r="44" spans="1:4" ht="15" x14ac:dyDescent="0.25">
      <c r="B44" s="173" t="s">
        <v>1044</v>
      </c>
      <c r="C44" s="174">
        <v>7810</v>
      </c>
      <c r="D44" s="174">
        <v>7220</v>
      </c>
    </row>
    <row r="45" spans="1:4" ht="12" customHeight="1" x14ac:dyDescent="0.2">
      <c r="B45" s="175" t="s">
        <v>711</v>
      </c>
      <c r="C45" s="179">
        <v>8790</v>
      </c>
      <c r="D45" s="174"/>
    </row>
    <row r="46" spans="1:4" x14ac:dyDescent="0.2">
      <c r="B46" s="175" t="s">
        <v>360</v>
      </c>
      <c r="C46" s="174">
        <v>6340</v>
      </c>
      <c r="D46" s="174">
        <v>10690</v>
      </c>
    </row>
    <row r="47" spans="1:4" x14ac:dyDescent="0.2">
      <c r="B47" s="175" t="s">
        <v>301</v>
      </c>
      <c r="C47" s="174">
        <v>11370</v>
      </c>
      <c r="D47" s="174">
        <v>10520</v>
      </c>
    </row>
    <row r="48" spans="1:4" x14ac:dyDescent="0.2">
      <c r="B48" s="175" t="s">
        <v>302</v>
      </c>
      <c r="C48" s="177">
        <v>10520</v>
      </c>
      <c r="D48" s="174">
        <v>10520</v>
      </c>
    </row>
    <row r="49" spans="1:4" x14ac:dyDescent="0.2">
      <c r="B49" s="175" t="s">
        <v>339</v>
      </c>
      <c r="C49" s="174">
        <v>1000</v>
      </c>
      <c r="D49" s="174">
        <v>1000</v>
      </c>
    </row>
    <row r="50" spans="1:4" x14ac:dyDescent="0.2">
      <c r="B50" s="175" t="s">
        <v>340</v>
      </c>
      <c r="C50" s="174">
        <v>1000</v>
      </c>
      <c r="D50" s="174">
        <v>1000</v>
      </c>
    </row>
    <row r="51" spans="1:4" x14ac:dyDescent="0.2">
      <c r="B51" s="175" t="s">
        <v>361</v>
      </c>
      <c r="C51" s="174">
        <v>1000</v>
      </c>
      <c r="D51" s="174">
        <v>1000</v>
      </c>
    </row>
    <row r="52" spans="1:4" ht="24" x14ac:dyDescent="0.2">
      <c r="B52" s="169" t="s">
        <v>1113</v>
      </c>
      <c r="C52" s="160">
        <v>1200</v>
      </c>
      <c r="D52" s="136"/>
    </row>
    <row r="53" spans="1:4" x14ac:dyDescent="0.2">
      <c r="B53" s="169" t="s">
        <v>1298</v>
      </c>
      <c r="C53" s="160">
        <v>340</v>
      </c>
      <c r="D53" s="136"/>
    </row>
    <row r="54" spans="1:4" x14ac:dyDescent="0.2">
      <c r="B54" s="169" t="s">
        <v>1299</v>
      </c>
      <c r="C54" s="160">
        <v>790</v>
      </c>
      <c r="D54" s="136"/>
    </row>
    <row r="55" spans="1:4" x14ac:dyDescent="0.2">
      <c r="B55" s="169" t="s">
        <v>1300</v>
      </c>
      <c r="C55" s="160">
        <v>3820</v>
      </c>
      <c r="D55" s="136"/>
    </row>
    <row r="56" spans="1:4" ht="12.75" thickBot="1" x14ac:dyDescent="0.25">
      <c r="B56" s="169" t="s">
        <v>1301</v>
      </c>
      <c r="C56" s="160">
        <v>4460</v>
      </c>
      <c r="D56" s="136"/>
    </row>
    <row r="57" spans="1:4" x14ac:dyDescent="0.2">
      <c r="A57" s="8" t="s">
        <v>362</v>
      </c>
      <c r="B57" s="170" t="s">
        <v>1034</v>
      </c>
      <c r="C57" s="10">
        <v>820</v>
      </c>
      <c r="D57" s="10">
        <v>760</v>
      </c>
    </row>
    <row r="58" spans="1:4" x14ac:dyDescent="0.2">
      <c r="A58" s="8" t="s">
        <v>355</v>
      </c>
      <c r="B58" s="171" t="s">
        <v>319</v>
      </c>
      <c r="C58" s="11">
        <v>1560</v>
      </c>
      <c r="D58" s="11">
        <v>1440</v>
      </c>
    </row>
    <row r="59" spans="1:4" ht="12.75" thickBot="1" x14ac:dyDescent="0.25">
      <c r="A59" s="8" t="s">
        <v>363</v>
      </c>
      <c r="B59" s="172" t="s">
        <v>310</v>
      </c>
      <c r="C59" s="12">
        <v>190</v>
      </c>
      <c r="D59" s="12">
        <v>180</v>
      </c>
    </row>
    <row r="60" spans="1:4" x14ac:dyDescent="0.2">
      <c r="A60" s="8" t="s">
        <v>362</v>
      </c>
      <c r="B60" s="170" t="s">
        <v>322</v>
      </c>
      <c r="C60" s="10">
        <v>1300</v>
      </c>
      <c r="D60" s="10">
        <v>1200</v>
      </c>
    </row>
    <row r="61" spans="1:4" x14ac:dyDescent="0.2">
      <c r="A61" s="8" t="s">
        <v>355</v>
      </c>
      <c r="B61" s="171" t="s">
        <v>364</v>
      </c>
      <c r="C61" s="11">
        <v>1300</v>
      </c>
      <c r="D61" s="11">
        <v>1410</v>
      </c>
    </row>
    <row r="62" spans="1:4" ht="12" customHeight="1" x14ac:dyDescent="0.2">
      <c r="A62" s="8" t="s">
        <v>363</v>
      </c>
      <c r="B62" s="171" t="s">
        <v>306</v>
      </c>
      <c r="C62" s="11">
        <v>480</v>
      </c>
      <c r="D62" s="11">
        <v>440</v>
      </c>
    </row>
    <row r="63" spans="1:4" ht="12.75" thickBot="1" x14ac:dyDescent="0.25">
      <c r="A63" s="8" t="s">
        <v>363</v>
      </c>
      <c r="B63" s="172" t="s">
        <v>321</v>
      </c>
      <c r="C63" s="12">
        <v>200</v>
      </c>
      <c r="D63" s="12">
        <v>180</v>
      </c>
    </row>
    <row r="64" spans="1:4" x14ac:dyDescent="0.2">
      <c r="A64" s="8" t="s">
        <v>362</v>
      </c>
      <c r="B64" s="170" t="s">
        <v>365</v>
      </c>
      <c r="C64" s="10">
        <v>450</v>
      </c>
      <c r="D64" s="10">
        <v>420</v>
      </c>
    </row>
    <row r="65" spans="1:4" x14ac:dyDescent="0.2">
      <c r="A65" s="8" t="s">
        <v>355</v>
      </c>
      <c r="B65" s="171" t="s">
        <v>366</v>
      </c>
      <c r="C65" s="13">
        <v>660</v>
      </c>
      <c r="D65" s="13">
        <v>610</v>
      </c>
    </row>
    <row r="66" spans="1:4" x14ac:dyDescent="0.2">
      <c r="A66" s="8" t="s">
        <v>355</v>
      </c>
      <c r="B66" s="171" t="s">
        <v>367</v>
      </c>
      <c r="C66" s="14">
        <v>620</v>
      </c>
      <c r="D66" s="13">
        <v>340</v>
      </c>
    </row>
    <row r="67" spans="1:4" ht="12" customHeight="1" thickBot="1" x14ac:dyDescent="0.25">
      <c r="A67" s="8" t="s">
        <v>363</v>
      </c>
      <c r="B67" s="172" t="s">
        <v>300</v>
      </c>
      <c r="C67" s="12">
        <v>130</v>
      </c>
      <c r="D67" s="12">
        <v>120</v>
      </c>
    </row>
    <row r="68" spans="1:4" x14ac:dyDescent="0.2">
      <c r="A68" s="8" t="s">
        <v>362</v>
      </c>
      <c r="B68" s="170" t="s">
        <v>368</v>
      </c>
      <c r="C68" s="15">
        <v>6080</v>
      </c>
      <c r="D68" s="10">
        <v>3470</v>
      </c>
    </row>
    <row r="69" spans="1:4" x14ac:dyDescent="0.2">
      <c r="A69" s="8" t="s">
        <v>362</v>
      </c>
      <c r="B69" s="171" t="s">
        <v>369</v>
      </c>
      <c r="C69" s="16">
        <v>6080</v>
      </c>
      <c r="D69" s="11">
        <v>3540</v>
      </c>
    </row>
    <row r="70" spans="1:4" ht="15" x14ac:dyDescent="0.25">
      <c r="A70" s="8" t="s">
        <v>362</v>
      </c>
      <c r="B70" s="157" t="s">
        <v>1036</v>
      </c>
      <c r="C70" s="11">
        <v>5160</v>
      </c>
      <c r="D70" s="11">
        <v>4770</v>
      </c>
    </row>
    <row r="71" spans="1:4" x14ac:dyDescent="0.2">
      <c r="A71" s="8" t="s">
        <v>355</v>
      </c>
      <c r="B71" s="171" t="s">
        <v>346</v>
      </c>
      <c r="C71" s="11">
        <v>6080</v>
      </c>
      <c r="D71" s="11">
        <v>3460</v>
      </c>
    </row>
    <row r="72" spans="1:4" ht="12" customHeight="1" x14ac:dyDescent="0.2">
      <c r="A72" s="8" t="s">
        <v>355</v>
      </c>
      <c r="B72" s="171" t="s">
        <v>370</v>
      </c>
      <c r="C72" s="11">
        <v>6940</v>
      </c>
      <c r="D72" s="11">
        <v>6410</v>
      </c>
    </row>
    <row r="73" spans="1:4" ht="12" customHeight="1" x14ac:dyDescent="0.25">
      <c r="A73" s="8" t="s">
        <v>363</v>
      </c>
      <c r="B73" s="157" t="s">
        <v>1030</v>
      </c>
      <c r="C73" s="11">
        <v>13990</v>
      </c>
      <c r="D73" s="11">
        <v>12930</v>
      </c>
    </row>
    <row r="74" spans="1:4" ht="12.75" thickBot="1" x14ac:dyDescent="0.25">
      <c r="A74" s="8" t="s">
        <v>363</v>
      </c>
      <c r="B74" s="172" t="s">
        <v>330</v>
      </c>
      <c r="C74" s="12">
        <v>2290</v>
      </c>
      <c r="D74" s="12">
        <v>2120</v>
      </c>
    </row>
    <row r="75" spans="1:4" x14ac:dyDescent="0.2">
      <c r="B75" s="181" t="s">
        <v>371</v>
      </c>
      <c r="C75" s="182">
        <v>590</v>
      </c>
      <c r="D75" s="182">
        <v>550</v>
      </c>
    </row>
    <row r="76" spans="1:4" x14ac:dyDescent="0.2">
      <c r="B76" s="181" t="s">
        <v>325</v>
      </c>
      <c r="C76" s="182">
        <v>210</v>
      </c>
      <c r="D76" s="182">
        <v>190</v>
      </c>
    </row>
    <row r="77" spans="1:4" x14ac:dyDescent="0.2">
      <c r="B77" s="181" t="s">
        <v>1045</v>
      </c>
      <c r="C77" s="182">
        <v>30</v>
      </c>
      <c r="D77" s="182">
        <v>20</v>
      </c>
    </row>
    <row r="78" spans="1:4" ht="12.75" customHeight="1" x14ac:dyDescent="0.2">
      <c r="B78" s="181" t="s">
        <v>372</v>
      </c>
      <c r="C78" s="182">
        <v>0.01</v>
      </c>
      <c r="D78" s="182">
        <v>20</v>
      </c>
    </row>
    <row r="79" spans="1:4" x14ac:dyDescent="0.2">
      <c r="B79" s="181" t="s">
        <v>373</v>
      </c>
      <c r="C79" s="182">
        <v>0.01</v>
      </c>
      <c r="D79" s="182">
        <v>20</v>
      </c>
    </row>
    <row r="80" spans="1:4" x14ac:dyDescent="0.2">
      <c r="B80" s="181" t="s">
        <v>374</v>
      </c>
      <c r="C80" s="182">
        <v>0.01</v>
      </c>
      <c r="D80" s="182">
        <v>30</v>
      </c>
    </row>
    <row r="81" spans="2:4" x14ac:dyDescent="0.2">
      <c r="B81" s="181" t="s">
        <v>375</v>
      </c>
      <c r="C81" s="182">
        <v>0.01</v>
      </c>
      <c r="D81" s="182">
        <v>30</v>
      </c>
    </row>
    <row r="82" spans="2:4" x14ac:dyDescent="0.2">
      <c r="B82" s="181" t="s">
        <v>307</v>
      </c>
      <c r="C82" s="182">
        <v>30</v>
      </c>
      <c r="D82" s="182">
        <v>30</v>
      </c>
    </row>
    <row r="83" spans="2:4" x14ac:dyDescent="0.2">
      <c r="B83" s="181" t="s">
        <v>341</v>
      </c>
      <c r="C83" s="182">
        <v>40</v>
      </c>
      <c r="D83" s="182">
        <v>40</v>
      </c>
    </row>
    <row r="84" spans="2:4" x14ac:dyDescent="0.2">
      <c r="B84" s="168" t="s">
        <v>323</v>
      </c>
      <c r="C84" s="9">
        <v>390</v>
      </c>
      <c r="D84" s="9">
        <v>360</v>
      </c>
    </row>
    <row r="85" spans="2:4" x14ac:dyDescent="0.2">
      <c r="B85" s="166" t="s">
        <v>376</v>
      </c>
      <c r="C85" s="7">
        <v>1110</v>
      </c>
      <c r="D85" s="7">
        <v>1030</v>
      </c>
    </row>
    <row r="86" spans="2:4" ht="12.75" x14ac:dyDescent="0.2">
      <c r="B86" s="167" t="s">
        <v>377</v>
      </c>
      <c r="C86" s="7">
        <v>8550</v>
      </c>
      <c r="D86" s="7">
        <v>7910</v>
      </c>
    </row>
    <row r="87" spans="2:4" ht="12.75" x14ac:dyDescent="0.2">
      <c r="B87" s="167" t="s">
        <v>378</v>
      </c>
      <c r="C87" s="7">
        <v>8200</v>
      </c>
      <c r="D87" s="7">
        <v>7580</v>
      </c>
    </row>
    <row r="88" spans="2:4" x14ac:dyDescent="0.2">
      <c r="B88" s="166" t="s">
        <v>303</v>
      </c>
      <c r="C88" s="7">
        <v>10</v>
      </c>
      <c r="D88" s="7">
        <v>10</v>
      </c>
    </row>
    <row r="89" spans="2:4" x14ac:dyDescent="0.2">
      <c r="B89" s="166" t="s">
        <v>343</v>
      </c>
      <c r="C89" s="7">
        <v>290</v>
      </c>
      <c r="D89" s="7">
        <v>270</v>
      </c>
    </row>
    <row r="90" spans="2:4" ht="12.75" x14ac:dyDescent="0.2">
      <c r="B90" s="167" t="s">
        <v>379</v>
      </c>
      <c r="C90" s="7">
        <v>550</v>
      </c>
      <c r="D90" s="7">
        <v>510</v>
      </c>
    </row>
    <row r="91" spans="2:4" ht="12.75" x14ac:dyDescent="0.2">
      <c r="B91" s="167" t="s">
        <v>380</v>
      </c>
      <c r="C91" s="7">
        <v>770</v>
      </c>
      <c r="D91" s="7">
        <v>710</v>
      </c>
    </row>
    <row r="92" spans="2:4" ht="12.75" x14ac:dyDescent="0.2">
      <c r="B92" s="167" t="s">
        <v>381</v>
      </c>
      <c r="C92" s="7">
        <v>300</v>
      </c>
      <c r="D92" s="7">
        <v>280</v>
      </c>
    </row>
    <row r="93" spans="2:4" ht="12.75" x14ac:dyDescent="0.2">
      <c r="B93" s="167" t="s">
        <v>382</v>
      </c>
      <c r="C93" s="7">
        <v>180.32</v>
      </c>
      <c r="D93" s="7">
        <v>180.32</v>
      </c>
    </row>
    <row r="94" spans="2:4" ht="12.75" x14ac:dyDescent="0.2">
      <c r="B94" s="167" t="s">
        <v>333</v>
      </c>
      <c r="C94" s="7">
        <v>20</v>
      </c>
      <c r="D94" s="7">
        <v>10</v>
      </c>
    </row>
    <row r="95" spans="2:4" x14ac:dyDescent="0.2">
      <c r="B95" s="217" t="s">
        <v>1089</v>
      </c>
      <c r="C95" s="164">
        <v>400</v>
      </c>
      <c r="D95" s="163"/>
    </row>
  </sheetData>
  <sheetProtection algorithmName="SHA-512" hashValue="rIS1eZ54T0jdCUI2AOCQ2K3VYrkjozrX7CNzVfGX6W0BGs0lM92xrawR5x2kYTf94dZ0mmwKUpFSwHuWRI/rrg==" saltValue="+TbcV4wVHZkUw7u0dF3d1Q==" spinCount="100000" sheet="1" objects="1" scenarios="1"/>
  <mergeCells count="3">
    <mergeCell ref="C1:C2"/>
    <mergeCell ref="D1:D2"/>
    <mergeCell ref="B1:B2"/>
  </mergeCells>
  <pageMargins left="0.11811023622047244" right="0.11811023622047244" top="0" bottom="0" header="0" footer="0"/>
  <pageSetup paperSize="9" scale="76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5"/>
  <dimension ref="A1:A90"/>
  <sheetViews>
    <sheetView topLeftCell="A88" zoomScale="85" zoomScaleNormal="85" workbookViewId="0">
      <selection activeCell="G89" sqref="G89"/>
    </sheetView>
  </sheetViews>
  <sheetFormatPr defaultRowHeight="15" x14ac:dyDescent="0.25"/>
  <cols>
    <col min="1" max="1" width="25" style="1" customWidth="1"/>
    <col min="2" max="2" width="30.7109375" customWidth="1"/>
    <col min="7" max="7" width="40.42578125" customWidth="1"/>
    <col min="8" max="8" width="37.85546875" customWidth="1"/>
    <col min="9" max="9" width="39.85546875" customWidth="1"/>
  </cols>
  <sheetData>
    <row r="1" spans="1:1" ht="170.1" customHeight="1" thickBot="1" x14ac:dyDescent="0.3">
      <c r="A1" s="116" t="s">
        <v>3</v>
      </c>
    </row>
    <row r="2" spans="1:1" ht="170.1" customHeight="1" thickBot="1" x14ac:dyDescent="0.3">
      <c r="A2" s="117" t="s">
        <v>0</v>
      </c>
    </row>
    <row r="3" spans="1:1" ht="170.1" customHeight="1" thickBot="1" x14ac:dyDescent="0.3">
      <c r="A3" s="117" t="s">
        <v>11</v>
      </c>
    </row>
    <row r="4" spans="1:1" ht="170.1" customHeight="1" thickBot="1" x14ac:dyDescent="0.3">
      <c r="A4" s="117" t="s">
        <v>385</v>
      </c>
    </row>
    <row r="5" spans="1:1" ht="170.1" customHeight="1" thickBot="1" x14ac:dyDescent="0.3">
      <c r="A5" s="117" t="s">
        <v>386</v>
      </c>
    </row>
    <row r="6" spans="1:1" ht="170.1" customHeight="1" thickBot="1" x14ac:dyDescent="0.3">
      <c r="A6" s="117" t="s">
        <v>12</v>
      </c>
    </row>
    <row r="7" spans="1:1" ht="170.1" customHeight="1" thickBot="1" x14ac:dyDescent="0.3">
      <c r="A7" s="117" t="s">
        <v>13</v>
      </c>
    </row>
    <row r="8" spans="1:1" ht="170.1" customHeight="1" thickBot="1" x14ac:dyDescent="0.3">
      <c r="A8" s="117" t="s">
        <v>129</v>
      </c>
    </row>
    <row r="9" spans="1:1" ht="170.1" customHeight="1" thickBot="1" x14ac:dyDescent="0.3">
      <c r="A9" s="117" t="s">
        <v>128</v>
      </c>
    </row>
    <row r="10" spans="1:1" ht="170.1" customHeight="1" thickBot="1" x14ac:dyDescent="0.3">
      <c r="A10" s="117" t="s">
        <v>131</v>
      </c>
    </row>
    <row r="11" spans="1:1" ht="170.1" customHeight="1" thickBot="1" x14ac:dyDescent="0.3">
      <c r="A11" s="117" t="s">
        <v>130</v>
      </c>
    </row>
    <row r="12" spans="1:1" ht="170.1" customHeight="1" thickBot="1" x14ac:dyDescent="0.3">
      <c r="A12" s="117" t="s">
        <v>841</v>
      </c>
    </row>
    <row r="13" spans="1:1" ht="170.1" customHeight="1" thickBot="1" x14ac:dyDescent="0.3">
      <c r="A13" s="117" t="s">
        <v>842</v>
      </c>
    </row>
    <row r="14" spans="1:1" ht="170.1" customHeight="1" thickBot="1" x14ac:dyDescent="0.3">
      <c r="A14" s="117" t="s">
        <v>14</v>
      </c>
    </row>
    <row r="15" spans="1:1" ht="170.1" customHeight="1" x14ac:dyDescent="0.25">
      <c r="A15" s="117" t="s">
        <v>84</v>
      </c>
    </row>
    <row r="16" spans="1:1" ht="170.1" customHeight="1" x14ac:dyDescent="0.25">
      <c r="A16" s="118" t="s">
        <v>15</v>
      </c>
    </row>
    <row r="17" spans="1:1" ht="170.1" customHeight="1" x14ac:dyDescent="0.25">
      <c r="A17" s="118" t="s">
        <v>1</v>
      </c>
    </row>
    <row r="18" spans="1:1" ht="170.1" customHeight="1" x14ac:dyDescent="0.25">
      <c r="A18" s="118" t="s">
        <v>16</v>
      </c>
    </row>
    <row r="19" spans="1:1" ht="170.1" customHeight="1" x14ac:dyDescent="0.25">
      <c r="A19" s="118" t="s">
        <v>17</v>
      </c>
    </row>
    <row r="20" spans="1:1" ht="170.1" customHeight="1" thickBot="1" x14ac:dyDescent="0.3">
      <c r="A20" s="118" t="s">
        <v>18</v>
      </c>
    </row>
    <row r="21" spans="1:1" ht="170.1" customHeight="1" thickBot="1" x14ac:dyDescent="0.3">
      <c r="A21" s="117" t="s">
        <v>19</v>
      </c>
    </row>
    <row r="22" spans="1:1" ht="170.1" customHeight="1" thickBot="1" x14ac:dyDescent="0.3">
      <c r="A22" s="117" t="s">
        <v>20</v>
      </c>
    </row>
    <row r="23" spans="1:1" ht="170.1" customHeight="1" thickBot="1" x14ac:dyDescent="0.3">
      <c r="A23" s="117" t="s">
        <v>21</v>
      </c>
    </row>
    <row r="24" spans="1:1" ht="170.1" customHeight="1" x14ac:dyDescent="0.25">
      <c r="A24" s="117" t="s">
        <v>22</v>
      </c>
    </row>
    <row r="25" spans="1:1" ht="170.1" customHeight="1" x14ac:dyDescent="0.25">
      <c r="A25" s="119" t="s">
        <v>23</v>
      </c>
    </row>
    <row r="26" spans="1:1" ht="170.1" customHeight="1" x14ac:dyDescent="0.25">
      <c r="A26" s="119" t="s">
        <v>24</v>
      </c>
    </row>
    <row r="27" spans="1:1" ht="170.1" customHeight="1" thickBot="1" x14ac:dyDescent="0.3">
      <c r="A27" s="120" t="s">
        <v>389</v>
      </c>
    </row>
    <row r="28" spans="1:1" ht="170.1" customHeight="1" thickBot="1" x14ac:dyDescent="0.3">
      <c r="A28" s="120" t="s">
        <v>390</v>
      </c>
    </row>
    <row r="29" spans="1:1" ht="170.1" customHeight="1" thickBot="1" x14ac:dyDescent="0.3">
      <c r="A29" s="121" t="s">
        <v>25</v>
      </c>
    </row>
    <row r="30" spans="1:1" ht="170.1" customHeight="1" thickBot="1" x14ac:dyDescent="0.3">
      <c r="A30" s="121" t="s">
        <v>26</v>
      </c>
    </row>
    <row r="31" spans="1:1" ht="170.1" customHeight="1" thickBot="1" x14ac:dyDescent="0.3">
      <c r="A31" s="121" t="s">
        <v>134</v>
      </c>
    </row>
    <row r="32" spans="1:1" ht="170.1" customHeight="1" thickBot="1" x14ac:dyDescent="0.3">
      <c r="A32" s="121" t="s">
        <v>133</v>
      </c>
    </row>
    <row r="33" spans="1:1" ht="170.1" customHeight="1" thickBot="1" x14ac:dyDescent="0.3">
      <c r="A33" s="121" t="s">
        <v>27</v>
      </c>
    </row>
    <row r="34" spans="1:1" ht="170.1" customHeight="1" thickBot="1" x14ac:dyDescent="0.3">
      <c r="A34" s="122" t="s">
        <v>2</v>
      </c>
    </row>
    <row r="35" spans="1:1" ht="170.1" customHeight="1" thickBot="1" x14ac:dyDescent="0.3">
      <c r="A35" s="123" t="s">
        <v>77</v>
      </c>
    </row>
    <row r="36" spans="1:1" ht="170.1" customHeight="1" thickBot="1" x14ac:dyDescent="0.3">
      <c r="A36" s="123" t="s">
        <v>78</v>
      </c>
    </row>
    <row r="37" spans="1:1" ht="170.1" customHeight="1" thickBot="1" x14ac:dyDescent="0.3">
      <c r="A37" s="123" t="s">
        <v>79</v>
      </c>
    </row>
    <row r="38" spans="1:1" ht="170.1" customHeight="1" x14ac:dyDescent="0.25">
      <c r="A38" s="123"/>
    </row>
    <row r="39" spans="1:1" ht="170.1" customHeight="1" thickBot="1" x14ac:dyDescent="0.3">
      <c r="A39" s="122" t="s">
        <v>80</v>
      </c>
    </row>
    <row r="40" spans="1:1" ht="170.1" customHeight="1" thickBot="1" x14ac:dyDescent="0.3">
      <c r="A40" s="123" t="s">
        <v>81</v>
      </c>
    </row>
    <row r="41" spans="1:1" ht="170.1" customHeight="1" thickBot="1" x14ac:dyDescent="0.3">
      <c r="A41" s="123" t="s">
        <v>28</v>
      </c>
    </row>
    <row r="42" spans="1:1" ht="170.1" customHeight="1" thickBot="1" x14ac:dyDescent="0.3">
      <c r="A42" s="123" t="s">
        <v>467</v>
      </c>
    </row>
    <row r="43" spans="1:1" ht="170.1" customHeight="1" thickBot="1" x14ac:dyDescent="0.3">
      <c r="A43" s="124" t="s">
        <v>29</v>
      </c>
    </row>
    <row r="44" spans="1:1" ht="170.1" customHeight="1" thickBot="1" x14ac:dyDescent="0.3">
      <c r="A44" s="124" t="s">
        <v>839</v>
      </c>
    </row>
    <row r="45" spans="1:1" ht="170.1" customHeight="1" thickBot="1" x14ac:dyDescent="0.3">
      <c r="A45" s="124" t="s">
        <v>30</v>
      </c>
    </row>
    <row r="46" spans="1:1" ht="170.1" customHeight="1" thickBot="1" x14ac:dyDescent="0.3">
      <c r="A46" s="124" t="s">
        <v>840</v>
      </c>
    </row>
    <row r="47" spans="1:1" ht="170.1" customHeight="1" thickBot="1" x14ac:dyDescent="0.3">
      <c r="A47" s="125" t="s">
        <v>31</v>
      </c>
    </row>
    <row r="48" spans="1:1" ht="170.1" customHeight="1" thickBot="1" x14ac:dyDescent="0.3">
      <c r="A48" s="123" t="s">
        <v>391</v>
      </c>
    </row>
    <row r="49" spans="1:1" ht="170.1" customHeight="1" thickBot="1" x14ac:dyDescent="0.3">
      <c r="A49" s="123" t="s">
        <v>392</v>
      </c>
    </row>
    <row r="50" spans="1:1" ht="170.1" customHeight="1" thickBot="1" x14ac:dyDescent="0.3">
      <c r="A50" s="123" t="s">
        <v>393</v>
      </c>
    </row>
    <row r="51" spans="1:1" ht="170.1" customHeight="1" thickBot="1" x14ac:dyDescent="0.3">
      <c r="A51" s="123" t="s">
        <v>394</v>
      </c>
    </row>
    <row r="52" spans="1:1" ht="170.1" customHeight="1" thickBot="1" x14ac:dyDescent="0.3">
      <c r="A52" s="123" t="s">
        <v>395</v>
      </c>
    </row>
    <row r="53" spans="1:1" ht="170.1" customHeight="1" thickBot="1" x14ac:dyDescent="0.3">
      <c r="A53" s="123" t="s">
        <v>396</v>
      </c>
    </row>
    <row r="54" spans="1:1" ht="170.1" customHeight="1" thickBot="1" x14ac:dyDescent="0.3">
      <c r="A54" s="123" t="s">
        <v>499</v>
      </c>
    </row>
    <row r="55" spans="1:1" ht="170.1" customHeight="1" thickBot="1" x14ac:dyDescent="0.3">
      <c r="A55" s="126" t="s">
        <v>397</v>
      </c>
    </row>
    <row r="56" spans="1:1" ht="170.1" customHeight="1" thickBot="1" x14ac:dyDescent="0.3">
      <c r="A56" s="126" t="s">
        <v>398</v>
      </c>
    </row>
    <row r="57" spans="1:1" ht="170.1" customHeight="1" thickBot="1" x14ac:dyDescent="0.3">
      <c r="A57" s="123" t="s">
        <v>32</v>
      </c>
    </row>
    <row r="58" spans="1:1" ht="170.1" customHeight="1" thickBot="1" x14ac:dyDescent="0.3">
      <c r="A58" s="123" t="s">
        <v>837</v>
      </c>
    </row>
    <row r="59" spans="1:1" ht="170.1" customHeight="1" thickBot="1" x14ac:dyDescent="0.3">
      <c r="A59" s="123" t="s">
        <v>838</v>
      </c>
    </row>
    <row r="60" spans="1:1" ht="170.1" customHeight="1" thickBot="1" x14ac:dyDescent="0.3">
      <c r="A60" s="123"/>
    </row>
    <row r="61" spans="1:1" ht="170.1" customHeight="1" thickBot="1" x14ac:dyDescent="0.3">
      <c r="A61" s="123" t="s">
        <v>82</v>
      </c>
    </row>
    <row r="62" spans="1:1" ht="170.1" customHeight="1" thickBot="1" x14ac:dyDescent="0.3">
      <c r="A62" s="123" t="s">
        <v>33</v>
      </c>
    </row>
    <row r="63" spans="1:1" ht="170.1" customHeight="1" thickBot="1" x14ac:dyDescent="0.3">
      <c r="A63" s="123" t="s">
        <v>34</v>
      </c>
    </row>
    <row r="64" spans="1:1" ht="170.1" customHeight="1" thickBot="1" x14ac:dyDescent="0.3">
      <c r="A64" s="127" t="s">
        <v>826</v>
      </c>
    </row>
    <row r="65" spans="1:1" ht="170.1" customHeight="1" thickBot="1" x14ac:dyDescent="0.3">
      <c r="A65" s="125" t="s">
        <v>500</v>
      </c>
    </row>
    <row r="66" spans="1:1" ht="170.1" customHeight="1" thickBot="1" x14ac:dyDescent="0.3">
      <c r="A66" s="128" t="s">
        <v>501</v>
      </c>
    </row>
    <row r="67" spans="1:1" ht="170.1" customHeight="1" thickBot="1" x14ac:dyDescent="0.3">
      <c r="A67" s="125" t="s">
        <v>36</v>
      </c>
    </row>
    <row r="68" spans="1:1" ht="170.1" customHeight="1" thickBot="1" x14ac:dyDescent="0.3">
      <c r="A68" s="125" t="s">
        <v>37</v>
      </c>
    </row>
    <row r="69" spans="1:1" ht="170.1" customHeight="1" thickBot="1" x14ac:dyDescent="0.3">
      <c r="A69" s="123" t="s">
        <v>497</v>
      </c>
    </row>
    <row r="70" spans="1:1" ht="170.1" customHeight="1" thickBot="1" x14ac:dyDescent="0.3">
      <c r="A70" s="123" t="s">
        <v>498</v>
      </c>
    </row>
    <row r="71" spans="1:1" ht="170.1" customHeight="1" thickBot="1" x14ac:dyDescent="0.3">
      <c r="A71" s="129" t="s">
        <v>38</v>
      </c>
    </row>
    <row r="72" spans="1:1" ht="170.1" customHeight="1" thickBot="1" x14ac:dyDescent="0.3">
      <c r="A72" s="129" t="s">
        <v>714</v>
      </c>
    </row>
    <row r="73" spans="1:1" ht="170.1" customHeight="1" thickBot="1" x14ac:dyDescent="0.3">
      <c r="A73" s="129"/>
    </row>
    <row r="74" spans="1:1" ht="170.1" customHeight="1" thickBot="1" x14ac:dyDescent="0.3">
      <c r="A74" s="123" t="s">
        <v>39</v>
      </c>
    </row>
    <row r="75" spans="1:1" ht="170.1" customHeight="1" thickBot="1" x14ac:dyDescent="0.3">
      <c r="A75" s="123" t="s">
        <v>83</v>
      </c>
    </row>
    <row r="76" spans="1:1" ht="170.1" customHeight="1" thickBot="1" x14ac:dyDescent="0.3">
      <c r="A76" s="123" t="s">
        <v>40</v>
      </c>
    </row>
    <row r="77" spans="1:1" ht="170.1" customHeight="1" thickBot="1" x14ac:dyDescent="0.3">
      <c r="A77" s="123" t="s">
        <v>41</v>
      </c>
    </row>
    <row r="78" spans="1:1" ht="170.1" customHeight="1" thickBot="1" x14ac:dyDescent="0.3">
      <c r="A78" s="130" t="s">
        <v>42</v>
      </c>
    </row>
    <row r="79" spans="1:1" ht="170.1" customHeight="1" thickBot="1" x14ac:dyDescent="0.3">
      <c r="A79" s="123" t="s">
        <v>43</v>
      </c>
    </row>
    <row r="80" spans="1:1" ht="170.1" customHeight="1" thickBot="1" x14ac:dyDescent="0.3">
      <c r="A80" s="123" t="s">
        <v>403</v>
      </c>
    </row>
    <row r="81" spans="1:1" ht="170.1" customHeight="1" thickBot="1" x14ac:dyDescent="0.3">
      <c r="A81" s="123" t="s">
        <v>1085</v>
      </c>
    </row>
    <row r="82" spans="1:1" ht="170.1" customHeight="1" thickBot="1" x14ac:dyDescent="0.3">
      <c r="A82" s="123" t="s">
        <v>404</v>
      </c>
    </row>
    <row r="83" spans="1:1" ht="170.1" customHeight="1" thickBot="1" x14ac:dyDescent="0.3">
      <c r="A83" s="123" t="s">
        <v>405</v>
      </c>
    </row>
    <row r="84" spans="1:1" ht="170.1" customHeight="1" thickBot="1" x14ac:dyDescent="0.3">
      <c r="A84" s="123" t="s">
        <v>406</v>
      </c>
    </row>
    <row r="85" spans="1:1" ht="170.1" customHeight="1" thickBot="1" x14ac:dyDescent="0.3">
      <c r="A85" s="123" t="s">
        <v>407</v>
      </c>
    </row>
    <row r="86" spans="1:1" ht="170.1" customHeight="1" thickBot="1" x14ac:dyDescent="0.3">
      <c r="A86" s="123" t="s">
        <v>408</v>
      </c>
    </row>
    <row r="87" spans="1:1" ht="170.1" customHeight="1" thickBot="1" x14ac:dyDescent="0.3">
      <c r="A87" s="123" t="s">
        <v>713</v>
      </c>
    </row>
    <row r="88" spans="1:1" ht="170.1" customHeight="1" thickBot="1" x14ac:dyDescent="0.3">
      <c r="A88" s="123" t="s">
        <v>1083</v>
      </c>
    </row>
    <row r="89" spans="1:1" ht="170.1" customHeight="1" x14ac:dyDescent="0.25">
      <c r="A89" s="123" t="s">
        <v>1247</v>
      </c>
    </row>
    <row r="90" spans="1:1" ht="170.1" customHeight="1" x14ac:dyDescent="0.25">
      <c r="A90" s="131" t="s">
        <v>44</v>
      </c>
    </row>
  </sheetData>
  <sheetProtection algorithmName="SHA-512" hashValue="NPlpYm5VqltnqjQpvVHExq1dc4FgBtVPoDfK6RV9IA6Lmv7EWIrnWQnje5zUZn6ncmPXY41YNBvpwqgY9TID7g==" saltValue="Y1Z0tqa6hm/MwQC42L0joQ==" spinCount="100000" sheet="1" objects="1" scenarios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261" r:id="rId4" name="EPN1B1D_380_1510">
          <controlPr defaultSize="0" autoLine="0" r:id="rId5">
            <anchor moveWithCells="1">
              <from>
                <xdr:col>1</xdr:col>
                <xdr:colOff>0</xdr:colOff>
                <xdr:row>12</xdr:row>
                <xdr:rowOff>0</xdr:rowOff>
              </from>
              <to>
                <xdr:col>2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5261" r:id="rId4" name="EPN1B1D_380_1510"/>
      </mc:Fallback>
    </mc:AlternateContent>
    <mc:AlternateContent xmlns:mc="http://schemas.openxmlformats.org/markup-compatibility/2006">
      <mc:Choice Requires="x14">
        <control shapeId="5260" r:id="rId6" name="EPN2D_380_1510">
          <controlPr defaultSize="0" autoLine="0" r:id="rId7">
            <anchor moveWithCells="1">
              <from>
                <xdr:col>1</xdr:col>
                <xdr:colOff>0</xdr:colOff>
                <xdr:row>11</xdr:row>
                <xdr:rowOff>0</xdr:rowOff>
              </from>
              <to>
                <xdr:col>2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5260" r:id="rId6" name="EPN2D_380_1510"/>
      </mc:Fallback>
    </mc:AlternateContent>
    <mc:AlternateContent xmlns:mc="http://schemas.openxmlformats.org/markup-compatibility/2006">
      <mc:Choice Requires="x14">
        <control shapeId="5259" r:id="rId8" name="EMV2DL">
          <controlPr defaultSize="0" autoLine="0" r:id="rId9">
            <anchor moveWithCells="1">
              <from>
                <xdr:col>1</xdr:col>
                <xdr:colOff>0</xdr:colOff>
                <xdr:row>58</xdr:row>
                <xdr:rowOff>0</xdr:rowOff>
              </from>
              <to>
                <xdr:col>2</xdr:col>
                <xdr:colOff>0</xdr:colOff>
                <xdr:row>59</xdr:row>
                <xdr:rowOff>0</xdr:rowOff>
              </to>
            </anchor>
          </controlPr>
        </control>
      </mc:Choice>
      <mc:Fallback>
        <control shapeId="5259" r:id="rId8" name="EMV2DL"/>
      </mc:Fallback>
    </mc:AlternateContent>
    <mc:AlternateContent xmlns:mc="http://schemas.openxmlformats.org/markup-compatibility/2006">
      <mc:Choice Requires="x14">
        <control shapeId="5258" r:id="rId10" name="EMV1DL">
          <controlPr defaultSize="0" autoLine="0" r:id="rId11">
            <anchor moveWithCells="1">
              <from>
                <xdr:col>1</xdr:col>
                <xdr:colOff>0</xdr:colOff>
                <xdr:row>57</xdr:row>
                <xdr:rowOff>0</xdr:rowOff>
              </from>
              <to>
                <xdr:col>2</xdr:col>
                <xdr:colOff>0</xdr:colOff>
                <xdr:row>58</xdr:row>
                <xdr:rowOff>0</xdr:rowOff>
              </to>
            </anchor>
          </controlPr>
        </control>
      </mc:Choice>
      <mc:Fallback>
        <control shapeId="5258" r:id="rId10" name="EMV1DL"/>
      </mc:Fallback>
    </mc:AlternateContent>
    <mc:AlternateContent xmlns:mc="http://schemas.openxmlformats.org/markup-compatibility/2006">
      <mc:Choice Requires="x14">
        <control shapeId="5257" r:id="rId12" name="EHV1D_312">
          <controlPr defaultSize="0" autoLine="0" autoPict="0" r:id="rId13">
            <anchor moveWithCells="1">
              <from>
                <xdr:col>0</xdr:col>
                <xdr:colOff>1609725</xdr:colOff>
                <xdr:row>43</xdr:row>
                <xdr:rowOff>9525</xdr:rowOff>
              </from>
              <to>
                <xdr:col>1</xdr:col>
                <xdr:colOff>2028825</xdr:colOff>
                <xdr:row>43</xdr:row>
                <xdr:rowOff>2143125</xdr:rowOff>
              </to>
            </anchor>
          </controlPr>
        </control>
      </mc:Choice>
      <mc:Fallback>
        <control shapeId="5257" r:id="rId12" name="EHV1D_312"/>
      </mc:Fallback>
    </mc:AlternateContent>
    <mc:AlternateContent xmlns:mc="http://schemas.openxmlformats.org/markup-compatibility/2006">
      <mc:Choice Requires="x14">
        <control shapeId="5255" r:id="rId14" name="EHV2D_312">
          <controlPr defaultSize="0" autoLine="0" r:id="rId15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0</xdr:colOff>
                <xdr:row>46</xdr:row>
                <xdr:rowOff>0</xdr:rowOff>
              </to>
            </anchor>
          </controlPr>
        </control>
      </mc:Choice>
      <mc:Fallback>
        <control shapeId="5255" r:id="rId14" name="EHV2D_312"/>
      </mc:Fallback>
    </mc:AlternateContent>
    <mc:AlternateContent xmlns:mc="http://schemas.openxmlformats.org/markup-compatibility/2006">
      <mc:Choice Requires="x14">
        <control shapeId="5254" r:id="rId16" name="Image3">
          <controlPr defaultSize="0" autoLine="0" autoPict="0" r:id="rId17">
            <anchor moveWithCells="1">
              <from>
                <xdr:col>8</xdr:col>
                <xdr:colOff>0</xdr:colOff>
                <xdr:row>1</xdr:row>
                <xdr:rowOff>2152650</xdr:rowOff>
              </from>
              <to>
                <xdr:col>9</xdr:col>
                <xdr:colOff>0</xdr:colOff>
                <xdr:row>2</xdr:row>
                <xdr:rowOff>2152650</xdr:rowOff>
              </to>
            </anchor>
          </controlPr>
        </control>
      </mc:Choice>
      <mc:Fallback>
        <control shapeId="5254" r:id="rId16" name="Image3"/>
      </mc:Fallback>
    </mc:AlternateContent>
    <mc:AlternateContent xmlns:mc="http://schemas.openxmlformats.org/markup-compatibility/2006">
      <mc:Choice Requires="x14">
        <control shapeId="5238" r:id="rId18" name="Image14">
          <controlPr defaultSize="0" autoLine="0" autoPict="0" r:id="rId19">
            <anchor moveWithCells="1">
              <from>
                <xdr:col>6</xdr:col>
                <xdr:colOff>0</xdr:colOff>
                <xdr:row>1</xdr:row>
                <xdr:rowOff>0</xdr:rowOff>
              </from>
              <to>
                <xdr:col>6</xdr:col>
                <xdr:colOff>2705100</xdr:colOff>
                <xdr:row>2</xdr:row>
                <xdr:rowOff>0</xdr:rowOff>
              </to>
            </anchor>
          </controlPr>
        </control>
      </mc:Choice>
      <mc:Fallback>
        <control shapeId="5238" r:id="rId18" name="Image14"/>
      </mc:Fallback>
    </mc:AlternateContent>
    <mc:AlternateContent xmlns:mc="http://schemas.openxmlformats.org/markup-compatibility/2006">
      <mc:Choice Requires="x14">
        <control shapeId="5237" r:id="rId20" name="Image13">
          <controlPr defaultSize="0" autoLine="0" autoPict="0" r:id="rId21">
            <anchor moveWithCells="1">
              <from>
                <xdr:col>8</xdr:col>
                <xdr:colOff>0</xdr:colOff>
                <xdr:row>0</xdr:row>
                <xdr:rowOff>0</xdr:rowOff>
              </from>
              <to>
                <xdr:col>9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237" r:id="rId20" name="Image13"/>
      </mc:Fallback>
    </mc:AlternateContent>
    <mc:AlternateContent xmlns:mc="http://schemas.openxmlformats.org/markup-compatibility/2006">
      <mc:Choice Requires="x14">
        <control shapeId="5236" r:id="rId22" name="Image12">
          <controlPr defaultSize="0" autoLine="0" autoPict="0" r:id="rId23">
            <anchor moveWithCells="1">
              <from>
                <xdr:col>7</xdr:col>
                <xdr:colOff>0</xdr:colOff>
                <xdr:row>1</xdr:row>
                <xdr:rowOff>0</xdr:rowOff>
              </from>
              <to>
                <xdr:col>8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236" r:id="rId22" name="Image12"/>
      </mc:Fallback>
    </mc:AlternateContent>
    <mc:AlternateContent xmlns:mc="http://schemas.openxmlformats.org/markup-compatibility/2006">
      <mc:Choice Requires="x14">
        <control shapeId="5224" r:id="rId24" name="Image10">
          <controlPr defaultSize="0" autoLine="0" r:id="rId25">
            <anchor moveWithCells="1">
              <from>
                <xdr:col>24</xdr:col>
                <xdr:colOff>600075</xdr:colOff>
                <xdr:row>7</xdr:row>
                <xdr:rowOff>419100</xdr:rowOff>
              </from>
              <to>
                <xdr:col>26</xdr:col>
                <xdr:colOff>600075</xdr:colOff>
                <xdr:row>7</xdr:row>
                <xdr:rowOff>1390650</xdr:rowOff>
              </to>
            </anchor>
          </controlPr>
        </control>
      </mc:Choice>
      <mc:Fallback>
        <control shapeId="5224" r:id="rId24" name="Image10"/>
      </mc:Fallback>
    </mc:AlternateContent>
    <mc:AlternateContent xmlns:mc="http://schemas.openxmlformats.org/markup-compatibility/2006">
      <mc:Choice Requires="x14">
        <control shapeId="5223" r:id="rId26" name="Image9">
          <controlPr defaultSize="0" autoLine="0" autoPict="0" r:id="rId27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8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223" r:id="rId26" name="Image9"/>
      </mc:Fallback>
    </mc:AlternateContent>
    <mc:AlternateContent xmlns:mc="http://schemas.openxmlformats.org/markup-compatibility/2006">
      <mc:Choice Requires="x14">
        <control shapeId="5221" r:id="rId28" name="Image7">
          <controlPr defaultSize="0" autoLine="0" r:id="rId29">
            <anchor moveWithCells="1">
              <from>
                <xdr:col>6</xdr:col>
                <xdr:colOff>0</xdr:colOff>
                <xdr:row>2</xdr:row>
                <xdr:rowOff>0</xdr:rowOff>
              </from>
              <to>
                <xdr:col>7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221" r:id="rId28" name="Image7"/>
      </mc:Fallback>
    </mc:AlternateContent>
    <mc:AlternateContent xmlns:mc="http://schemas.openxmlformats.org/markup-compatibility/2006">
      <mc:Choice Requires="x14">
        <control shapeId="5218" r:id="rId30" name="Image4">
          <controlPr defaultSize="0" autoLine="0" autoPict="0" r:id="rId31">
            <anchor moveWithCells="1">
              <from>
                <xdr:col>8</xdr:col>
                <xdr:colOff>0</xdr:colOff>
                <xdr:row>1</xdr:row>
                <xdr:rowOff>0</xdr:rowOff>
              </from>
              <to>
                <xdr:col>9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218" r:id="rId30" name="Image4"/>
      </mc:Fallback>
    </mc:AlternateContent>
    <mc:AlternateContent xmlns:mc="http://schemas.openxmlformats.org/markup-compatibility/2006">
      <mc:Choice Requires="x14">
        <control shapeId="5216" r:id="rId32" name="Image2">
          <controlPr defaultSize="0" autoLine="0" autoPict="0" r:id="rId33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8</xdr:col>
                <xdr:colOff>0</xdr:colOff>
                <xdr:row>0</xdr:row>
                <xdr:rowOff>2152650</xdr:rowOff>
              </to>
            </anchor>
          </controlPr>
        </control>
      </mc:Choice>
      <mc:Fallback>
        <control shapeId="5216" r:id="rId32" name="Image2"/>
      </mc:Fallback>
    </mc:AlternateContent>
    <mc:AlternateContent xmlns:mc="http://schemas.openxmlformats.org/markup-compatibility/2006">
      <mc:Choice Requires="x14">
        <control shapeId="5215" r:id="rId34" name="Image1">
          <controlPr defaultSize="0" autoLine="0" autoPict="0" r:id="rId35">
            <anchor moveWithCells="1">
              <from>
                <xdr:col>6</xdr:col>
                <xdr:colOff>0</xdr:colOff>
                <xdr:row>0</xdr:row>
                <xdr:rowOff>0</xdr:rowOff>
              </from>
              <to>
                <xdr:col>7</xdr:col>
                <xdr:colOff>0</xdr:colOff>
                <xdr:row>0</xdr:row>
                <xdr:rowOff>2152650</xdr:rowOff>
              </to>
            </anchor>
          </controlPr>
        </control>
      </mc:Choice>
      <mc:Fallback>
        <control shapeId="5215" r:id="rId34" name="Image1"/>
      </mc:Fallback>
    </mc:AlternateContent>
    <mc:AlternateContent xmlns:mc="http://schemas.openxmlformats.org/markup-compatibility/2006">
      <mc:Choice Requires="x14">
        <control shapeId="5200" r:id="rId36" name="EWV1V_600">
          <controlPr defaultSize="0" autoLine="0" autoPict="0" r:id="rId37">
            <anchor moveWithCells="1">
              <from>
                <xdr:col>0</xdr:col>
                <xdr:colOff>1666875</xdr:colOff>
                <xdr:row>55</xdr:row>
                <xdr:rowOff>57150</xdr:rowOff>
              </from>
              <to>
                <xdr:col>2</xdr:col>
                <xdr:colOff>0</xdr:colOff>
                <xdr:row>55</xdr:row>
                <xdr:rowOff>2152650</xdr:rowOff>
              </to>
            </anchor>
          </controlPr>
        </control>
      </mc:Choice>
      <mc:Fallback>
        <control shapeId="5200" r:id="rId36" name="EWV1V_600"/>
      </mc:Fallback>
    </mc:AlternateContent>
    <mc:AlternateContent xmlns:mc="http://schemas.openxmlformats.org/markup-compatibility/2006">
      <mc:Choice Requires="x14">
        <control shapeId="5198" r:id="rId38" name="EWV2D_900">
          <controlPr defaultSize="0" autoLine="0" r:id="rId39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5198" r:id="rId38" name="EWV2D_900"/>
      </mc:Fallback>
    </mc:AlternateContent>
    <mc:AlternateContent xmlns:mc="http://schemas.openxmlformats.org/markup-compatibility/2006">
      <mc:Choice Requires="x14">
        <control shapeId="5197" r:id="rId40" name="EWV2D_800">
          <controlPr defaultSize="0" autoLine="0" r:id="rId39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5197" r:id="rId40" name="EWV2D_800"/>
      </mc:Fallback>
    </mc:AlternateContent>
    <mc:AlternateContent xmlns:mc="http://schemas.openxmlformats.org/markup-compatibility/2006">
      <mc:Choice Requires="x14">
        <control shapeId="5196" r:id="rId41" name="EWV1D_600">
          <controlPr defaultSize="0" autoLine="0" r:id="rId42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2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5196" r:id="rId41" name="EWV1D_600"/>
      </mc:Fallback>
    </mc:AlternateContent>
    <mc:AlternateContent xmlns:mc="http://schemas.openxmlformats.org/markup-compatibility/2006">
      <mc:Choice Requires="x14">
        <control shapeId="5192" r:id="rId43" name="EUG1D_150">
          <controlPr defaultSize="0" autoLine="0" r:id="rId44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5192" r:id="rId43" name="EUG1D_150"/>
      </mc:Fallback>
    </mc:AlternateContent>
    <mc:AlternateContent xmlns:mc="http://schemas.openxmlformats.org/markup-compatibility/2006">
      <mc:Choice Requires="x14">
        <control shapeId="5191" r:id="rId45" name="EWU1D_150">
          <controlPr defaultSize="0" autoLine="0" r:id="rId46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191" r:id="rId45" name="EWU1D_150"/>
      </mc:Fallback>
    </mc:AlternateContent>
    <mc:AlternateContent xmlns:mc="http://schemas.openxmlformats.org/markup-compatibility/2006">
      <mc:Choice Requires="x14">
        <control shapeId="5190" r:id="rId47" name="EUN1D_150">
          <controlPr defaultSize="0" autoLine="0" r:id="rId48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90" r:id="rId47" name="EUN1D_150"/>
      </mc:Fallback>
    </mc:AlternateContent>
    <mc:AlternateContent xmlns:mc="http://schemas.openxmlformats.org/markup-compatibility/2006">
      <mc:Choice Requires="x14">
        <control shapeId="5122" r:id="rId49" name="ENO">
          <controlPr defaultSize="0" autoLine="0" autoPict="0" r:id="rId50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2" r:id="rId49" name="ENO"/>
      </mc:Fallback>
    </mc:AlternateContent>
    <mc:AlternateContent xmlns:mc="http://schemas.openxmlformats.org/markup-compatibility/2006">
      <mc:Choice Requires="x14">
        <control shapeId="5123" r:id="rId51" name="EMN1D">
          <controlPr defaultSize="0" autoLine="0" autoPict="0" r:id="rId52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51" name="EMN1D"/>
      </mc:Fallback>
    </mc:AlternateContent>
    <mc:AlternateContent xmlns:mc="http://schemas.openxmlformats.org/markup-compatibility/2006">
      <mc:Choice Requires="x14">
        <control shapeId="5124" r:id="rId53" name="EMN2D">
          <controlPr defaultSize="0" autoLine="0" autoPict="0" r:id="rId54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4" r:id="rId53" name="EMN2D"/>
      </mc:Fallback>
    </mc:AlternateContent>
    <mc:AlternateContent xmlns:mc="http://schemas.openxmlformats.org/markup-compatibility/2006">
      <mc:Choice Requires="x14">
        <control shapeId="5125" r:id="rId55" name="EMN1K_150">
          <controlPr defaultSize="0" autoLine="0" autoPict="0" r:id="rId56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5" r:id="rId55" name="EMN1K_150"/>
      </mc:Fallback>
    </mc:AlternateContent>
    <mc:AlternateContent xmlns:mc="http://schemas.openxmlformats.org/markup-compatibility/2006">
      <mc:Choice Requires="x14">
        <control shapeId="5126" r:id="rId57" name="EWN1D">
          <controlPr defaultSize="0" autoLine="0" autoPict="0" r:id="rId58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6" r:id="rId57" name="EWN1D"/>
      </mc:Fallback>
    </mc:AlternateContent>
    <mc:AlternateContent xmlns:mc="http://schemas.openxmlformats.org/markup-compatibility/2006">
      <mc:Choice Requires="x14">
        <control shapeId="5127" r:id="rId59" name="EWN2D">
          <controlPr defaultSize="0" autoLine="0" autoPict="0" r:id="rId60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7" r:id="rId59" name="EWN2D"/>
      </mc:Fallback>
    </mc:AlternateContent>
    <mc:AlternateContent xmlns:mc="http://schemas.openxmlformats.org/markup-compatibility/2006">
      <mc:Choice Requires="x14">
        <control shapeId="5128" r:id="rId61" name="EUN1D">
          <controlPr defaultSize="0" autoLine="0" autoPict="0" r:id="rId48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61" name="EUN1D"/>
      </mc:Fallback>
    </mc:AlternateContent>
    <mc:AlternateContent xmlns:mc="http://schemas.openxmlformats.org/markup-compatibility/2006">
      <mc:Choice Requires="x14">
        <control shapeId="5129" r:id="rId62" name="EWU1D">
          <controlPr defaultSize="0" autoLine="0" autoPict="0" r:id="rId46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5129" r:id="rId62" name="EWU1D"/>
      </mc:Fallback>
    </mc:AlternateContent>
    <mc:AlternateContent xmlns:mc="http://schemas.openxmlformats.org/markup-compatibility/2006">
      <mc:Choice Requires="x14">
        <control shapeId="5132" r:id="rId63" name="EMN1B1D">
          <controlPr defaultSize="0" autoLine="0" autoPict="0" r:id="rId64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132" r:id="rId63" name="EMN1B1D"/>
      </mc:Fallback>
    </mc:AlternateContent>
    <mc:AlternateContent xmlns:mc="http://schemas.openxmlformats.org/markup-compatibility/2006">
      <mc:Choice Requires="x14">
        <control shapeId="5133" r:id="rId65" name="EMN1B2D">
          <controlPr defaultSize="0" autoLine="0" autoPict="0" r:id="rId66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33" r:id="rId65" name="EMN1B2D"/>
      </mc:Fallback>
    </mc:AlternateContent>
    <mc:AlternateContent xmlns:mc="http://schemas.openxmlformats.org/markup-compatibility/2006">
      <mc:Choice Requires="x14">
        <control shapeId="5134" r:id="rId67" name="EMN4B">
          <controlPr defaultSize="0" autoLine="0" autoPict="0" r:id="rId68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5134" r:id="rId67" name="EMN4B"/>
      </mc:Fallback>
    </mc:AlternateContent>
    <mc:AlternateContent xmlns:mc="http://schemas.openxmlformats.org/markup-compatibility/2006">
      <mc:Choice Requires="x14">
        <control shapeId="5135" r:id="rId69" name="EMN3B">
          <controlPr defaultSize="0" autoLine="0" autoPict="0" r:id="rId70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135" r:id="rId69" name="EMN3B"/>
      </mc:Fallback>
    </mc:AlternateContent>
    <mc:AlternateContent xmlns:mc="http://schemas.openxmlformats.org/markup-compatibility/2006">
      <mc:Choice Requires="x14">
        <control shapeId="5136" r:id="rId71" name="EMN2B">
          <controlPr defaultSize="0" autoLine="0" autoPict="0" r:id="rId72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6" r:id="rId71" name="EMN2B"/>
      </mc:Fallback>
    </mc:AlternateContent>
    <mc:AlternateContent xmlns:mc="http://schemas.openxmlformats.org/markup-compatibility/2006">
      <mc:Choice Requires="x14">
        <control shapeId="5137" r:id="rId73" name="ETN1B">
          <controlPr defaultSize="0" autoLine="0" autoPict="0" r:id="rId74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37" r:id="rId73" name="ETN1B"/>
      </mc:Fallback>
    </mc:AlternateContent>
    <mc:AlternateContent xmlns:mc="http://schemas.openxmlformats.org/markup-compatibility/2006">
      <mc:Choice Requires="x14">
        <control shapeId="5138" r:id="rId75" name="ESNX1D">
          <controlPr defaultSize="0" autoLine="0" autoPict="0" r:id="rId76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38" r:id="rId75" name="ESNX1D"/>
      </mc:Fallback>
    </mc:AlternateContent>
    <mc:AlternateContent xmlns:mc="http://schemas.openxmlformats.org/markup-compatibility/2006">
      <mc:Choice Requires="x14">
        <control shapeId="5139" r:id="rId77" name="ERN">
          <controlPr defaultSize="0" autoLine="0" r:id="rId78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1952625</xdr:rowOff>
              </to>
            </anchor>
          </controlPr>
        </control>
      </mc:Choice>
      <mc:Fallback>
        <control shapeId="5139" r:id="rId77" name="ERN"/>
      </mc:Fallback>
    </mc:AlternateContent>
    <mc:AlternateContent xmlns:mc="http://schemas.openxmlformats.org/markup-compatibility/2006">
      <mc:Choice Requires="x14">
        <control shapeId="5140" r:id="rId79" name="ERN1D">
          <controlPr defaultSize="0" autoLine="0" autoPict="0" r:id="rId80">
            <anchor moveWithCells="1">
              <from>
                <xdr:col>1</xdr:col>
                <xdr:colOff>0</xdr:colOff>
                <xdr:row>20</xdr:row>
                <xdr:rowOff>1924050</xdr:rowOff>
              </from>
              <to>
                <xdr:col>2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5140" r:id="rId79" name="ERN1D"/>
      </mc:Fallback>
    </mc:AlternateContent>
    <mc:AlternateContent xmlns:mc="http://schemas.openxmlformats.org/markup-compatibility/2006">
      <mc:Choice Requires="x14">
        <control shapeId="5141" r:id="rId81" name="ENG1D">
          <controlPr defaultSize="0" autoLine="0" autoPict="0" r:id="rId82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141" r:id="rId81" name="ENG1D"/>
      </mc:Fallback>
    </mc:AlternateContent>
    <mc:AlternateContent xmlns:mc="http://schemas.openxmlformats.org/markup-compatibility/2006">
      <mc:Choice Requires="x14">
        <control shapeId="5142" r:id="rId83" name="ENG2D">
          <controlPr defaultSize="0" autoLine="0" autoPict="0" r:id="rId84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42" r:id="rId83" name="ENG2D"/>
      </mc:Fallback>
    </mc:AlternateContent>
    <mc:AlternateContent xmlns:mc="http://schemas.openxmlformats.org/markup-compatibility/2006">
      <mc:Choice Requires="x14">
        <control shapeId="5143" r:id="rId85" name="ENG2B">
          <controlPr defaultSize="0" autoLine="0" autoPict="0" r:id="rId86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5143" r:id="rId85" name="ENG2B"/>
      </mc:Fallback>
    </mc:AlternateContent>
    <mc:AlternateContent xmlns:mc="http://schemas.openxmlformats.org/markup-compatibility/2006">
      <mc:Choice Requires="x14">
        <control shapeId="5144" r:id="rId87" name="ENG3B">
          <controlPr defaultSize="0" autoLine="0" autoPict="0" r:id="rId88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5144" r:id="rId87" name="ENG3B"/>
      </mc:Fallback>
    </mc:AlternateContent>
    <mc:AlternateContent xmlns:mc="http://schemas.openxmlformats.org/markup-compatibility/2006">
      <mc:Choice Requires="x14">
        <control shapeId="5145" r:id="rId89" name="ENG1K_150">
          <controlPr defaultSize="0" autoLine="0" autoPict="0" r:id="rId90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5145" r:id="rId89" name="ENG1K_150"/>
      </mc:Fallback>
    </mc:AlternateContent>
    <mc:AlternateContent xmlns:mc="http://schemas.openxmlformats.org/markup-compatibility/2006">
      <mc:Choice Requires="x14">
        <control shapeId="5146" r:id="rId91" name="EWG1D">
          <controlPr defaultSize="0" autoLine="0" autoPict="0" r:id="rId92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5146" r:id="rId91" name="EWG1D"/>
      </mc:Fallback>
    </mc:AlternateContent>
    <mc:AlternateContent xmlns:mc="http://schemas.openxmlformats.org/markup-compatibility/2006">
      <mc:Choice Requires="x14">
        <control shapeId="5147" r:id="rId93" name="EWG2D">
          <controlPr defaultSize="0" autoLine="0" autoPict="0" r:id="rId94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5147" r:id="rId93" name="EWG2D"/>
      </mc:Fallback>
    </mc:AlternateContent>
    <mc:AlternateContent xmlns:mc="http://schemas.openxmlformats.org/markup-compatibility/2006">
      <mc:Choice Requires="x14">
        <control shapeId="5148" r:id="rId95" name="EUG1D">
          <controlPr defaultSize="0" autoLine="0" autoPict="0" r:id="rId44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5148" r:id="rId95" name="EUG1D"/>
      </mc:Fallback>
    </mc:AlternateContent>
    <mc:AlternateContent xmlns:mc="http://schemas.openxmlformats.org/markup-compatibility/2006">
      <mc:Choice Requires="x14">
        <control shapeId="5149" r:id="rId96" name="EZ1F">
          <controlPr defaultSize="0" autoLine="0" autoPict="0" r:id="rId97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5149" r:id="rId96" name="EZ1F"/>
      </mc:Fallback>
    </mc:AlternateContent>
    <mc:AlternateContent xmlns:mc="http://schemas.openxmlformats.org/markup-compatibility/2006">
      <mc:Choice Requires="x14">
        <control shapeId="5150" r:id="rId98" name="EVO">
          <controlPr defaultSize="0" autoLine="0" autoPict="0" r:id="rId99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2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5150" r:id="rId98" name="EVO"/>
      </mc:Fallback>
    </mc:AlternateContent>
    <mc:AlternateContent xmlns:mc="http://schemas.openxmlformats.org/markup-compatibility/2006">
      <mc:Choice Requires="x14">
        <control shapeId="5151" r:id="rId100" name="EMV1D">
          <controlPr defaultSize="0" autoLine="0" autoPict="0" r:id="rId101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5151" r:id="rId100" name="EMV1D"/>
      </mc:Fallback>
    </mc:AlternateContent>
    <mc:AlternateContent xmlns:mc="http://schemas.openxmlformats.org/markup-compatibility/2006">
      <mc:Choice Requires="x14">
        <control shapeId="5152" r:id="rId102" name="EMV1DN">
          <controlPr defaultSize="0" autoLine="0" autoPict="0" r:id="rId103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5152" r:id="rId102" name="EMV1DN"/>
      </mc:Fallback>
    </mc:AlternateContent>
    <mc:AlternateContent xmlns:mc="http://schemas.openxmlformats.org/markup-compatibility/2006">
      <mc:Choice Requires="x14">
        <control shapeId="5153" r:id="rId104" name="EMV1V">
          <controlPr defaultSize="0" autoLine="0" autoPict="0" r:id="rId105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5153" r:id="rId104" name="EMV1V"/>
      </mc:Fallback>
    </mc:AlternateContent>
    <mc:AlternateContent xmlns:mc="http://schemas.openxmlformats.org/markup-compatibility/2006">
      <mc:Choice Requires="x14">
        <control shapeId="5154" r:id="rId106" name="EMV1VN">
          <controlPr defaultSize="0" autoLine="0" autoPict="0" r:id="rId107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5154" r:id="rId106" name="EMV1VN"/>
      </mc:Fallback>
    </mc:AlternateContent>
    <mc:AlternateContent xmlns:mc="http://schemas.openxmlformats.org/markup-compatibility/2006">
      <mc:Choice Requires="x14">
        <control shapeId="5155" r:id="rId108" name="EMV2D">
          <controlPr defaultSize="0" autoLine="0" autoPict="0" r:id="rId109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5155" r:id="rId108" name="EMV2D"/>
      </mc:Fallback>
    </mc:AlternateContent>
    <mc:AlternateContent xmlns:mc="http://schemas.openxmlformats.org/markup-compatibility/2006">
      <mc:Choice Requires="x14">
        <control shapeId="5156" r:id="rId110" name="EMV2V">
          <controlPr defaultSize="0" autoLine="0" autoPict="0" r:id="rId111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5156" r:id="rId110" name="EMV2V"/>
      </mc:Fallback>
    </mc:AlternateContent>
    <mc:AlternateContent xmlns:mc="http://schemas.openxmlformats.org/markup-compatibility/2006">
      <mc:Choice Requires="x14">
        <control shapeId="5157" r:id="rId112" name="EVU1D">
          <controlPr defaultSize="0" autoLine="0" autoPict="0" r:id="rId113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2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5157" r:id="rId112" name="EVU1D"/>
      </mc:Fallback>
    </mc:AlternateContent>
    <mc:AlternateContent xmlns:mc="http://schemas.openxmlformats.org/markup-compatibility/2006">
      <mc:Choice Requires="x14">
        <control shapeId="5158" r:id="rId114" name="EHV1D">
          <controlPr defaultSize="0" autoLine="0" autoPict="0" r:id="rId115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2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5158" r:id="rId114" name="EHV1D"/>
      </mc:Fallback>
    </mc:AlternateContent>
    <mc:AlternateContent xmlns:mc="http://schemas.openxmlformats.org/markup-compatibility/2006">
      <mc:Choice Requires="x14">
        <control shapeId="5159" r:id="rId116" name="EHV2D">
          <controlPr defaultSize="0" autoLine="0" autoPict="0" r:id="rId117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2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5159" r:id="rId116" name="EHV2D"/>
      </mc:Fallback>
    </mc:AlternateContent>
    <mc:AlternateContent xmlns:mc="http://schemas.openxmlformats.org/markup-compatibility/2006">
      <mc:Choice Requires="x14">
        <control shapeId="5160" r:id="rId118" name="EDV1D">
          <controlPr defaultSize="0" autoLine="0" autoPict="0" r:id="rId119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2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5160" r:id="rId118" name="EDV1D"/>
      </mc:Fallback>
    </mc:AlternateContent>
    <mc:AlternateContent xmlns:mc="http://schemas.openxmlformats.org/markup-compatibility/2006">
      <mc:Choice Requires="x14">
        <control shapeId="5161" r:id="rId120" name="EWV1D_450">
          <controlPr defaultSize="0" autoLine="0" autoPict="0" r:id="rId42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5161" r:id="rId120" name="EWV1D_450"/>
      </mc:Fallback>
    </mc:AlternateContent>
    <mc:AlternateContent xmlns:mc="http://schemas.openxmlformats.org/markup-compatibility/2006">
      <mc:Choice Requires="x14">
        <control shapeId="5162" r:id="rId121" name="EWV2D_600">
          <controlPr defaultSize="0" autoLine="0" autoPict="0" r:id="rId39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5162" r:id="rId121" name="EWV2D_600"/>
      </mc:Fallback>
    </mc:AlternateContent>
    <mc:AlternateContent xmlns:mc="http://schemas.openxmlformats.org/markup-compatibility/2006">
      <mc:Choice Requires="x14">
        <control shapeId="5163" r:id="rId122" name="EWV2V_450">
          <controlPr defaultSize="0" autoLine="0" autoPict="0" r:id="rId123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5163" r:id="rId122" name="EWV2V_450"/>
      </mc:Fallback>
    </mc:AlternateContent>
    <mc:AlternateContent xmlns:mc="http://schemas.openxmlformats.org/markup-compatibility/2006">
      <mc:Choice Requires="x14">
        <control shapeId="5164" r:id="rId124" name="EWV1V_450">
          <controlPr defaultSize="0" autoLine="0" autoPict="0" r:id="rId125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5164" r:id="rId124" name="EWV1V_450"/>
      </mc:Fallback>
    </mc:AlternateContent>
    <mc:AlternateContent xmlns:mc="http://schemas.openxmlformats.org/markup-compatibility/2006">
      <mc:Choice Requires="x14">
        <control shapeId="5167" r:id="rId126" name="EVG1D">
          <controlPr defaultSize="0" autoLine="0" autoPict="0" r:id="rId127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2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5167" r:id="rId126" name="EVG1D"/>
      </mc:Fallback>
    </mc:AlternateContent>
    <mc:AlternateContent xmlns:mc="http://schemas.openxmlformats.org/markup-compatibility/2006">
      <mc:Choice Requires="x14">
        <control shapeId="5168" r:id="rId128" name="EVG2D">
          <controlPr defaultSize="0" autoLine="0" autoPict="0" r:id="rId129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2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5168" r:id="rId128" name="EVG2D"/>
      </mc:Fallback>
    </mc:AlternateContent>
    <mc:AlternateContent xmlns:mc="http://schemas.openxmlformats.org/markup-compatibility/2006">
      <mc:Choice Requires="x14">
        <control shapeId="5169" r:id="rId130" name="EVG2V">
          <controlPr defaultSize="0" autoLine="0" autoPict="0" r:id="rId131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2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5169" r:id="rId130" name="EVG2V"/>
      </mc:Fallback>
    </mc:AlternateContent>
    <mc:AlternateContent xmlns:mc="http://schemas.openxmlformats.org/markup-compatibility/2006">
      <mc:Choice Requires="x14">
        <control shapeId="5170" r:id="rId132" name="EVUG1D">
          <controlPr defaultSize="0" autoLine="0" autoPict="0" r:id="rId133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5170" r:id="rId132" name="EVUG1D"/>
      </mc:Fallback>
    </mc:AlternateContent>
    <mc:AlternateContent xmlns:mc="http://schemas.openxmlformats.org/markup-compatibility/2006">
      <mc:Choice Requires="x14">
        <control shapeId="5172" r:id="rId134" name="ESVX1D_960">
          <controlPr defaultSize="0" autoLine="0" autoPict="0" r:id="rId135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2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5172" r:id="rId134" name="ESVX1D_960"/>
      </mc:Fallback>
    </mc:AlternateContent>
    <mc:AlternateContent xmlns:mc="http://schemas.openxmlformats.org/markup-compatibility/2006">
      <mc:Choice Requires="x14">
        <control shapeId="5173" r:id="rId136" name="EP1D">
          <controlPr defaultSize="0" autoLine="0" autoPict="0" r:id="rId137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2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5173" r:id="rId136" name="EP1D"/>
      </mc:Fallback>
    </mc:AlternateContent>
    <mc:AlternateContent xmlns:mc="http://schemas.openxmlformats.org/markup-compatibility/2006">
      <mc:Choice Requires="x14">
        <control shapeId="5174" r:id="rId138" name="EPG1D">
          <controlPr defaultSize="0" autoLine="0" autoPict="0" r:id="rId139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2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5174" r:id="rId138" name="EPG1D"/>
      </mc:Fallback>
    </mc:AlternateContent>
    <mc:AlternateContent xmlns:mc="http://schemas.openxmlformats.org/markup-compatibility/2006">
      <mc:Choice Requires="x14">
        <control shapeId="5175" r:id="rId140" name="EPT1D_455">
          <controlPr defaultSize="0" autoLine="0" autoPict="0" r:id="rId141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5175" r:id="rId140" name="EPT1D_455"/>
      </mc:Fallback>
    </mc:AlternateContent>
    <mc:AlternateContent xmlns:mc="http://schemas.openxmlformats.org/markup-compatibility/2006">
      <mc:Choice Requires="x14">
        <control shapeId="5176" r:id="rId142" name="EPT1B">
          <controlPr defaultSize="0" autoLine="0" autoPict="0" r:id="rId143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2</xdr:col>
                <xdr:colOff>0</xdr:colOff>
                <xdr:row>71</xdr:row>
                <xdr:rowOff>0</xdr:rowOff>
              </to>
            </anchor>
          </controlPr>
        </control>
      </mc:Choice>
      <mc:Fallback>
        <control shapeId="5176" r:id="rId142" name="EPT1B"/>
      </mc:Fallback>
    </mc:AlternateContent>
    <mc:AlternateContent xmlns:mc="http://schemas.openxmlformats.org/markup-compatibility/2006">
      <mc:Choice Requires="x14">
        <control shapeId="5177" r:id="rId144" name="EP2D">
          <controlPr defaultSize="0" autoLine="0" autoPict="0" r:id="rId145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2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5177" r:id="rId144" name="EP2D"/>
      </mc:Fallback>
    </mc:AlternateContent>
    <mc:AlternateContent xmlns:mc="http://schemas.openxmlformats.org/markup-compatibility/2006">
      <mc:Choice Requires="x14">
        <control shapeId="5178" r:id="rId146" name="EPG2D_EPG2DM">
          <controlPr defaultSize="0" autoLine="0" autoPict="0" r:id="rId147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2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5178" r:id="rId146" name="EPG2D_EPG2DM"/>
      </mc:Fallback>
    </mc:AlternateContent>
    <mc:AlternateContent xmlns:mc="http://schemas.openxmlformats.org/markup-compatibility/2006">
      <mc:Choice Requires="x14">
        <control shapeId="5179" r:id="rId148" name="EPS2D">
          <controlPr defaultSize="0" autoLine="0" autoPict="0" r:id="rId149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2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5179" r:id="rId148" name="EPS2D"/>
      </mc:Fallback>
    </mc:AlternateContent>
    <mc:AlternateContent xmlns:mc="http://schemas.openxmlformats.org/markup-compatibility/2006">
      <mc:Choice Requires="x14">
        <control shapeId="5180" r:id="rId150" name="EPSG2D">
          <controlPr defaultSize="0" autoLine="0" autoPict="0" r:id="rId151">
            <anchor moveWithCells="1">
              <from>
                <xdr:col>1</xdr:col>
                <xdr:colOff>0</xdr:colOff>
                <xdr:row>76</xdr:row>
                <xdr:rowOff>0</xdr:rowOff>
              </from>
              <to>
                <xdr:col>2</xdr:col>
                <xdr:colOff>0</xdr:colOff>
                <xdr:row>77</xdr:row>
                <xdr:rowOff>0</xdr:rowOff>
              </to>
            </anchor>
          </controlPr>
        </control>
      </mc:Choice>
      <mc:Fallback>
        <control shapeId="5180" r:id="rId150" name="EPSG2D"/>
      </mc:Fallback>
    </mc:AlternateContent>
    <mc:AlternateContent xmlns:mc="http://schemas.openxmlformats.org/markup-compatibility/2006">
      <mc:Choice Requires="x14">
        <control shapeId="5181" r:id="rId152" name="EP3B1D">
          <controlPr defaultSize="0" autoLine="0" autoPict="0" r:id="rId153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2</xdr:col>
                <xdr:colOff>0</xdr:colOff>
                <xdr:row>77</xdr:row>
                <xdr:rowOff>1952625</xdr:rowOff>
              </to>
            </anchor>
          </controlPr>
        </control>
      </mc:Choice>
      <mc:Fallback>
        <control shapeId="5181" r:id="rId152" name="EP3B1D"/>
      </mc:Fallback>
    </mc:AlternateContent>
    <mc:AlternateContent xmlns:mc="http://schemas.openxmlformats.org/markup-compatibility/2006">
      <mc:Choice Requires="x14">
        <control shapeId="5182" r:id="rId154" name="EP2B1D">
          <controlPr defaultSize="0" autoLine="0" autoPict="0" r:id="rId155">
            <anchor moveWithCells="1">
              <from>
                <xdr:col>1</xdr:col>
                <xdr:colOff>0</xdr:colOff>
                <xdr:row>78</xdr:row>
                <xdr:rowOff>0</xdr:rowOff>
              </from>
              <to>
                <xdr:col>2</xdr:col>
                <xdr:colOff>0</xdr:colOff>
                <xdr:row>79</xdr:row>
                <xdr:rowOff>0</xdr:rowOff>
              </to>
            </anchor>
          </controlPr>
        </control>
      </mc:Choice>
      <mc:Fallback>
        <control shapeId="5182" r:id="rId154" name="EP2B1D"/>
      </mc:Fallback>
    </mc:AlternateContent>
    <mc:AlternateContent xmlns:mc="http://schemas.openxmlformats.org/markup-compatibility/2006">
      <mc:Choice Requires="x14">
        <control shapeId="5183" r:id="rId156" name="EPT2D_455">
          <controlPr defaultSize="0" autoLine="0" autoPict="0" r:id="rId157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2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5183" r:id="rId156" name="EPT2D_455"/>
      </mc:Fallback>
    </mc:AlternateContent>
    <mc:AlternateContent xmlns:mc="http://schemas.openxmlformats.org/markup-compatibility/2006">
      <mc:Choice Requires="x14">
        <control shapeId="5184" r:id="rId158" name="EPTG2D_455">
          <controlPr defaultSize="0" autoLine="0" autoPict="0" r:id="rId159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2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5184" r:id="rId158" name="EPTG2D_455"/>
      </mc:Fallback>
    </mc:AlternateContent>
    <mc:AlternateContent xmlns:mc="http://schemas.openxmlformats.org/markup-compatibility/2006">
      <mc:Choice Requires="x14">
        <control shapeId="5185" r:id="rId160" name="EPT2B1D_382">
          <controlPr defaultSize="0" autoLine="0" autoPict="0" r:id="rId161">
            <anchor moveWithCells="1">
              <from>
                <xdr:col>1</xdr:col>
                <xdr:colOff>0</xdr:colOff>
                <xdr:row>83</xdr:row>
                <xdr:rowOff>0</xdr:rowOff>
              </from>
              <to>
                <xdr:col>2</xdr:col>
                <xdr:colOff>0</xdr:colOff>
                <xdr:row>83</xdr:row>
                <xdr:rowOff>2133600</xdr:rowOff>
              </to>
            </anchor>
          </controlPr>
        </control>
      </mc:Choice>
      <mc:Fallback>
        <control shapeId="5185" r:id="rId160" name="EPT2B1D_382"/>
      </mc:Fallback>
    </mc:AlternateContent>
    <mc:AlternateContent xmlns:mc="http://schemas.openxmlformats.org/markup-compatibility/2006">
      <mc:Choice Requires="x14">
        <control shapeId="5186" r:id="rId162" name="EPTP1D_595">
          <controlPr defaultSize="0" autoLine="0" autoPict="0" r:id="rId163">
            <anchor moveWithCells="1">
              <from>
                <xdr:col>1</xdr:col>
                <xdr:colOff>0</xdr:colOff>
                <xdr:row>86</xdr:row>
                <xdr:rowOff>0</xdr:rowOff>
              </from>
              <to>
                <xdr:col>2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5186" r:id="rId162" name="EPTP1D_595"/>
      </mc:Fallback>
    </mc:AlternateContent>
    <mc:AlternateContent xmlns:mc="http://schemas.openxmlformats.org/markup-compatibility/2006">
      <mc:Choice Requires="x14">
        <control shapeId="5187" r:id="rId164" name="EPN1B1D">
          <controlPr defaultSize="0" autoLine="0" autoPict="0" r:id="rId165">
            <anchor moveWithCells="1">
              <from>
                <xdr:col>1</xdr:col>
                <xdr:colOff>0</xdr:colOff>
                <xdr:row>87</xdr:row>
                <xdr:rowOff>0</xdr:rowOff>
              </from>
              <to>
                <xdr:col>2</xdr:col>
                <xdr:colOff>0</xdr:colOff>
                <xdr:row>88</xdr:row>
                <xdr:rowOff>0</xdr:rowOff>
              </to>
            </anchor>
          </controlPr>
        </control>
      </mc:Choice>
      <mc:Fallback>
        <control shapeId="5187" r:id="rId164" name="EPN1B1D"/>
      </mc:Fallback>
    </mc:AlternateContent>
    <mc:AlternateContent xmlns:mc="http://schemas.openxmlformats.org/markup-compatibility/2006">
      <mc:Choice Requires="x14">
        <control shapeId="5188" r:id="rId166" name="EPNG1B1D">
          <controlPr defaultSize="0" autoLine="0" autoPict="0" r:id="rId167">
            <anchor moveWithCells="1">
              <from>
                <xdr:col>1</xdr:col>
                <xdr:colOff>0</xdr:colOff>
                <xdr:row>88</xdr:row>
                <xdr:rowOff>0</xdr:rowOff>
              </from>
              <to>
                <xdr:col>2</xdr:col>
                <xdr:colOff>0</xdr:colOff>
                <xdr:row>89</xdr:row>
                <xdr:rowOff>0</xdr:rowOff>
              </to>
            </anchor>
          </controlPr>
        </control>
      </mc:Choice>
      <mc:Fallback>
        <control shapeId="5188" r:id="rId166" name="EPNG1B1D"/>
      </mc:Fallback>
    </mc:AlternateContent>
    <mc:AlternateContent xmlns:mc="http://schemas.openxmlformats.org/markup-compatibility/2006">
      <mc:Choice Requires="x14">
        <control shapeId="5189" r:id="rId168" name="EPSP2D">
          <controlPr defaultSize="0" autoLine="0" autoPict="0" r:id="rId169">
            <anchor moveWithCells="1">
              <from>
                <xdr:col>1</xdr:col>
                <xdr:colOff>0</xdr:colOff>
                <xdr:row>89</xdr:row>
                <xdr:rowOff>0</xdr:rowOff>
              </from>
              <to>
                <xdr:col>2</xdr:col>
                <xdr:colOff>0</xdr:colOff>
                <xdr:row>90</xdr:row>
                <xdr:rowOff>0</xdr:rowOff>
              </to>
            </anchor>
          </controlPr>
        </control>
      </mc:Choice>
      <mc:Fallback>
        <control shapeId="5189" r:id="rId168" name="EPSP2D"/>
      </mc:Fallback>
    </mc:AlternateContent>
    <mc:AlternateContent xmlns:mc="http://schemas.openxmlformats.org/markup-compatibility/2006">
      <mc:Choice Requires="x14">
        <control shapeId="5193" r:id="rId170" name="EMN1K_450">
          <controlPr defaultSize="0" autoLine="0" r:id="rId56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93" r:id="rId170" name="EMN1K_450"/>
      </mc:Fallback>
    </mc:AlternateContent>
    <mc:AlternateContent xmlns:mc="http://schemas.openxmlformats.org/markup-compatibility/2006">
      <mc:Choice Requires="x14">
        <control shapeId="5194" r:id="rId171" name="ENG1K_450">
          <controlPr defaultSize="0" autoLine="0" r:id="rId90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94" r:id="rId171" name="ENG1K_450"/>
      </mc:Fallback>
    </mc:AlternateContent>
    <mc:AlternateContent xmlns:mc="http://schemas.openxmlformats.org/markup-compatibility/2006">
      <mc:Choice Requires="x14">
        <control shapeId="5201" r:id="rId172" name="EPN2D">
          <controlPr defaultSize="0" autoLine="0" r:id="rId157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2</xdr:col>
                <xdr:colOff>0</xdr:colOff>
                <xdr:row>81</xdr:row>
                <xdr:rowOff>0</xdr:rowOff>
              </to>
            </anchor>
          </controlPr>
        </control>
      </mc:Choice>
      <mc:Fallback>
        <control shapeId="5201" r:id="rId172" name="EPN2D"/>
      </mc:Fallback>
    </mc:AlternateContent>
    <mc:AlternateContent xmlns:mc="http://schemas.openxmlformats.org/markup-compatibility/2006">
      <mc:Choice Requires="x14">
        <control shapeId="5202" r:id="rId173" name="EPTG2D_595">
          <controlPr defaultSize="0" autoLine="0" r:id="rId159">
            <anchor moveWithCells="1">
              <from>
                <xdr:col>1</xdr:col>
                <xdr:colOff>0</xdr:colOff>
                <xdr:row>82</xdr:row>
                <xdr:rowOff>0</xdr:rowOff>
              </from>
              <to>
                <xdr:col>2</xdr:col>
                <xdr:colOff>0</xdr:colOff>
                <xdr:row>83</xdr:row>
                <xdr:rowOff>0</xdr:rowOff>
              </to>
            </anchor>
          </controlPr>
        </control>
      </mc:Choice>
      <mc:Fallback>
        <control shapeId="5202" r:id="rId173" name="EPTG2D_595"/>
      </mc:Fallback>
    </mc:AlternateContent>
    <mc:AlternateContent xmlns:mc="http://schemas.openxmlformats.org/markup-compatibility/2006">
      <mc:Choice Requires="x14">
        <control shapeId="5203" r:id="rId174" name="EPT2B1D_455">
          <controlPr defaultSize="0" autoLine="0" r:id="rId161">
            <anchor moveWithCells="1">
              <from>
                <xdr:col>1</xdr:col>
                <xdr:colOff>0</xdr:colOff>
                <xdr:row>84</xdr:row>
                <xdr:rowOff>0</xdr:rowOff>
              </from>
              <to>
                <xdr:col>2</xdr:col>
                <xdr:colOff>0</xdr:colOff>
                <xdr:row>84</xdr:row>
                <xdr:rowOff>2133600</xdr:rowOff>
              </to>
            </anchor>
          </controlPr>
        </control>
      </mc:Choice>
      <mc:Fallback>
        <control shapeId="5203" r:id="rId174" name="EPT2B1D_455"/>
      </mc:Fallback>
    </mc:AlternateContent>
    <mc:AlternateContent xmlns:mc="http://schemas.openxmlformats.org/markup-compatibility/2006">
      <mc:Choice Requires="x14">
        <control shapeId="5204" r:id="rId175" name="EPT2B1D_595">
          <controlPr defaultSize="0" autoLine="0" r:id="rId161">
            <anchor moveWithCells="1">
              <from>
                <xdr:col>1</xdr:col>
                <xdr:colOff>0</xdr:colOff>
                <xdr:row>85</xdr:row>
                <xdr:rowOff>0</xdr:rowOff>
              </from>
              <to>
                <xdr:col>2</xdr:col>
                <xdr:colOff>0</xdr:colOff>
                <xdr:row>85</xdr:row>
                <xdr:rowOff>2133600</xdr:rowOff>
              </to>
            </anchor>
          </controlPr>
        </control>
      </mc:Choice>
      <mc:Fallback>
        <control shapeId="5204" r:id="rId175" name="EPT2B1D_595"/>
      </mc:Fallback>
    </mc:AlternateContent>
    <mc:AlternateContent xmlns:mc="http://schemas.openxmlformats.org/markup-compatibility/2006">
      <mc:Choice Requires="x14">
        <control shapeId="5205" r:id="rId176" name="EPT1D_595">
          <controlPr defaultSize="0" autoLine="0" r:id="rId141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5205" r:id="rId176" name="EPT1D_595"/>
      </mc:Fallback>
    </mc:AlternateContent>
    <mc:AlternateContent xmlns:mc="http://schemas.openxmlformats.org/markup-compatibility/2006">
      <mc:Choice Requires="x14">
        <control shapeId="5208" r:id="rId177" name="EWV1V_900">
          <controlPr defaultSize="0" autoLine="0" r:id="rId125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5208" r:id="rId177" name="EWV1V_900"/>
      </mc:Fallback>
    </mc:AlternateContent>
    <mc:AlternateContent xmlns:mc="http://schemas.openxmlformats.org/markup-compatibility/2006">
      <mc:Choice Requires="x14">
        <control shapeId="5209" r:id="rId178" name="ERV1D">
          <controlPr defaultSize="0" autoLine="0" r:id="rId179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2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5209" r:id="rId178" name="ERV1D"/>
      </mc:Fallback>
    </mc:AlternateContent>
    <mc:AlternateContent xmlns:mc="http://schemas.openxmlformats.org/markup-compatibility/2006">
      <mc:Choice Requires="x14">
        <control shapeId="5212" r:id="rId180" name="ESVX1D_720">
          <controlPr defaultSize="0" autoLine="0" r:id="rId135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2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5212" r:id="rId180" name="ESVX1D_720"/>
      </mc:Fallback>
    </mc:AlternateContent>
    <mc:AlternateContent xmlns:mc="http://schemas.openxmlformats.org/markup-compatibility/2006">
      <mc:Choice Requires="x14">
        <control shapeId="5214" r:id="rId181" name="EMN1W1B">
          <controlPr defaultSize="0" autoLine="0" autoPict="0" r:id="rId182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2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5214" r:id="rId181" name="EMN1W1B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8"/>
  <dimension ref="A1:A5"/>
  <sheetViews>
    <sheetView workbookViewId="0">
      <selection activeCell="E10" sqref="E10"/>
    </sheetView>
  </sheetViews>
  <sheetFormatPr defaultRowHeight="15" x14ac:dyDescent="0.25"/>
  <sheetData>
    <row r="1" spans="1:1" x14ac:dyDescent="0.25">
      <c r="A1" t="s">
        <v>1114</v>
      </c>
    </row>
    <row r="2" spans="1:1" x14ac:dyDescent="0.25">
      <c r="A2" t="s">
        <v>1115</v>
      </c>
    </row>
    <row r="3" spans="1:1" x14ac:dyDescent="0.25">
      <c r="A3" t="s">
        <v>1116</v>
      </c>
    </row>
    <row r="4" spans="1:1" x14ac:dyDescent="0.25">
      <c r="A4" t="s">
        <v>1117</v>
      </c>
    </row>
    <row r="5" spans="1:1" x14ac:dyDescent="0.25">
      <c r="A5" t="s">
        <v>1118</v>
      </c>
    </row>
  </sheetData>
  <sheetProtection algorithmName="SHA-512" hashValue="eWLxXC7ZULyZVBujti725T/2nTHmyylDdN6lzNyS4ov7FJZxtYb/f/LT51LtA9bBjphe0KwOe2VNAPl18mTK8Q==" saltValue="OslaWQSrD3p2o+U+gbzo9w==" spinCount="100000" sheet="1" objects="1" scenarios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6">
    <outlinePr summaryBelow="0" summaryRight="0"/>
    <pageSetUpPr autoPageBreaks="0"/>
  </sheetPr>
  <dimension ref="A1:O336"/>
  <sheetViews>
    <sheetView workbookViewId="0">
      <selection activeCell="H2" sqref="H2"/>
    </sheetView>
  </sheetViews>
  <sheetFormatPr defaultColWidth="9" defaultRowHeight="11.45" customHeight="1" x14ac:dyDescent="0.2"/>
  <cols>
    <col min="1" max="1" width="26" style="155" customWidth="1"/>
    <col min="2" max="2" width="24" style="155" customWidth="1"/>
    <col min="3" max="3" width="15" style="155" customWidth="1"/>
    <col min="4" max="6" width="24" style="155" customWidth="1"/>
    <col min="7" max="7" width="28" style="155" customWidth="1"/>
    <col min="8" max="8" width="16" style="155" customWidth="1"/>
    <col min="9" max="9" width="17" style="155" customWidth="1"/>
    <col min="10" max="10" width="24" style="155" customWidth="1"/>
    <col min="11" max="11" width="60" style="155" customWidth="1"/>
    <col min="12" max="12" width="25" style="155" customWidth="1"/>
    <col min="13" max="13" width="21" style="155" customWidth="1"/>
    <col min="14" max="14" width="39" style="155" customWidth="1"/>
    <col min="15" max="15" width="17" style="155" customWidth="1"/>
    <col min="16" max="16384" width="9" style="149"/>
  </cols>
  <sheetData>
    <row r="1" spans="1:15" ht="12.95" customHeight="1" x14ac:dyDescent="0.2">
      <c r="A1" s="148" t="s">
        <v>855</v>
      </c>
      <c r="B1" s="148" t="s">
        <v>856</v>
      </c>
      <c r="C1" s="148" t="s">
        <v>857</v>
      </c>
      <c r="D1" s="148" t="s">
        <v>347</v>
      </c>
      <c r="E1" s="148" t="s">
        <v>858</v>
      </c>
      <c r="F1" s="148" t="s">
        <v>859</v>
      </c>
      <c r="G1" s="148" t="s">
        <v>860</v>
      </c>
      <c r="H1" s="148" t="s">
        <v>861</v>
      </c>
      <c r="I1" s="148" t="s">
        <v>862</v>
      </c>
      <c r="J1" s="148" t="s">
        <v>863</v>
      </c>
      <c r="K1" s="148" t="s">
        <v>864</v>
      </c>
      <c r="L1" s="148" t="s">
        <v>865</v>
      </c>
      <c r="M1" s="148" t="s">
        <v>866</v>
      </c>
      <c r="N1" s="148" t="s">
        <v>867</v>
      </c>
      <c r="O1" s="148" t="s">
        <v>868</v>
      </c>
    </row>
    <row r="2" spans="1:15" ht="11.1" customHeight="1" x14ac:dyDescent="0.2">
      <c r="A2" s="150" t="s">
        <v>869</v>
      </c>
      <c r="B2" s="150" t="s">
        <v>870</v>
      </c>
      <c r="C2" s="151">
        <v>3</v>
      </c>
      <c r="D2" s="150" t="s">
        <v>871</v>
      </c>
      <c r="E2" s="150"/>
      <c r="F2" s="150" t="s">
        <v>872</v>
      </c>
      <c r="G2" s="150"/>
      <c r="H2" s="152">
        <v>5819.1</v>
      </c>
      <c r="I2" s="153"/>
      <c r="J2" s="150" t="s">
        <v>873</v>
      </c>
      <c r="K2" s="150"/>
      <c r="L2" s="150" t="s">
        <v>10</v>
      </c>
      <c r="M2" s="150" t="s">
        <v>10</v>
      </c>
      <c r="N2" s="154">
        <v>1</v>
      </c>
      <c r="O2" s="153"/>
    </row>
    <row r="3" spans="1:15" ht="11.1" customHeight="1" x14ac:dyDescent="0.2">
      <c r="A3" s="150" t="s">
        <v>869</v>
      </c>
      <c r="B3" s="150" t="s">
        <v>870</v>
      </c>
      <c r="C3" s="151">
        <v>17</v>
      </c>
      <c r="D3" s="150" t="s">
        <v>871</v>
      </c>
      <c r="E3" s="150"/>
      <c r="F3" s="150" t="s">
        <v>874</v>
      </c>
      <c r="G3" s="150"/>
      <c r="H3" s="152">
        <v>7273.35</v>
      </c>
      <c r="I3" s="153"/>
      <c r="J3" s="150" t="s">
        <v>873</v>
      </c>
      <c r="K3" s="150"/>
      <c r="L3" s="150" t="s">
        <v>10</v>
      </c>
      <c r="M3" s="150" t="s">
        <v>10</v>
      </c>
      <c r="N3" s="154">
        <v>1</v>
      </c>
      <c r="O3" s="153"/>
    </row>
    <row r="4" spans="1:15" ht="11.1" customHeight="1" x14ac:dyDescent="0.2">
      <c r="A4" s="150" t="s">
        <v>869</v>
      </c>
      <c r="B4" s="150" t="s">
        <v>870</v>
      </c>
      <c r="C4" s="151">
        <v>1</v>
      </c>
      <c r="D4" s="150" t="s">
        <v>871</v>
      </c>
      <c r="E4" s="150"/>
      <c r="F4" s="150" t="s">
        <v>875</v>
      </c>
      <c r="G4" s="150"/>
      <c r="H4" s="152">
        <v>3394.65</v>
      </c>
      <c r="I4" s="153"/>
      <c r="J4" s="150" t="s">
        <v>873</v>
      </c>
      <c r="K4" s="150"/>
      <c r="L4" s="150" t="s">
        <v>10</v>
      </c>
      <c r="M4" s="150" t="s">
        <v>10</v>
      </c>
      <c r="N4" s="154">
        <v>1</v>
      </c>
      <c r="O4" s="153"/>
    </row>
    <row r="5" spans="1:15" ht="11.1" customHeight="1" x14ac:dyDescent="0.2">
      <c r="A5" s="150" t="s">
        <v>869</v>
      </c>
      <c r="B5" s="150" t="s">
        <v>870</v>
      </c>
      <c r="C5" s="151">
        <v>15</v>
      </c>
      <c r="D5" s="150" t="s">
        <v>871</v>
      </c>
      <c r="E5" s="150"/>
      <c r="F5" s="150" t="s">
        <v>876</v>
      </c>
      <c r="G5" s="150"/>
      <c r="H5" s="152">
        <v>4243.05</v>
      </c>
      <c r="I5" s="153"/>
      <c r="J5" s="150" t="s">
        <v>873</v>
      </c>
      <c r="K5" s="150"/>
      <c r="L5" s="150" t="s">
        <v>10</v>
      </c>
      <c r="M5" s="150" t="s">
        <v>10</v>
      </c>
      <c r="N5" s="154">
        <v>1</v>
      </c>
      <c r="O5" s="153"/>
    </row>
    <row r="6" spans="1:15" ht="11.1" customHeight="1" x14ac:dyDescent="0.2">
      <c r="A6" s="150" t="s">
        <v>869</v>
      </c>
      <c r="B6" s="150" t="s">
        <v>870</v>
      </c>
      <c r="C6" s="151">
        <v>2</v>
      </c>
      <c r="D6" s="150" t="s">
        <v>871</v>
      </c>
      <c r="E6" s="150"/>
      <c r="F6" s="150" t="s">
        <v>877</v>
      </c>
      <c r="G6" s="150"/>
      <c r="H6" s="152">
        <v>4881.45</v>
      </c>
      <c r="I6" s="153"/>
      <c r="J6" s="150" t="s">
        <v>873</v>
      </c>
      <c r="K6" s="150"/>
      <c r="L6" s="150" t="s">
        <v>10</v>
      </c>
      <c r="M6" s="150" t="s">
        <v>10</v>
      </c>
      <c r="N6" s="154">
        <v>1</v>
      </c>
      <c r="O6" s="153"/>
    </row>
    <row r="7" spans="1:15" ht="11.1" customHeight="1" x14ac:dyDescent="0.2">
      <c r="A7" s="150" t="s">
        <v>869</v>
      </c>
      <c r="B7" s="150" t="s">
        <v>870</v>
      </c>
      <c r="C7" s="151">
        <v>16</v>
      </c>
      <c r="D7" s="150" t="s">
        <v>871</v>
      </c>
      <c r="E7" s="150"/>
      <c r="F7" s="150" t="s">
        <v>878</v>
      </c>
      <c r="G7" s="150"/>
      <c r="H7" s="152">
        <v>6100.5</v>
      </c>
      <c r="I7" s="153"/>
      <c r="J7" s="150" t="s">
        <v>873</v>
      </c>
      <c r="K7" s="150"/>
      <c r="L7" s="150" t="s">
        <v>10</v>
      </c>
      <c r="M7" s="150" t="s">
        <v>10</v>
      </c>
      <c r="N7" s="154">
        <v>1</v>
      </c>
      <c r="O7" s="153"/>
    </row>
    <row r="8" spans="1:15" ht="11.1" customHeight="1" x14ac:dyDescent="0.2">
      <c r="A8" s="150" t="s">
        <v>869</v>
      </c>
      <c r="B8" s="150" t="s">
        <v>870</v>
      </c>
      <c r="C8" s="151">
        <v>4</v>
      </c>
      <c r="D8" s="150" t="s">
        <v>871</v>
      </c>
      <c r="E8" s="150"/>
      <c r="F8" s="150" t="s">
        <v>879</v>
      </c>
      <c r="G8" s="150"/>
      <c r="H8" s="152">
        <v>4117.05</v>
      </c>
      <c r="I8" s="153"/>
      <c r="J8" s="150" t="s">
        <v>873</v>
      </c>
      <c r="K8" s="150"/>
      <c r="L8" s="150" t="s">
        <v>10</v>
      </c>
      <c r="M8" s="150" t="s">
        <v>10</v>
      </c>
      <c r="N8" s="154">
        <v>1</v>
      </c>
      <c r="O8" s="153"/>
    </row>
    <row r="9" spans="1:15" ht="11.1" customHeight="1" x14ac:dyDescent="0.2">
      <c r="A9" s="150" t="s">
        <v>869</v>
      </c>
      <c r="B9" s="150" t="s">
        <v>870</v>
      </c>
      <c r="C9" s="151">
        <v>18</v>
      </c>
      <c r="D9" s="150" t="s">
        <v>871</v>
      </c>
      <c r="E9" s="150"/>
      <c r="F9" s="150" t="s">
        <v>880</v>
      </c>
      <c r="G9" s="150"/>
      <c r="H9" s="152">
        <v>5145</v>
      </c>
      <c r="I9" s="153"/>
      <c r="J9" s="150" t="s">
        <v>873</v>
      </c>
      <c r="K9" s="150"/>
      <c r="L9" s="150" t="s">
        <v>10</v>
      </c>
      <c r="M9" s="150" t="s">
        <v>10</v>
      </c>
      <c r="N9" s="154">
        <v>1</v>
      </c>
      <c r="O9" s="153"/>
    </row>
    <row r="10" spans="1:15" ht="11.1" customHeight="1" x14ac:dyDescent="0.2">
      <c r="A10" s="150" t="s">
        <v>869</v>
      </c>
      <c r="B10" s="150" t="s">
        <v>870</v>
      </c>
      <c r="C10" s="151">
        <v>5</v>
      </c>
      <c r="D10" s="150" t="s">
        <v>871</v>
      </c>
      <c r="E10" s="150"/>
      <c r="F10" s="150" t="s">
        <v>881</v>
      </c>
      <c r="G10" s="150"/>
      <c r="H10" s="152">
        <v>5819.1</v>
      </c>
      <c r="I10" s="153"/>
      <c r="J10" s="150" t="s">
        <v>873</v>
      </c>
      <c r="K10" s="150"/>
      <c r="L10" s="150" t="s">
        <v>10</v>
      </c>
      <c r="M10" s="150" t="s">
        <v>10</v>
      </c>
      <c r="N10" s="154">
        <v>1</v>
      </c>
      <c r="O10" s="153"/>
    </row>
    <row r="11" spans="1:15" ht="11.1" customHeight="1" x14ac:dyDescent="0.2">
      <c r="A11" s="150" t="s">
        <v>869</v>
      </c>
      <c r="B11" s="150" t="s">
        <v>870</v>
      </c>
      <c r="C11" s="151">
        <v>19</v>
      </c>
      <c r="D11" s="150" t="s">
        <v>871</v>
      </c>
      <c r="E11" s="150"/>
      <c r="F11" s="150" t="s">
        <v>882</v>
      </c>
      <c r="G11" s="150"/>
      <c r="H11" s="152">
        <v>7273.35</v>
      </c>
      <c r="I11" s="153"/>
      <c r="J11" s="150" t="s">
        <v>873</v>
      </c>
      <c r="K11" s="150"/>
      <c r="L11" s="150" t="s">
        <v>10</v>
      </c>
      <c r="M11" s="150" t="s">
        <v>10</v>
      </c>
      <c r="N11" s="154">
        <v>1</v>
      </c>
      <c r="O11" s="153"/>
    </row>
    <row r="12" spans="1:15" ht="11.1" customHeight="1" x14ac:dyDescent="0.2">
      <c r="A12" s="150" t="s">
        <v>869</v>
      </c>
      <c r="B12" s="150" t="s">
        <v>870</v>
      </c>
      <c r="C12" s="151">
        <v>6</v>
      </c>
      <c r="D12" s="150" t="s">
        <v>871</v>
      </c>
      <c r="E12" s="150"/>
      <c r="F12" s="150" t="s">
        <v>883</v>
      </c>
      <c r="G12" s="150"/>
      <c r="H12" s="152">
        <v>6754.65</v>
      </c>
      <c r="I12" s="153"/>
      <c r="J12" s="150" t="s">
        <v>873</v>
      </c>
      <c r="K12" s="150"/>
      <c r="L12" s="150" t="s">
        <v>10</v>
      </c>
      <c r="M12" s="150" t="s">
        <v>10</v>
      </c>
      <c r="N12" s="154">
        <v>1</v>
      </c>
      <c r="O12" s="153"/>
    </row>
    <row r="13" spans="1:15" ht="11.1" customHeight="1" x14ac:dyDescent="0.2">
      <c r="A13" s="150" t="s">
        <v>869</v>
      </c>
      <c r="B13" s="150" t="s">
        <v>870</v>
      </c>
      <c r="C13" s="151">
        <v>20</v>
      </c>
      <c r="D13" s="150" t="s">
        <v>871</v>
      </c>
      <c r="E13" s="150"/>
      <c r="F13" s="150" t="s">
        <v>884</v>
      </c>
      <c r="G13" s="150"/>
      <c r="H13" s="152">
        <v>8443.0499999999993</v>
      </c>
      <c r="I13" s="153"/>
      <c r="J13" s="150" t="s">
        <v>873</v>
      </c>
      <c r="K13" s="150"/>
      <c r="L13" s="150" t="s">
        <v>10</v>
      </c>
      <c r="M13" s="150" t="s">
        <v>10</v>
      </c>
      <c r="N13" s="154">
        <v>1</v>
      </c>
      <c r="O13" s="153"/>
    </row>
    <row r="14" spans="1:15" ht="11.1" customHeight="1" x14ac:dyDescent="0.2">
      <c r="A14" s="150" t="s">
        <v>869</v>
      </c>
      <c r="B14" s="150" t="s">
        <v>870</v>
      </c>
      <c r="C14" s="151">
        <v>7</v>
      </c>
      <c r="D14" s="150" t="s">
        <v>871</v>
      </c>
      <c r="E14" s="150"/>
      <c r="F14" s="150" t="s">
        <v>885</v>
      </c>
      <c r="G14" s="150"/>
      <c r="H14" s="152">
        <v>7693.35</v>
      </c>
      <c r="I14" s="153"/>
      <c r="J14" s="150" t="s">
        <v>873</v>
      </c>
      <c r="K14" s="150"/>
      <c r="L14" s="150" t="s">
        <v>10</v>
      </c>
      <c r="M14" s="150" t="s">
        <v>10</v>
      </c>
      <c r="N14" s="154">
        <v>1</v>
      </c>
      <c r="O14" s="153"/>
    </row>
    <row r="15" spans="1:15" ht="11.1" customHeight="1" x14ac:dyDescent="0.2">
      <c r="A15" s="150" t="s">
        <v>869</v>
      </c>
      <c r="B15" s="150" t="s">
        <v>870</v>
      </c>
      <c r="C15" s="151">
        <v>21</v>
      </c>
      <c r="D15" s="150" t="s">
        <v>871</v>
      </c>
      <c r="E15" s="150"/>
      <c r="F15" s="150" t="s">
        <v>886</v>
      </c>
      <c r="G15" s="150"/>
      <c r="H15" s="152">
        <v>9615.9</v>
      </c>
      <c r="I15" s="153"/>
      <c r="J15" s="150" t="s">
        <v>873</v>
      </c>
      <c r="K15" s="150"/>
      <c r="L15" s="150" t="s">
        <v>10</v>
      </c>
      <c r="M15" s="150" t="s">
        <v>10</v>
      </c>
      <c r="N15" s="154">
        <v>1</v>
      </c>
      <c r="O15" s="153"/>
    </row>
    <row r="16" spans="1:15" ht="11.1" customHeight="1" x14ac:dyDescent="0.2">
      <c r="A16" s="150" t="s">
        <v>869</v>
      </c>
      <c r="B16" s="150" t="s">
        <v>870</v>
      </c>
      <c r="C16" s="151">
        <v>8</v>
      </c>
      <c r="D16" s="150" t="s">
        <v>871</v>
      </c>
      <c r="E16" s="150"/>
      <c r="F16" s="150" t="s">
        <v>887</v>
      </c>
      <c r="G16" s="150"/>
      <c r="H16" s="152">
        <v>3734.85</v>
      </c>
      <c r="I16" s="153"/>
      <c r="J16" s="150" t="s">
        <v>873</v>
      </c>
      <c r="K16" s="150"/>
      <c r="L16" s="150" t="s">
        <v>10</v>
      </c>
      <c r="M16" s="150" t="s">
        <v>10</v>
      </c>
      <c r="N16" s="154">
        <v>1</v>
      </c>
      <c r="O16" s="153"/>
    </row>
    <row r="17" spans="1:15" ht="11.1" customHeight="1" x14ac:dyDescent="0.2">
      <c r="A17" s="150" t="s">
        <v>869</v>
      </c>
      <c r="B17" s="150" t="s">
        <v>870</v>
      </c>
      <c r="C17" s="151">
        <v>22</v>
      </c>
      <c r="D17" s="150" t="s">
        <v>871</v>
      </c>
      <c r="E17" s="150"/>
      <c r="F17" s="150" t="s">
        <v>888</v>
      </c>
      <c r="G17" s="150"/>
      <c r="H17" s="152">
        <v>4667.25</v>
      </c>
      <c r="I17" s="153"/>
      <c r="J17" s="150" t="s">
        <v>873</v>
      </c>
      <c r="K17" s="150"/>
      <c r="L17" s="150" t="s">
        <v>10</v>
      </c>
      <c r="M17" s="150" t="s">
        <v>10</v>
      </c>
      <c r="N17" s="154">
        <v>1</v>
      </c>
      <c r="O17" s="153"/>
    </row>
    <row r="18" spans="1:15" ht="11.1" customHeight="1" x14ac:dyDescent="0.2">
      <c r="A18" s="150" t="s">
        <v>869</v>
      </c>
      <c r="B18" s="150" t="s">
        <v>870</v>
      </c>
      <c r="C18" s="151">
        <v>9</v>
      </c>
      <c r="D18" s="150" t="s">
        <v>871</v>
      </c>
      <c r="E18" s="150"/>
      <c r="F18" s="150" t="s">
        <v>889</v>
      </c>
      <c r="G18" s="150"/>
      <c r="H18" s="152">
        <v>5368.65</v>
      </c>
      <c r="I18" s="153"/>
      <c r="J18" s="150" t="s">
        <v>873</v>
      </c>
      <c r="K18" s="150"/>
      <c r="L18" s="150" t="s">
        <v>10</v>
      </c>
      <c r="M18" s="150" t="s">
        <v>10</v>
      </c>
      <c r="N18" s="154">
        <v>1</v>
      </c>
      <c r="O18" s="153"/>
    </row>
    <row r="19" spans="1:15" ht="11.1" customHeight="1" x14ac:dyDescent="0.2">
      <c r="A19" s="150" t="s">
        <v>869</v>
      </c>
      <c r="B19" s="150" t="s">
        <v>870</v>
      </c>
      <c r="C19" s="151">
        <v>23</v>
      </c>
      <c r="D19" s="150" t="s">
        <v>871</v>
      </c>
      <c r="E19" s="150"/>
      <c r="F19" s="150" t="s">
        <v>890</v>
      </c>
      <c r="G19" s="150"/>
      <c r="H19" s="152">
        <v>6710.55</v>
      </c>
      <c r="I19" s="153"/>
      <c r="J19" s="150" t="s">
        <v>873</v>
      </c>
      <c r="K19" s="150"/>
      <c r="L19" s="150" t="s">
        <v>10</v>
      </c>
      <c r="M19" s="150" t="s">
        <v>10</v>
      </c>
      <c r="N19" s="154">
        <v>1</v>
      </c>
      <c r="O19" s="153"/>
    </row>
    <row r="20" spans="1:15" ht="11.1" customHeight="1" x14ac:dyDescent="0.2">
      <c r="A20" s="150" t="s">
        <v>869</v>
      </c>
      <c r="B20" s="150" t="s">
        <v>870</v>
      </c>
      <c r="C20" s="151">
        <v>10</v>
      </c>
      <c r="D20" s="150" t="s">
        <v>871</v>
      </c>
      <c r="E20" s="150"/>
      <c r="F20" s="150" t="s">
        <v>891</v>
      </c>
      <c r="G20" s="150"/>
      <c r="H20" s="152">
        <v>6400.8</v>
      </c>
      <c r="I20" s="153"/>
      <c r="J20" s="150" t="s">
        <v>873</v>
      </c>
      <c r="K20" s="150"/>
      <c r="L20" s="150" t="s">
        <v>10</v>
      </c>
      <c r="M20" s="150" t="s">
        <v>10</v>
      </c>
      <c r="N20" s="154">
        <v>1</v>
      </c>
      <c r="O20" s="153"/>
    </row>
    <row r="21" spans="1:15" ht="11.1" customHeight="1" x14ac:dyDescent="0.2">
      <c r="A21" s="150" t="s">
        <v>869</v>
      </c>
      <c r="B21" s="150" t="s">
        <v>870</v>
      </c>
      <c r="C21" s="151">
        <v>24</v>
      </c>
      <c r="D21" s="150" t="s">
        <v>871</v>
      </c>
      <c r="E21" s="150"/>
      <c r="F21" s="150" t="s">
        <v>892</v>
      </c>
      <c r="G21" s="150"/>
      <c r="H21" s="152">
        <v>8002.05</v>
      </c>
      <c r="I21" s="153"/>
      <c r="J21" s="150" t="s">
        <v>873</v>
      </c>
      <c r="K21" s="150"/>
      <c r="L21" s="150" t="s">
        <v>10</v>
      </c>
      <c r="M21" s="150" t="s">
        <v>10</v>
      </c>
      <c r="N21" s="154">
        <v>1</v>
      </c>
      <c r="O21" s="153"/>
    </row>
    <row r="22" spans="1:15" ht="11.1" customHeight="1" x14ac:dyDescent="0.2">
      <c r="A22" s="150" t="s">
        <v>869</v>
      </c>
      <c r="B22" s="150" t="s">
        <v>870</v>
      </c>
      <c r="C22" s="151">
        <v>11</v>
      </c>
      <c r="D22" s="150" t="s">
        <v>871</v>
      </c>
      <c r="E22" s="150"/>
      <c r="F22" s="150" t="s">
        <v>893</v>
      </c>
      <c r="G22" s="150"/>
      <c r="H22" s="152">
        <v>4525.5</v>
      </c>
      <c r="I22" s="153"/>
      <c r="J22" s="150" t="s">
        <v>873</v>
      </c>
      <c r="K22" s="150"/>
      <c r="L22" s="150" t="s">
        <v>10</v>
      </c>
      <c r="M22" s="150" t="s">
        <v>10</v>
      </c>
      <c r="N22" s="154">
        <v>1</v>
      </c>
      <c r="O22" s="153"/>
    </row>
    <row r="23" spans="1:15" ht="11.1" customHeight="1" x14ac:dyDescent="0.2">
      <c r="A23" s="150" t="s">
        <v>869</v>
      </c>
      <c r="B23" s="150" t="s">
        <v>870</v>
      </c>
      <c r="C23" s="151">
        <v>25</v>
      </c>
      <c r="D23" s="150" t="s">
        <v>871</v>
      </c>
      <c r="E23" s="150"/>
      <c r="F23" s="150" t="s">
        <v>894</v>
      </c>
      <c r="G23" s="150"/>
      <c r="H23" s="152">
        <v>5656.35</v>
      </c>
      <c r="I23" s="153"/>
      <c r="J23" s="150" t="s">
        <v>873</v>
      </c>
      <c r="K23" s="150"/>
      <c r="L23" s="150" t="s">
        <v>10</v>
      </c>
      <c r="M23" s="150" t="s">
        <v>10</v>
      </c>
      <c r="N23" s="154">
        <v>1</v>
      </c>
      <c r="O23" s="153"/>
    </row>
    <row r="24" spans="1:15" ht="11.1" customHeight="1" x14ac:dyDescent="0.2">
      <c r="A24" s="150" t="s">
        <v>869</v>
      </c>
      <c r="B24" s="150" t="s">
        <v>870</v>
      </c>
      <c r="C24" s="151">
        <v>12</v>
      </c>
      <c r="D24" s="150" t="s">
        <v>871</v>
      </c>
      <c r="E24" s="150"/>
      <c r="F24" s="150" t="s">
        <v>895</v>
      </c>
      <c r="G24" s="150"/>
      <c r="H24" s="152">
        <v>6400.8</v>
      </c>
      <c r="I24" s="153"/>
      <c r="J24" s="150" t="s">
        <v>873</v>
      </c>
      <c r="K24" s="150"/>
      <c r="L24" s="150" t="s">
        <v>10</v>
      </c>
      <c r="M24" s="150" t="s">
        <v>10</v>
      </c>
      <c r="N24" s="154">
        <v>1</v>
      </c>
      <c r="O24" s="153"/>
    </row>
    <row r="25" spans="1:15" ht="11.1" customHeight="1" x14ac:dyDescent="0.2">
      <c r="A25" s="150" t="s">
        <v>869</v>
      </c>
      <c r="B25" s="150" t="s">
        <v>870</v>
      </c>
      <c r="C25" s="151">
        <v>26</v>
      </c>
      <c r="D25" s="150" t="s">
        <v>871</v>
      </c>
      <c r="E25" s="150"/>
      <c r="F25" s="150" t="s">
        <v>896</v>
      </c>
      <c r="G25" s="150"/>
      <c r="H25" s="152">
        <v>8002.05</v>
      </c>
      <c r="I25" s="153"/>
      <c r="J25" s="150" t="s">
        <v>873</v>
      </c>
      <c r="K25" s="150"/>
      <c r="L25" s="150" t="s">
        <v>10</v>
      </c>
      <c r="M25" s="150" t="s">
        <v>10</v>
      </c>
      <c r="N25" s="154">
        <v>1</v>
      </c>
      <c r="O25" s="153"/>
    </row>
    <row r="26" spans="1:15" ht="11.1" customHeight="1" x14ac:dyDescent="0.2">
      <c r="A26" s="150" t="s">
        <v>869</v>
      </c>
      <c r="B26" s="150" t="s">
        <v>870</v>
      </c>
      <c r="C26" s="151">
        <v>13</v>
      </c>
      <c r="D26" s="150" t="s">
        <v>871</v>
      </c>
      <c r="E26" s="150"/>
      <c r="F26" s="150" t="s">
        <v>897</v>
      </c>
      <c r="G26" s="150"/>
      <c r="H26" s="152">
        <v>7431.9</v>
      </c>
      <c r="I26" s="153"/>
      <c r="J26" s="150" t="s">
        <v>873</v>
      </c>
      <c r="K26" s="150"/>
      <c r="L26" s="150" t="s">
        <v>10</v>
      </c>
      <c r="M26" s="150" t="s">
        <v>10</v>
      </c>
      <c r="N26" s="154">
        <v>1</v>
      </c>
      <c r="O26" s="153"/>
    </row>
    <row r="27" spans="1:15" ht="11.1" customHeight="1" x14ac:dyDescent="0.2">
      <c r="A27" s="150" t="s">
        <v>869</v>
      </c>
      <c r="B27" s="150" t="s">
        <v>870</v>
      </c>
      <c r="C27" s="151">
        <v>27</v>
      </c>
      <c r="D27" s="150" t="s">
        <v>871</v>
      </c>
      <c r="E27" s="150"/>
      <c r="F27" s="150" t="s">
        <v>898</v>
      </c>
      <c r="G27" s="150"/>
      <c r="H27" s="152">
        <v>9289.35</v>
      </c>
      <c r="I27" s="153"/>
      <c r="J27" s="150" t="s">
        <v>873</v>
      </c>
      <c r="K27" s="150"/>
      <c r="L27" s="150" t="s">
        <v>10</v>
      </c>
      <c r="M27" s="150" t="s">
        <v>10</v>
      </c>
      <c r="N27" s="154">
        <v>1</v>
      </c>
      <c r="O27" s="153"/>
    </row>
    <row r="28" spans="1:15" ht="11.1" customHeight="1" x14ac:dyDescent="0.2">
      <c r="A28" s="150" t="s">
        <v>869</v>
      </c>
      <c r="B28" s="150" t="s">
        <v>870</v>
      </c>
      <c r="C28" s="151">
        <v>14</v>
      </c>
      <c r="D28" s="150" t="s">
        <v>871</v>
      </c>
      <c r="E28" s="150"/>
      <c r="F28" s="150" t="s">
        <v>899</v>
      </c>
      <c r="G28" s="150"/>
      <c r="H28" s="152">
        <v>8463</v>
      </c>
      <c r="I28" s="153"/>
      <c r="J28" s="150" t="s">
        <v>873</v>
      </c>
      <c r="K28" s="150"/>
      <c r="L28" s="150" t="s">
        <v>10</v>
      </c>
      <c r="M28" s="150" t="s">
        <v>10</v>
      </c>
      <c r="N28" s="154">
        <v>1</v>
      </c>
      <c r="O28" s="153"/>
    </row>
    <row r="29" spans="1:15" ht="11.1" customHeight="1" x14ac:dyDescent="0.2">
      <c r="A29" s="150" t="s">
        <v>869</v>
      </c>
      <c r="B29" s="150" t="s">
        <v>870</v>
      </c>
      <c r="C29" s="151">
        <v>28</v>
      </c>
      <c r="D29" s="150" t="s">
        <v>871</v>
      </c>
      <c r="E29" s="150"/>
      <c r="F29" s="150" t="s">
        <v>900</v>
      </c>
      <c r="G29" s="150"/>
      <c r="H29" s="152">
        <v>10579.8</v>
      </c>
      <c r="I29" s="153"/>
      <c r="J29" s="150" t="s">
        <v>873</v>
      </c>
      <c r="K29" s="150"/>
      <c r="L29" s="150" t="s">
        <v>10</v>
      </c>
      <c r="M29" s="150" t="s">
        <v>10</v>
      </c>
      <c r="N29" s="154">
        <v>1</v>
      </c>
      <c r="O29" s="153"/>
    </row>
    <row r="30" spans="1:15" ht="11.1" customHeight="1" x14ac:dyDescent="0.2">
      <c r="A30" s="150" t="s">
        <v>869</v>
      </c>
      <c r="B30" s="150" t="s">
        <v>870</v>
      </c>
      <c r="C30" s="151">
        <v>31</v>
      </c>
      <c r="D30" s="150" t="s">
        <v>871</v>
      </c>
      <c r="E30" s="150"/>
      <c r="F30" s="150" t="s">
        <v>901</v>
      </c>
      <c r="G30" s="150"/>
      <c r="H30" s="152">
        <v>8085</v>
      </c>
      <c r="I30" s="153"/>
      <c r="J30" s="150" t="s">
        <v>873</v>
      </c>
      <c r="K30" s="150"/>
      <c r="L30" s="150" t="s">
        <v>10</v>
      </c>
      <c r="M30" s="150" t="s">
        <v>10</v>
      </c>
      <c r="N30" s="154">
        <v>1</v>
      </c>
      <c r="O30" s="153"/>
    </row>
    <row r="31" spans="1:15" ht="11.1" customHeight="1" x14ac:dyDescent="0.2">
      <c r="A31" s="150" t="s">
        <v>869</v>
      </c>
      <c r="B31" s="150" t="s">
        <v>870</v>
      </c>
      <c r="C31" s="151">
        <v>30</v>
      </c>
      <c r="D31" s="150" t="s">
        <v>871</v>
      </c>
      <c r="E31" s="150" t="s">
        <v>902</v>
      </c>
      <c r="F31" s="150" t="s">
        <v>891</v>
      </c>
      <c r="G31" s="150"/>
      <c r="H31" s="152">
        <v>5605.95</v>
      </c>
      <c r="I31" s="153"/>
      <c r="J31" s="150" t="s">
        <v>873</v>
      </c>
      <c r="K31" s="150"/>
      <c r="L31" s="150" t="s">
        <v>71</v>
      </c>
      <c r="M31" s="150" t="s">
        <v>10</v>
      </c>
      <c r="N31" s="154">
        <v>1</v>
      </c>
      <c r="O31" s="153"/>
    </row>
    <row r="32" spans="1:15" ht="11.1" customHeight="1" x14ac:dyDescent="0.2">
      <c r="A32" s="150" t="s">
        <v>869</v>
      </c>
      <c r="B32" s="150" t="s">
        <v>870</v>
      </c>
      <c r="C32" s="151">
        <v>29</v>
      </c>
      <c r="D32" s="150" t="s">
        <v>871</v>
      </c>
      <c r="E32" s="150" t="s">
        <v>902</v>
      </c>
      <c r="F32" s="150" t="s">
        <v>903</v>
      </c>
      <c r="G32" s="150"/>
      <c r="H32" s="152">
        <v>4916.1000000000004</v>
      </c>
      <c r="I32" s="153"/>
      <c r="J32" s="150" t="s">
        <v>873</v>
      </c>
      <c r="K32" s="150"/>
      <c r="L32" s="150" t="s">
        <v>71</v>
      </c>
      <c r="M32" s="150" t="s">
        <v>10</v>
      </c>
      <c r="N32" s="154">
        <v>1</v>
      </c>
      <c r="O32" s="153"/>
    </row>
    <row r="33" spans="1:15" ht="11.1" customHeight="1" x14ac:dyDescent="0.2">
      <c r="A33" s="150" t="s">
        <v>904</v>
      </c>
      <c r="B33" s="150" t="s">
        <v>905</v>
      </c>
      <c r="C33" s="151">
        <v>1</v>
      </c>
      <c r="D33" s="150" t="s">
        <v>906</v>
      </c>
      <c r="E33" s="150"/>
      <c r="F33" s="150" t="s">
        <v>907</v>
      </c>
      <c r="G33" s="150"/>
      <c r="H33" s="152">
        <v>28110.6</v>
      </c>
      <c r="I33" s="153"/>
      <c r="J33" s="150" t="s">
        <v>908</v>
      </c>
      <c r="K33" s="150" t="s">
        <v>909</v>
      </c>
      <c r="L33" s="150" t="s">
        <v>10</v>
      </c>
      <c r="M33" s="150" t="s">
        <v>10</v>
      </c>
      <c r="N33" s="154">
        <v>1</v>
      </c>
      <c r="O33" s="153"/>
    </row>
    <row r="34" spans="1:15" ht="11.1" customHeight="1" x14ac:dyDescent="0.2">
      <c r="A34" s="150" t="s">
        <v>904</v>
      </c>
      <c r="B34" s="150" t="s">
        <v>910</v>
      </c>
      <c r="C34" s="151">
        <v>1</v>
      </c>
      <c r="D34" s="150" t="s">
        <v>911</v>
      </c>
      <c r="E34" s="150"/>
      <c r="F34" s="150" t="s">
        <v>907</v>
      </c>
      <c r="G34" s="150"/>
      <c r="H34" s="152">
        <v>22818.5</v>
      </c>
      <c r="I34" s="153"/>
      <c r="J34" s="150" t="s">
        <v>908</v>
      </c>
      <c r="K34" s="150" t="s">
        <v>909</v>
      </c>
      <c r="L34" s="150" t="s">
        <v>10</v>
      </c>
      <c r="M34" s="150" t="s">
        <v>10</v>
      </c>
      <c r="N34" s="154">
        <v>1</v>
      </c>
      <c r="O34" s="153"/>
    </row>
    <row r="35" spans="1:15" ht="11.1" customHeight="1" x14ac:dyDescent="0.2">
      <c r="A35" s="150" t="s">
        <v>912</v>
      </c>
      <c r="B35" s="150" t="s">
        <v>913</v>
      </c>
      <c r="C35" s="151">
        <v>3</v>
      </c>
      <c r="D35" s="150" t="s">
        <v>914</v>
      </c>
      <c r="E35" s="150"/>
      <c r="F35" s="150" t="s">
        <v>872</v>
      </c>
      <c r="G35" s="150"/>
      <c r="H35" s="152">
        <v>5542</v>
      </c>
      <c r="I35" s="153"/>
      <c r="J35" s="150" t="s">
        <v>873</v>
      </c>
      <c r="K35" s="150"/>
      <c r="L35" s="150" t="s">
        <v>10</v>
      </c>
      <c r="M35" s="150" t="s">
        <v>10</v>
      </c>
      <c r="N35" s="154">
        <v>1</v>
      </c>
      <c r="O35" s="153"/>
    </row>
    <row r="36" spans="1:15" ht="11.1" customHeight="1" x14ac:dyDescent="0.2">
      <c r="A36" s="150" t="s">
        <v>912</v>
      </c>
      <c r="B36" s="150" t="s">
        <v>913</v>
      </c>
      <c r="C36" s="151">
        <v>17</v>
      </c>
      <c r="D36" s="150" t="s">
        <v>914</v>
      </c>
      <c r="E36" s="150"/>
      <c r="F36" s="150" t="s">
        <v>874</v>
      </c>
      <c r="G36" s="150"/>
      <c r="H36" s="152">
        <v>6927</v>
      </c>
      <c r="I36" s="153"/>
      <c r="J36" s="150" t="s">
        <v>873</v>
      </c>
      <c r="K36" s="150"/>
      <c r="L36" s="150" t="s">
        <v>10</v>
      </c>
      <c r="M36" s="150" t="s">
        <v>10</v>
      </c>
      <c r="N36" s="154">
        <v>1</v>
      </c>
      <c r="O36" s="153"/>
    </row>
    <row r="37" spans="1:15" ht="11.1" customHeight="1" x14ac:dyDescent="0.2">
      <c r="A37" s="150" t="s">
        <v>912</v>
      </c>
      <c r="B37" s="150" t="s">
        <v>913</v>
      </c>
      <c r="C37" s="151">
        <v>1</v>
      </c>
      <c r="D37" s="150" t="s">
        <v>914</v>
      </c>
      <c r="E37" s="150"/>
      <c r="F37" s="150" t="s">
        <v>875</v>
      </c>
      <c r="G37" s="150"/>
      <c r="H37" s="152">
        <v>3233</v>
      </c>
      <c r="I37" s="153"/>
      <c r="J37" s="150" t="s">
        <v>873</v>
      </c>
      <c r="K37" s="150"/>
      <c r="L37" s="150" t="s">
        <v>10</v>
      </c>
      <c r="M37" s="150" t="s">
        <v>10</v>
      </c>
      <c r="N37" s="154">
        <v>1</v>
      </c>
      <c r="O37" s="153"/>
    </row>
    <row r="38" spans="1:15" ht="11.1" customHeight="1" x14ac:dyDescent="0.2">
      <c r="A38" s="150" t="s">
        <v>912</v>
      </c>
      <c r="B38" s="150" t="s">
        <v>913</v>
      </c>
      <c r="C38" s="151">
        <v>15</v>
      </c>
      <c r="D38" s="150" t="s">
        <v>914</v>
      </c>
      <c r="E38" s="150"/>
      <c r="F38" s="150" t="s">
        <v>876</v>
      </c>
      <c r="G38" s="150"/>
      <c r="H38" s="152">
        <v>4041</v>
      </c>
      <c r="I38" s="153"/>
      <c r="J38" s="150" t="s">
        <v>873</v>
      </c>
      <c r="K38" s="150"/>
      <c r="L38" s="150" t="s">
        <v>10</v>
      </c>
      <c r="M38" s="150" t="s">
        <v>10</v>
      </c>
      <c r="N38" s="154">
        <v>1</v>
      </c>
      <c r="O38" s="153"/>
    </row>
    <row r="39" spans="1:15" ht="11.1" customHeight="1" x14ac:dyDescent="0.2">
      <c r="A39" s="150" t="s">
        <v>912</v>
      </c>
      <c r="B39" s="150" t="s">
        <v>913</v>
      </c>
      <c r="C39" s="151">
        <v>2</v>
      </c>
      <c r="D39" s="150" t="s">
        <v>914</v>
      </c>
      <c r="E39" s="150"/>
      <c r="F39" s="150" t="s">
        <v>877</v>
      </c>
      <c r="G39" s="150"/>
      <c r="H39" s="152">
        <v>4649</v>
      </c>
      <c r="I39" s="153"/>
      <c r="J39" s="150" t="s">
        <v>873</v>
      </c>
      <c r="K39" s="150"/>
      <c r="L39" s="150" t="s">
        <v>10</v>
      </c>
      <c r="M39" s="150" t="s">
        <v>10</v>
      </c>
      <c r="N39" s="154">
        <v>1</v>
      </c>
      <c r="O39" s="153"/>
    </row>
    <row r="40" spans="1:15" ht="11.1" customHeight="1" x14ac:dyDescent="0.2">
      <c r="A40" s="150" t="s">
        <v>912</v>
      </c>
      <c r="B40" s="150" t="s">
        <v>913</v>
      </c>
      <c r="C40" s="151">
        <v>16</v>
      </c>
      <c r="D40" s="150" t="s">
        <v>914</v>
      </c>
      <c r="E40" s="150"/>
      <c r="F40" s="150" t="s">
        <v>878</v>
      </c>
      <c r="G40" s="150"/>
      <c r="H40" s="152">
        <v>5810</v>
      </c>
      <c r="I40" s="153"/>
      <c r="J40" s="150" t="s">
        <v>873</v>
      </c>
      <c r="K40" s="150"/>
      <c r="L40" s="150" t="s">
        <v>10</v>
      </c>
      <c r="M40" s="150" t="s">
        <v>10</v>
      </c>
      <c r="N40" s="154">
        <v>1</v>
      </c>
      <c r="O40" s="153"/>
    </row>
    <row r="41" spans="1:15" ht="11.1" customHeight="1" x14ac:dyDescent="0.2">
      <c r="A41" s="150" t="s">
        <v>912</v>
      </c>
      <c r="B41" s="150" t="s">
        <v>913</v>
      </c>
      <c r="C41" s="151">
        <v>4</v>
      </c>
      <c r="D41" s="150" t="s">
        <v>914</v>
      </c>
      <c r="E41" s="150"/>
      <c r="F41" s="150" t="s">
        <v>879</v>
      </c>
      <c r="G41" s="150"/>
      <c r="H41" s="152">
        <v>3921</v>
      </c>
      <c r="I41" s="153"/>
      <c r="J41" s="150" t="s">
        <v>873</v>
      </c>
      <c r="K41" s="150"/>
      <c r="L41" s="150" t="s">
        <v>10</v>
      </c>
      <c r="M41" s="150" t="s">
        <v>10</v>
      </c>
      <c r="N41" s="154">
        <v>1</v>
      </c>
      <c r="O41" s="153"/>
    </row>
    <row r="42" spans="1:15" ht="11.1" customHeight="1" x14ac:dyDescent="0.2">
      <c r="A42" s="150" t="s">
        <v>912</v>
      </c>
      <c r="B42" s="150" t="s">
        <v>913</v>
      </c>
      <c r="C42" s="151">
        <v>18</v>
      </c>
      <c r="D42" s="150" t="s">
        <v>914</v>
      </c>
      <c r="E42" s="150"/>
      <c r="F42" s="150" t="s">
        <v>880</v>
      </c>
      <c r="G42" s="150"/>
      <c r="H42" s="152">
        <v>4900</v>
      </c>
      <c r="I42" s="153"/>
      <c r="J42" s="150" t="s">
        <v>873</v>
      </c>
      <c r="K42" s="150"/>
      <c r="L42" s="150" t="s">
        <v>10</v>
      </c>
      <c r="M42" s="150" t="s">
        <v>10</v>
      </c>
      <c r="N42" s="154">
        <v>1</v>
      </c>
      <c r="O42" s="153"/>
    </row>
    <row r="43" spans="1:15" ht="11.1" customHeight="1" x14ac:dyDescent="0.2">
      <c r="A43" s="150" t="s">
        <v>912</v>
      </c>
      <c r="B43" s="150" t="s">
        <v>913</v>
      </c>
      <c r="C43" s="151">
        <v>5</v>
      </c>
      <c r="D43" s="150" t="s">
        <v>914</v>
      </c>
      <c r="E43" s="150"/>
      <c r="F43" s="150" t="s">
        <v>881</v>
      </c>
      <c r="G43" s="150"/>
      <c r="H43" s="152">
        <v>5542</v>
      </c>
      <c r="I43" s="153"/>
      <c r="J43" s="150" t="s">
        <v>873</v>
      </c>
      <c r="K43" s="150"/>
      <c r="L43" s="150" t="s">
        <v>10</v>
      </c>
      <c r="M43" s="150" t="s">
        <v>10</v>
      </c>
      <c r="N43" s="154">
        <v>1</v>
      </c>
      <c r="O43" s="153"/>
    </row>
    <row r="44" spans="1:15" ht="11.1" customHeight="1" x14ac:dyDescent="0.2">
      <c r="A44" s="150" t="s">
        <v>912</v>
      </c>
      <c r="B44" s="150" t="s">
        <v>913</v>
      </c>
      <c r="C44" s="151">
        <v>19</v>
      </c>
      <c r="D44" s="150" t="s">
        <v>914</v>
      </c>
      <c r="E44" s="150"/>
      <c r="F44" s="150" t="s">
        <v>882</v>
      </c>
      <c r="G44" s="150"/>
      <c r="H44" s="152">
        <v>6927</v>
      </c>
      <c r="I44" s="153"/>
      <c r="J44" s="150" t="s">
        <v>873</v>
      </c>
      <c r="K44" s="150"/>
      <c r="L44" s="150" t="s">
        <v>10</v>
      </c>
      <c r="M44" s="150" t="s">
        <v>10</v>
      </c>
      <c r="N44" s="154">
        <v>1</v>
      </c>
      <c r="O44" s="153"/>
    </row>
    <row r="45" spans="1:15" ht="11.1" customHeight="1" x14ac:dyDescent="0.2">
      <c r="A45" s="150" t="s">
        <v>912</v>
      </c>
      <c r="B45" s="150" t="s">
        <v>913</v>
      </c>
      <c r="C45" s="151">
        <v>6</v>
      </c>
      <c r="D45" s="150" t="s">
        <v>914</v>
      </c>
      <c r="E45" s="150"/>
      <c r="F45" s="150" t="s">
        <v>883</v>
      </c>
      <c r="G45" s="150"/>
      <c r="H45" s="152">
        <v>6433</v>
      </c>
      <c r="I45" s="153"/>
      <c r="J45" s="150" t="s">
        <v>873</v>
      </c>
      <c r="K45" s="150"/>
      <c r="L45" s="150" t="s">
        <v>10</v>
      </c>
      <c r="M45" s="150" t="s">
        <v>10</v>
      </c>
      <c r="N45" s="154">
        <v>1</v>
      </c>
      <c r="O45" s="153"/>
    </row>
    <row r="46" spans="1:15" ht="11.1" customHeight="1" x14ac:dyDescent="0.2">
      <c r="A46" s="150" t="s">
        <v>912</v>
      </c>
      <c r="B46" s="150" t="s">
        <v>913</v>
      </c>
      <c r="C46" s="151">
        <v>20</v>
      </c>
      <c r="D46" s="150" t="s">
        <v>914</v>
      </c>
      <c r="E46" s="150"/>
      <c r="F46" s="150" t="s">
        <v>884</v>
      </c>
      <c r="G46" s="150"/>
      <c r="H46" s="152">
        <v>8041</v>
      </c>
      <c r="I46" s="153"/>
      <c r="J46" s="150" t="s">
        <v>873</v>
      </c>
      <c r="K46" s="150"/>
      <c r="L46" s="150" t="s">
        <v>10</v>
      </c>
      <c r="M46" s="150" t="s">
        <v>10</v>
      </c>
      <c r="N46" s="154">
        <v>1</v>
      </c>
      <c r="O46" s="153"/>
    </row>
    <row r="47" spans="1:15" ht="11.1" customHeight="1" x14ac:dyDescent="0.2">
      <c r="A47" s="150" t="s">
        <v>912</v>
      </c>
      <c r="B47" s="150" t="s">
        <v>913</v>
      </c>
      <c r="C47" s="151">
        <v>7</v>
      </c>
      <c r="D47" s="150" t="s">
        <v>914</v>
      </c>
      <c r="E47" s="150"/>
      <c r="F47" s="150" t="s">
        <v>885</v>
      </c>
      <c r="G47" s="150"/>
      <c r="H47" s="152">
        <v>7327</v>
      </c>
      <c r="I47" s="153"/>
      <c r="J47" s="150" t="s">
        <v>873</v>
      </c>
      <c r="K47" s="150"/>
      <c r="L47" s="150" t="s">
        <v>10</v>
      </c>
      <c r="M47" s="150" t="s">
        <v>10</v>
      </c>
      <c r="N47" s="154">
        <v>1</v>
      </c>
      <c r="O47" s="153"/>
    </row>
    <row r="48" spans="1:15" ht="11.1" customHeight="1" x14ac:dyDescent="0.2">
      <c r="A48" s="150" t="s">
        <v>912</v>
      </c>
      <c r="B48" s="150" t="s">
        <v>913</v>
      </c>
      <c r="C48" s="151">
        <v>21</v>
      </c>
      <c r="D48" s="150" t="s">
        <v>914</v>
      </c>
      <c r="E48" s="150"/>
      <c r="F48" s="150" t="s">
        <v>886</v>
      </c>
      <c r="G48" s="150"/>
      <c r="H48" s="152">
        <v>9158</v>
      </c>
      <c r="I48" s="153"/>
      <c r="J48" s="150" t="s">
        <v>873</v>
      </c>
      <c r="K48" s="150"/>
      <c r="L48" s="150" t="s">
        <v>10</v>
      </c>
      <c r="M48" s="150" t="s">
        <v>10</v>
      </c>
      <c r="N48" s="154">
        <v>1</v>
      </c>
      <c r="O48" s="153"/>
    </row>
    <row r="49" spans="1:15" ht="11.1" customHeight="1" x14ac:dyDescent="0.2">
      <c r="A49" s="150" t="s">
        <v>912</v>
      </c>
      <c r="B49" s="150" t="s">
        <v>913</v>
      </c>
      <c r="C49" s="151">
        <v>8</v>
      </c>
      <c r="D49" s="150" t="s">
        <v>914</v>
      </c>
      <c r="E49" s="150"/>
      <c r="F49" s="150" t="s">
        <v>887</v>
      </c>
      <c r="G49" s="150"/>
      <c r="H49" s="152">
        <v>3557</v>
      </c>
      <c r="I49" s="153"/>
      <c r="J49" s="150" t="s">
        <v>873</v>
      </c>
      <c r="K49" s="150"/>
      <c r="L49" s="150" t="s">
        <v>10</v>
      </c>
      <c r="M49" s="150" t="s">
        <v>10</v>
      </c>
      <c r="N49" s="154">
        <v>1</v>
      </c>
      <c r="O49" s="153"/>
    </row>
    <row r="50" spans="1:15" ht="11.1" customHeight="1" x14ac:dyDescent="0.2">
      <c r="A50" s="150" t="s">
        <v>912</v>
      </c>
      <c r="B50" s="150" t="s">
        <v>913</v>
      </c>
      <c r="C50" s="151">
        <v>22</v>
      </c>
      <c r="D50" s="150" t="s">
        <v>914</v>
      </c>
      <c r="E50" s="150"/>
      <c r="F50" s="150" t="s">
        <v>888</v>
      </c>
      <c r="G50" s="150"/>
      <c r="H50" s="152">
        <v>4445</v>
      </c>
      <c r="I50" s="153"/>
      <c r="J50" s="150" t="s">
        <v>873</v>
      </c>
      <c r="K50" s="150"/>
      <c r="L50" s="150" t="s">
        <v>10</v>
      </c>
      <c r="M50" s="150" t="s">
        <v>10</v>
      </c>
      <c r="N50" s="154">
        <v>1</v>
      </c>
      <c r="O50" s="153"/>
    </row>
    <row r="51" spans="1:15" ht="11.1" customHeight="1" x14ac:dyDescent="0.2">
      <c r="A51" s="150" t="s">
        <v>912</v>
      </c>
      <c r="B51" s="150" t="s">
        <v>913</v>
      </c>
      <c r="C51" s="151">
        <v>9</v>
      </c>
      <c r="D51" s="150" t="s">
        <v>914</v>
      </c>
      <c r="E51" s="150"/>
      <c r="F51" s="150" t="s">
        <v>889</v>
      </c>
      <c r="G51" s="150"/>
      <c r="H51" s="152">
        <v>5113</v>
      </c>
      <c r="I51" s="153"/>
      <c r="J51" s="150" t="s">
        <v>873</v>
      </c>
      <c r="K51" s="150"/>
      <c r="L51" s="150" t="s">
        <v>10</v>
      </c>
      <c r="M51" s="150" t="s">
        <v>10</v>
      </c>
      <c r="N51" s="154">
        <v>1</v>
      </c>
      <c r="O51" s="153"/>
    </row>
    <row r="52" spans="1:15" ht="11.1" customHeight="1" x14ac:dyDescent="0.2">
      <c r="A52" s="150" t="s">
        <v>912</v>
      </c>
      <c r="B52" s="150" t="s">
        <v>913</v>
      </c>
      <c r="C52" s="151">
        <v>23</v>
      </c>
      <c r="D52" s="150" t="s">
        <v>914</v>
      </c>
      <c r="E52" s="150"/>
      <c r="F52" s="150" t="s">
        <v>890</v>
      </c>
      <c r="G52" s="150"/>
      <c r="H52" s="152">
        <v>6391</v>
      </c>
      <c r="I52" s="153"/>
      <c r="J52" s="150" t="s">
        <v>873</v>
      </c>
      <c r="K52" s="150"/>
      <c r="L52" s="150" t="s">
        <v>10</v>
      </c>
      <c r="M52" s="150" t="s">
        <v>10</v>
      </c>
      <c r="N52" s="154">
        <v>1</v>
      </c>
      <c r="O52" s="153"/>
    </row>
    <row r="53" spans="1:15" ht="11.1" customHeight="1" x14ac:dyDescent="0.2">
      <c r="A53" s="150" t="s">
        <v>912</v>
      </c>
      <c r="B53" s="150" t="s">
        <v>913</v>
      </c>
      <c r="C53" s="151">
        <v>10</v>
      </c>
      <c r="D53" s="150" t="s">
        <v>914</v>
      </c>
      <c r="E53" s="150"/>
      <c r="F53" s="150" t="s">
        <v>891</v>
      </c>
      <c r="G53" s="150"/>
      <c r="H53" s="152">
        <v>6096</v>
      </c>
      <c r="I53" s="153"/>
      <c r="J53" s="150" t="s">
        <v>873</v>
      </c>
      <c r="K53" s="150"/>
      <c r="L53" s="150" t="s">
        <v>10</v>
      </c>
      <c r="M53" s="150" t="s">
        <v>10</v>
      </c>
      <c r="N53" s="154">
        <v>1</v>
      </c>
      <c r="O53" s="153"/>
    </row>
    <row r="54" spans="1:15" ht="11.1" customHeight="1" x14ac:dyDescent="0.2">
      <c r="A54" s="150" t="s">
        <v>912</v>
      </c>
      <c r="B54" s="150" t="s">
        <v>913</v>
      </c>
      <c r="C54" s="151">
        <v>24</v>
      </c>
      <c r="D54" s="150" t="s">
        <v>914</v>
      </c>
      <c r="E54" s="150"/>
      <c r="F54" s="150" t="s">
        <v>892</v>
      </c>
      <c r="G54" s="150"/>
      <c r="H54" s="152">
        <v>7621</v>
      </c>
      <c r="I54" s="153"/>
      <c r="J54" s="150" t="s">
        <v>873</v>
      </c>
      <c r="K54" s="150"/>
      <c r="L54" s="150" t="s">
        <v>10</v>
      </c>
      <c r="M54" s="150" t="s">
        <v>10</v>
      </c>
      <c r="N54" s="154">
        <v>1</v>
      </c>
      <c r="O54" s="153"/>
    </row>
    <row r="55" spans="1:15" ht="11.1" customHeight="1" x14ac:dyDescent="0.2">
      <c r="A55" s="150" t="s">
        <v>912</v>
      </c>
      <c r="B55" s="150" t="s">
        <v>913</v>
      </c>
      <c r="C55" s="151">
        <v>11</v>
      </c>
      <c r="D55" s="150" t="s">
        <v>914</v>
      </c>
      <c r="E55" s="150"/>
      <c r="F55" s="150" t="s">
        <v>893</v>
      </c>
      <c r="G55" s="150"/>
      <c r="H55" s="152">
        <v>4310</v>
      </c>
      <c r="I55" s="153"/>
      <c r="J55" s="150" t="s">
        <v>873</v>
      </c>
      <c r="K55" s="150"/>
      <c r="L55" s="150" t="s">
        <v>10</v>
      </c>
      <c r="M55" s="150" t="s">
        <v>10</v>
      </c>
      <c r="N55" s="154">
        <v>1</v>
      </c>
      <c r="O55" s="153"/>
    </row>
    <row r="56" spans="1:15" ht="11.1" customHeight="1" x14ac:dyDescent="0.2">
      <c r="A56" s="150" t="s">
        <v>912</v>
      </c>
      <c r="B56" s="150" t="s">
        <v>913</v>
      </c>
      <c r="C56" s="151">
        <v>25</v>
      </c>
      <c r="D56" s="150" t="s">
        <v>914</v>
      </c>
      <c r="E56" s="150"/>
      <c r="F56" s="150" t="s">
        <v>894</v>
      </c>
      <c r="G56" s="150"/>
      <c r="H56" s="152">
        <v>5387</v>
      </c>
      <c r="I56" s="153"/>
      <c r="J56" s="150" t="s">
        <v>873</v>
      </c>
      <c r="K56" s="150"/>
      <c r="L56" s="150" t="s">
        <v>10</v>
      </c>
      <c r="M56" s="150" t="s">
        <v>10</v>
      </c>
      <c r="N56" s="154">
        <v>1</v>
      </c>
      <c r="O56" s="153"/>
    </row>
    <row r="57" spans="1:15" ht="11.1" customHeight="1" x14ac:dyDescent="0.2">
      <c r="A57" s="150" t="s">
        <v>912</v>
      </c>
      <c r="B57" s="150" t="s">
        <v>913</v>
      </c>
      <c r="C57" s="151">
        <v>12</v>
      </c>
      <c r="D57" s="150" t="s">
        <v>914</v>
      </c>
      <c r="E57" s="150"/>
      <c r="F57" s="150" t="s">
        <v>895</v>
      </c>
      <c r="G57" s="150"/>
      <c r="H57" s="152">
        <v>6096</v>
      </c>
      <c r="I57" s="153"/>
      <c r="J57" s="150" t="s">
        <v>873</v>
      </c>
      <c r="K57" s="150"/>
      <c r="L57" s="150" t="s">
        <v>10</v>
      </c>
      <c r="M57" s="150" t="s">
        <v>10</v>
      </c>
      <c r="N57" s="154">
        <v>1</v>
      </c>
      <c r="O57" s="153"/>
    </row>
    <row r="58" spans="1:15" ht="11.1" customHeight="1" x14ac:dyDescent="0.2">
      <c r="A58" s="150" t="s">
        <v>912</v>
      </c>
      <c r="B58" s="150" t="s">
        <v>913</v>
      </c>
      <c r="C58" s="151">
        <v>26</v>
      </c>
      <c r="D58" s="150" t="s">
        <v>914</v>
      </c>
      <c r="E58" s="150"/>
      <c r="F58" s="150" t="s">
        <v>896</v>
      </c>
      <c r="G58" s="150"/>
      <c r="H58" s="152">
        <v>7621</v>
      </c>
      <c r="I58" s="153"/>
      <c r="J58" s="150" t="s">
        <v>873</v>
      </c>
      <c r="K58" s="150"/>
      <c r="L58" s="150" t="s">
        <v>10</v>
      </c>
      <c r="M58" s="150" t="s">
        <v>10</v>
      </c>
      <c r="N58" s="154">
        <v>1</v>
      </c>
      <c r="O58" s="153"/>
    </row>
    <row r="59" spans="1:15" ht="11.1" customHeight="1" x14ac:dyDescent="0.2">
      <c r="A59" s="150" t="s">
        <v>912</v>
      </c>
      <c r="B59" s="150" t="s">
        <v>913</v>
      </c>
      <c r="C59" s="151">
        <v>13</v>
      </c>
      <c r="D59" s="150" t="s">
        <v>914</v>
      </c>
      <c r="E59" s="150"/>
      <c r="F59" s="150" t="s">
        <v>897</v>
      </c>
      <c r="G59" s="150"/>
      <c r="H59" s="152">
        <v>7078</v>
      </c>
      <c r="I59" s="153"/>
      <c r="J59" s="150" t="s">
        <v>873</v>
      </c>
      <c r="K59" s="150"/>
      <c r="L59" s="150" t="s">
        <v>10</v>
      </c>
      <c r="M59" s="150" t="s">
        <v>10</v>
      </c>
      <c r="N59" s="154">
        <v>1</v>
      </c>
      <c r="O59" s="153"/>
    </row>
    <row r="60" spans="1:15" ht="11.1" customHeight="1" x14ac:dyDescent="0.2">
      <c r="A60" s="150" t="s">
        <v>912</v>
      </c>
      <c r="B60" s="150" t="s">
        <v>913</v>
      </c>
      <c r="C60" s="151">
        <v>27</v>
      </c>
      <c r="D60" s="150" t="s">
        <v>914</v>
      </c>
      <c r="E60" s="150"/>
      <c r="F60" s="150" t="s">
        <v>898</v>
      </c>
      <c r="G60" s="150"/>
      <c r="H60" s="152">
        <v>8847</v>
      </c>
      <c r="I60" s="153"/>
      <c r="J60" s="150" t="s">
        <v>873</v>
      </c>
      <c r="K60" s="150"/>
      <c r="L60" s="150" t="s">
        <v>10</v>
      </c>
      <c r="M60" s="150" t="s">
        <v>10</v>
      </c>
      <c r="N60" s="154">
        <v>1</v>
      </c>
      <c r="O60" s="153"/>
    </row>
    <row r="61" spans="1:15" ht="11.1" customHeight="1" x14ac:dyDescent="0.2">
      <c r="A61" s="150" t="s">
        <v>912</v>
      </c>
      <c r="B61" s="150" t="s">
        <v>913</v>
      </c>
      <c r="C61" s="151">
        <v>14</v>
      </c>
      <c r="D61" s="150" t="s">
        <v>914</v>
      </c>
      <c r="E61" s="150"/>
      <c r="F61" s="150" t="s">
        <v>899</v>
      </c>
      <c r="G61" s="150"/>
      <c r="H61" s="152">
        <v>8060</v>
      </c>
      <c r="I61" s="153"/>
      <c r="J61" s="150" t="s">
        <v>873</v>
      </c>
      <c r="K61" s="150"/>
      <c r="L61" s="150" t="s">
        <v>10</v>
      </c>
      <c r="M61" s="150" t="s">
        <v>10</v>
      </c>
      <c r="N61" s="154">
        <v>1</v>
      </c>
      <c r="O61" s="153"/>
    </row>
    <row r="62" spans="1:15" ht="11.1" customHeight="1" x14ac:dyDescent="0.2">
      <c r="A62" s="150" t="s">
        <v>912</v>
      </c>
      <c r="B62" s="150" t="s">
        <v>913</v>
      </c>
      <c r="C62" s="151">
        <v>28</v>
      </c>
      <c r="D62" s="150" t="s">
        <v>914</v>
      </c>
      <c r="E62" s="150"/>
      <c r="F62" s="150" t="s">
        <v>900</v>
      </c>
      <c r="G62" s="150"/>
      <c r="H62" s="152">
        <v>10076</v>
      </c>
      <c r="I62" s="153"/>
      <c r="J62" s="150" t="s">
        <v>873</v>
      </c>
      <c r="K62" s="150"/>
      <c r="L62" s="150" t="s">
        <v>10</v>
      </c>
      <c r="M62" s="150" t="s">
        <v>10</v>
      </c>
      <c r="N62" s="154">
        <v>1</v>
      </c>
      <c r="O62" s="153"/>
    </row>
    <row r="63" spans="1:15" ht="11.1" customHeight="1" x14ac:dyDescent="0.2">
      <c r="A63" s="150" t="s">
        <v>912</v>
      </c>
      <c r="B63" s="150" t="s">
        <v>913</v>
      </c>
      <c r="C63" s="151">
        <v>31</v>
      </c>
      <c r="D63" s="150" t="s">
        <v>914</v>
      </c>
      <c r="E63" s="150"/>
      <c r="F63" s="150" t="s">
        <v>901</v>
      </c>
      <c r="G63" s="150"/>
      <c r="H63" s="152">
        <v>7700</v>
      </c>
      <c r="I63" s="153"/>
      <c r="J63" s="150" t="s">
        <v>873</v>
      </c>
      <c r="K63" s="150"/>
      <c r="L63" s="150" t="s">
        <v>10</v>
      </c>
      <c r="M63" s="150" t="s">
        <v>10</v>
      </c>
      <c r="N63" s="154">
        <v>1</v>
      </c>
      <c r="O63" s="153"/>
    </row>
    <row r="64" spans="1:15" ht="11.1" customHeight="1" x14ac:dyDescent="0.2">
      <c r="A64" s="150" t="s">
        <v>912</v>
      </c>
      <c r="B64" s="150" t="s">
        <v>913</v>
      </c>
      <c r="C64" s="151">
        <v>29</v>
      </c>
      <c r="D64" s="150" t="s">
        <v>914</v>
      </c>
      <c r="E64" s="150"/>
      <c r="F64" s="150" t="s">
        <v>903</v>
      </c>
      <c r="G64" s="150"/>
      <c r="H64" s="152">
        <v>4682</v>
      </c>
      <c r="I64" s="153"/>
      <c r="J64" s="150" t="s">
        <v>873</v>
      </c>
      <c r="K64" s="150"/>
      <c r="L64" s="150" t="s">
        <v>71</v>
      </c>
      <c r="M64" s="150" t="s">
        <v>10</v>
      </c>
      <c r="N64" s="154">
        <v>1</v>
      </c>
      <c r="O64" s="153"/>
    </row>
    <row r="65" spans="1:15" ht="11.1" customHeight="1" x14ac:dyDescent="0.2">
      <c r="A65" s="150" t="s">
        <v>912</v>
      </c>
      <c r="B65" s="150" t="s">
        <v>913</v>
      </c>
      <c r="C65" s="151">
        <v>30</v>
      </c>
      <c r="D65" s="150" t="s">
        <v>914</v>
      </c>
      <c r="E65" s="150" t="s">
        <v>902</v>
      </c>
      <c r="F65" s="150" t="s">
        <v>891</v>
      </c>
      <c r="G65" s="150"/>
      <c r="H65" s="152">
        <v>5339</v>
      </c>
      <c r="I65" s="153"/>
      <c r="J65" s="150" t="s">
        <v>873</v>
      </c>
      <c r="K65" s="150"/>
      <c r="L65" s="150" t="s">
        <v>71</v>
      </c>
      <c r="M65" s="150" t="s">
        <v>10</v>
      </c>
      <c r="N65" s="154">
        <v>1</v>
      </c>
      <c r="O65" s="153"/>
    </row>
    <row r="66" spans="1:15" ht="11.1" customHeight="1" x14ac:dyDescent="0.2">
      <c r="A66" s="150" t="s">
        <v>915</v>
      </c>
      <c r="B66" s="150" t="s">
        <v>916</v>
      </c>
      <c r="C66" s="151">
        <v>1</v>
      </c>
      <c r="D66" s="150" t="s">
        <v>917</v>
      </c>
      <c r="E66" s="150"/>
      <c r="F66" s="150" t="s">
        <v>907</v>
      </c>
      <c r="G66" s="150"/>
      <c r="H66" s="152">
        <v>8813.5</v>
      </c>
      <c r="I66" s="153"/>
      <c r="J66" s="150" t="s">
        <v>908</v>
      </c>
      <c r="K66" s="150" t="s">
        <v>918</v>
      </c>
      <c r="L66" s="150" t="s">
        <v>10</v>
      </c>
      <c r="M66" s="150" t="s">
        <v>10</v>
      </c>
      <c r="N66" s="154">
        <v>1</v>
      </c>
      <c r="O66" s="153"/>
    </row>
    <row r="67" spans="1:15" ht="11.1" customHeight="1" x14ac:dyDescent="0.2">
      <c r="A67" s="150" t="s">
        <v>915</v>
      </c>
      <c r="B67" s="150" t="s">
        <v>916</v>
      </c>
      <c r="C67" s="151">
        <v>2</v>
      </c>
      <c r="D67" s="150" t="s">
        <v>917</v>
      </c>
      <c r="E67" s="150"/>
      <c r="F67" s="150" t="s">
        <v>919</v>
      </c>
      <c r="G67" s="150"/>
      <c r="H67" s="152">
        <v>3470</v>
      </c>
      <c r="I67" s="153"/>
      <c r="J67" s="150" t="s">
        <v>920</v>
      </c>
      <c r="K67" s="150" t="s">
        <v>918</v>
      </c>
      <c r="L67" s="150" t="s">
        <v>10</v>
      </c>
      <c r="M67" s="150" t="s">
        <v>10</v>
      </c>
      <c r="N67" s="154">
        <v>1</v>
      </c>
      <c r="O67" s="153"/>
    </row>
    <row r="68" spans="1:15" ht="11.1" customHeight="1" x14ac:dyDescent="0.2">
      <c r="A68" s="150" t="s">
        <v>915</v>
      </c>
      <c r="B68" s="150" t="s">
        <v>921</v>
      </c>
      <c r="C68" s="151">
        <v>1</v>
      </c>
      <c r="D68" s="150" t="s">
        <v>922</v>
      </c>
      <c r="E68" s="150"/>
      <c r="F68" s="150" t="s">
        <v>907</v>
      </c>
      <c r="G68" s="150"/>
      <c r="H68" s="152">
        <v>6340.2</v>
      </c>
      <c r="I68" s="153"/>
      <c r="J68" s="150" t="s">
        <v>908</v>
      </c>
      <c r="K68" s="150" t="s">
        <v>923</v>
      </c>
      <c r="L68" s="150" t="s">
        <v>10</v>
      </c>
      <c r="M68" s="150" t="s">
        <v>10</v>
      </c>
      <c r="N68" s="154">
        <v>1</v>
      </c>
      <c r="O68" s="153"/>
    </row>
    <row r="69" spans="1:15" ht="11.1" customHeight="1" x14ac:dyDescent="0.2">
      <c r="A69" s="150" t="s">
        <v>924</v>
      </c>
      <c r="B69" s="150" t="s">
        <v>925</v>
      </c>
      <c r="C69" s="151">
        <v>1</v>
      </c>
      <c r="D69" s="150" t="s">
        <v>926</v>
      </c>
      <c r="E69" s="150"/>
      <c r="F69" s="150" t="s">
        <v>927</v>
      </c>
      <c r="G69" s="150"/>
      <c r="H69" s="152">
        <v>3094</v>
      </c>
      <c r="I69" s="153"/>
      <c r="J69" s="150" t="s">
        <v>873</v>
      </c>
      <c r="K69" s="150"/>
      <c r="L69" s="150" t="s">
        <v>10</v>
      </c>
      <c r="M69" s="150" t="s">
        <v>10</v>
      </c>
      <c r="N69" s="154">
        <v>1</v>
      </c>
      <c r="O69" s="153"/>
    </row>
    <row r="70" spans="1:15" ht="11.1" customHeight="1" x14ac:dyDescent="0.2">
      <c r="A70" s="150" t="s">
        <v>924</v>
      </c>
      <c r="B70" s="150" t="s">
        <v>928</v>
      </c>
      <c r="C70" s="151">
        <v>1</v>
      </c>
      <c r="D70" s="150" t="s">
        <v>3</v>
      </c>
      <c r="E70" s="150"/>
      <c r="F70" s="150" t="s">
        <v>907</v>
      </c>
      <c r="G70" s="150"/>
      <c r="H70" s="152">
        <v>2350</v>
      </c>
      <c r="I70" s="153"/>
      <c r="J70" s="150" t="s">
        <v>920</v>
      </c>
      <c r="K70" s="150" t="s">
        <v>929</v>
      </c>
      <c r="L70" s="150" t="s">
        <v>10</v>
      </c>
      <c r="M70" s="150" t="s">
        <v>10</v>
      </c>
      <c r="N70" s="154">
        <v>1</v>
      </c>
      <c r="O70" s="153"/>
    </row>
    <row r="71" spans="1:15" ht="11.1" customHeight="1" x14ac:dyDescent="0.2">
      <c r="A71" s="150" t="s">
        <v>924</v>
      </c>
      <c r="B71" s="150" t="s">
        <v>928</v>
      </c>
      <c r="C71" s="151">
        <v>2</v>
      </c>
      <c r="D71" s="150" t="s">
        <v>3</v>
      </c>
      <c r="E71" s="150"/>
      <c r="F71" s="150" t="s">
        <v>919</v>
      </c>
      <c r="G71" s="150"/>
      <c r="H71" s="152">
        <v>2620</v>
      </c>
      <c r="I71" s="153"/>
      <c r="J71" s="150" t="s">
        <v>920</v>
      </c>
      <c r="K71" s="150" t="s">
        <v>929</v>
      </c>
      <c r="L71" s="150" t="s">
        <v>10</v>
      </c>
      <c r="M71" s="150" t="s">
        <v>10</v>
      </c>
      <c r="N71" s="154">
        <v>1</v>
      </c>
      <c r="O71" s="153"/>
    </row>
    <row r="72" spans="1:15" ht="11.1" customHeight="1" x14ac:dyDescent="0.2">
      <c r="A72" s="150" t="s">
        <v>924</v>
      </c>
      <c r="B72" s="150" t="s">
        <v>930</v>
      </c>
      <c r="C72" s="151">
        <v>1</v>
      </c>
      <c r="D72" s="150" t="s">
        <v>0</v>
      </c>
      <c r="E72" s="150"/>
      <c r="F72" s="150" t="s">
        <v>907</v>
      </c>
      <c r="G72" s="150"/>
      <c r="H72" s="152">
        <v>2350</v>
      </c>
      <c r="I72" s="153"/>
      <c r="J72" s="150" t="s">
        <v>920</v>
      </c>
      <c r="K72" s="150" t="s">
        <v>931</v>
      </c>
      <c r="L72" s="150" t="s">
        <v>10</v>
      </c>
      <c r="M72" s="150" t="s">
        <v>10</v>
      </c>
      <c r="N72" s="154">
        <v>1</v>
      </c>
      <c r="O72" s="153"/>
    </row>
    <row r="73" spans="1:15" ht="11.1" customHeight="1" x14ac:dyDescent="0.2">
      <c r="A73" s="150" t="s">
        <v>924</v>
      </c>
      <c r="B73" s="150" t="s">
        <v>930</v>
      </c>
      <c r="C73" s="151">
        <v>2</v>
      </c>
      <c r="D73" s="150" t="s">
        <v>0</v>
      </c>
      <c r="E73" s="150"/>
      <c r="F73" s="150" t="s">
        <v>919</v>
      </c>
      <c r="G73" s="150"/>
      <c r="H73" s="152">
        <v>2620</v>
      </c>
      <c r="I73" s="153"/>
      <c r="J73" s="150" t="s">
        <v>920</v>
      </c>
      <c r="K73" s="150" t="s">
        <v>931</v>
      </c>
      <c r="L73" s="150" t="s">
        <v>10</v>
      </c>
      <c r="M73" s="150" t="s">
        <v>10</v>
      </c>
      <c r="N73" s="154">
        <v>1</v>
      </c>
      <c r="O73" s="153"/>
    </row>
    <row r="74" spans="1:15" ht="11.1" customHeight="1" x14ac:dyDescent="0.2">
      <c r="A74" s="150" t="s">
        <v>924</v>
      </c>
      <c r="B74" s="150" t="s">
        <v>932</v>
      </c>
      <c r="C74" s="151">
        <v>1</v>
      </c>
      <c r="D74" s="150" t="s">
        <v>11</v>
      </c>
      <c r="E74" s="150"/>
      <c r="F74" s="150" t="s">
        <v>907</v>
      </c>
      <c r="G74" s="150"/>
      <c r="H74" s="152">
        <v>2350</v>
      </c>
      <c r="I74" s="153"/>
      <c r="J74" s="150" t="s">
        <v>920</v>
      </c>
      <c r="K74" s="150" t="s">
        <v>931</v>
      </c>
      <c r="L74" s="150" t="s">
        <v>10</v>
      </c>
      <c r="M74" s="150" t="s">
        <v>10</v>
      </c>
      <c r="N74" s="154">
        <v>1</v>
      </c>
      <c r="O74" s="153"/>
    </row>
    <row r="75" spans="1:15" ht="11.1" customHeight="1" x14ac:dyDescent="0.2">
      <c r="A75" s="150" t="s">
        <v>924</v>
      </c>
      <c r="B75" s="150" t="s">
        <v>932</v>
      </c>
      <c r="C75" s="151">
        <v>2</v>
      </c>
      <c r="D75" s="150" t="s">
        <v>11</v>
      </c>
      <c r="E75" s="150"/>
      <c r="F75" s="150" t="s">
        <v>919</v>
      </c>
      <c r="G75" s="150"/>
      <c r="H75" s="152">
        <v>2620</v>
      </c>
      <c r="I75" s="153"/>
      <c r="J75" s="150" t="s">
        <v>920</v>
      </c>
      <c r="K75" s="150" t="s">
        <v>931</v>
      </c>
      <c r="L75" s="150" t="s">
        <v>10</v>
      </c>
      <c r="M75" s="150" t="s">
        <v>10</v>
      </c>
      <c r="N75" s="154">
        <v>1</v>
      </c>
      <c r="O75" s="153"/>
    </row>
    <row r="76" spans="1:15" ht="11.1" customHeight="1" x14ac:dyDescent="0.2">
      <c r="A76" s="150" t="s">
        <v>924</v>
      </c>
      <c r="B76" s="150" t="s">
        <v>933</v>
      </c>
      <c r="C76" s="151">
        <v>1</v>
      </c>
      <c r="D76" s="150" t="s">
        <v>12</v>
      </c>
      <c r="E76" s="150"/>
      <c r="F76" s="150" t="s">
        <v>907</v>
      </c>
      <c r="G76" s="150"/>
      <c r="H76" s="152">
        <v>2380</v>
      </c>
      <c r="I76" s="153"/>
      <c r="J76" s="150" t="s">
        <v>920</v>
      </c>
      <c r="K76" s="150" t="s">
        <v>934</v>
      </c>
      <c r="L76" s="150" t="s">
        <v>10</v>
      </c>
      <c r="M76" s="150" t="s">
        <v>10</v>
      </c>
      <c r="N76" s="154">
        <v>1</v>
      </c>
      <c r="O76" s="153"/>
    </row>
    <row r="77" spans="1:15" ht="11.1" customHeight="1" x14ac:dyDescent="0.2">
      <c r="A77" s="150" t="s">
        <v>924</v>
      </c>
      <c r="B77" s="150" t="s">
        <v>933</v>
      </c>
      <c r="C77" s="151">
        <v>2</v>
      </c>
      <c r="D77" s="150" t="s">
        <v>12</v>
      </c>
      <c r="E77" s="150"/>
      <c r="F77" s="150" t="s">
        <v>919</v>
      </c>
      <c r="G77" s="150"/>
      <c r="H77" s="152">
        <v>2690</v>
      </c>
      <c r="I77" s="153"/>
      <c r="J77" s="150" t="s">
        <v>920</v>
      </c>
      <c r="K77" s="150" t="s">
        <v>934</v>
      </c>
      <c r="L77" s="150" t="s">
        <v>10</v>
      </c>
      <c r="M77" s="150" t="s">
        <v>10</v>
      </c>
      <c r="N77" s="154">
        <v>1</v>
      </c>
      <c r="O77" s="153"/>
    </row>
    <row r="78" spans="1:15" ht="11.1" customHeight="1" x14ac:dyDescent="0.2">
      <c r="A78" s="150" t="s">
        <v>924</v>
      </c>
      <c r="B78" s="150" t="s">
        <v>935</v>
      </c>
      <c r="C78" s="151">
        <v>1</v>
      </c>
      <c r="D78" s="150" t="s">
        <v>13</v>
      </c>
      <c r="E78" s="150"/>
      <c r="F78" s="150" t="s">
        <v>907</v>
      </c>
      <c r="G78" s="150"/>
      <c r="H78" s="152">
        <v>2380</v>
      </c>
      <c r="I78" s="153"/>
      <c r="J78" s="150" t="s">
        <v>920</v>
      </c>
      <c r="K78" s="150" t="s">
        <v>936</v>
      </c>
      <c r="L78" s="150" t="s">
        <v>10</v>
      </c>
      <c r="M78" s="150" t="s">
        <v>10</v>
      </c>
      <c r="N78" s="154">
        <v>1</v>
      </c>
      <c r="O78" s="153"/>
    </row>
    <row r="79" spans="1:15" ht="11.1" customHeight="1" x14ac:dyDescent="0.2">
      <c r="A79" s="150" t="s">
        <v>924</v>
      </c>
      <c r="B79" s="150" t="s">
        <v>935</v>
      </c>
      <c r="C79" s="151">
        <v>2</v>
      </c>
      <c r="D79" s="150" t="s">
        <v>13</v>
      </c>
      <c r="E79" s="150"/>
      <c r="F79" s="150" t="s">
        <v>919</v>
      </c>
      <c r="G79" s="150"/>
      <c r="H79" s="152">
        <v>2690</v>
      </c>
      <c r="I79" s="153"/>
      <c r="J79" s="150" t="s">
        <v>920</v>
      </c>
      <c r="K79" s="150" t="s">
        <v>936</v>
      </c>
      <c r="L79" s="150" t="s">
        <v>10</v>
      </c>
      <c r="M79" s="150" t="s">
        <v>10</v>
      </c>
      <c r="N79" s="154">
        <v>1</v>
      </c>
      <c r="O79" s="153"/>
    </row>
    <row r="80" spans="1:15" ht="11.1" customHeight="1" x14ac:dyDescent="0.2">
      <c r="A80" s="150" t="s">
        <v>924</v>
      </c>
      <c r="B80" s="150" t="s">
        <v>937</v>
      </c>
      <c r="C80" s="151">
        <v>1</v>
      </c>
      <c r="D80" s="150" t="s">
        <v>129</v>
      </c>
      <c r="E80" s="150"/>
      <c r="F80" s="150" t="s">
        <v>907</v>
      </c>
      <c r="G80" s="150"/>
      <c r="H80" s="152">
        <v>3200</v>
      </c>
      <c r="I80" s="153"/>
      <c r="J80" s="150" t="s">
        <v>920</v>
      </c>
      <c r="K80" s="150" t="s">
        <v>938</v>
      </c>
      <c r="L80" s="150" t="s">
        <v>10</v>
      </c>
      <c r="M80" s="150" t="s">
        <v>10</v>
      </c>
      <c r="N80" s="154">
        <v>1</v>
      </c>
      <c r="O80" s="153"/>
    </row>
    <row r="81" spans="1:15" ht="11.1" customHeight="1" x14ac:dyDescent="0.2">
      <c r="A81" s="150" t="s">
        <v>924</v>
      </c>
      <c r="B81" s="150" t="s">
        <v>937</v>
      </c>
      <c r="C81" s="151">
        <v>2</v>
      </c>
      <c r="D81" s="150" t="s">
        <v>129</v>
      </c>
      <c r="E81" s="150"/>
      <c r="F81" s="150" t="s">
        <v>919</v>
      </c>
      <c r="G81" s="150"/>
      <c r="H81" s="152">
        <v>3630</v>
      </c>
      <c r="I81" s="153"/>
      <c r="J81" s="150" t="s">
        <v>920</v>
      </c>
      <c r="K81" s="150" t="s">
        <v>938</v>
      </c>
      <c r="L81" s="150" t="s">
        <v>10</v>
      </c>
      <c r="M81" s="150" t="s">
        <v>10</v>
      </c>
      <c r="N81" s="154">
        <v>1</v>
      </c>
      <c r="O81" s="153"/>
    </row>
    <row r="82" spans="1:15" ht="11.1" customHeight="1" x14ac:dyDescent="0.2">
      <c r="A82" s="150" t="s">
        <v>924</v>
      </c>
      <c r="B82" s="150" t="s">
        <v>939</v>
      </c>
      <c r="C82" s="151">
        <v>1</v>
      </c>
      <c r="D82" s="150" t="s">
        <v>131</v>
      </c>
      <c r="E82" s="150"/>
      <c r="F82" s="150" t="s">
        <v>907</v>
      </c>
      <c r="G82" s="150"/>
      <c r="H82" s="152">
        <v>2980</v>
      </c>
      <c r="I82" s="153"/>
      <c r="J82" s="150" t="s">
        <v>920</v>
      </c>
      <c r="K82" s="150" t="s">
        <v>940</v>
      </c>
      <c r="L82" s="150" t="s">
        <v>10</v>
      </c>
      <c r="M82" s="150" t="s">
        <v>10</v>
      </c>
      <c r="N82" s="154">
        <v>1</v>
      </c>
      <c r="O82" s="153"/>
    </row>
    <row r="83" spans="1:15" ht="11.1" customHeight="1" x14ac:dyDescent="0.2">
      <c r="A83" s="150" t="s">
        <v>924</v>
      </c>
      <c r="B83" s="150" t="s">
        <v>939</v>
      </c>
      <c r="C83" s="151">
        <v>2</v>
      </c>
      <c r="D83" s="150" t="s">
        <v>131</v>
      </c>
      <c r="E83" s="150"/>
      <c r="F83" s="150" t="s">
        <v>919</v>
      </c>
      <c r="G83" s="150"/>
      <c r="H83" s="152">
        <v>3420</v>
      </c>
      <c r="I83" s="153"/>
      <c r="J83" s="150" t="s">
        <v>920</v>
      </c>
      <c r="K83" s="150" t="s">
        <v>940</v>
      </c>
      <c r="L83" s="150" t="s">
        <v>10</v>
      </c>
      <c r="M83" s="150" t="s">
        <v>10</v>
      </c>
      <c r="N83" s="154">
        <v>1</v>
      </c>
      <c r="O83" s="153"/>
    </row>
    <row r="84" spans="1:15" ht="11.1" customHeight="1" x14ac:dyDescent="0.2">
      <c r="A84" s="150" t="s">
        <v>924</v>
      </c>
      <c r="B84" s="150" t="s">
        <v>941</v>
      </c>
      <c r="C84" s="151">
        <v>1</v>
      </c>
      <c r="D84" s="150" t="s">
        <v>14</v>
      </c>
      <c r="E84" s="150"/>
      <c r="F84" s="150" t="s">
        <v>907</v>
      </c>
      <c r="G84" s="150"/>
      <c r="H84" s="152">
        <v>2640</v>
      </c>
      <c r="I84" s="153"/>
      <c r="J84" s="150" t="s">
        <v>920</v>
      </c>
      <c r="K84" s="150" t="s">
        <v>942</v>
      </c>
      <c r="L84" s="150" t="s">
        <v>10</v>
      </c>
      <c r="M84" s="150" t="s">
        <v>10</v>
      </c>
      <c r="N84" s="154">
        <v>1</v>
      </c>
      <c r="O84" s="153"/>
    </row>
    <row r="85" spans="1:15" ht="11.1" customHeight="1" x14ac:dyDescent="0.2">
      <c r="A85" s="150" t="s">
        <v>924</v>
      </c>
      <c r="B85" s="150" t="s">
        <v>941</v>
      </c>
      <c r="C85" s="151">
        <v>2</v>
      </c>
      <c r="D85" s="150" t="s">
        <v>14</v>
      </c>
      <c r="E85" s="150"/>
      <c r="F85" s="150" t="s">
        <v>919</v>
      </c>
      <c r="G85" s="150"/>
      <c r="H85" s="152">
        <v>2940</v>
      </c>
      <c r="I85" s="153"/>
      <c r="J85" s="150" t="s">
        <v>920</v>
      </c>
      <c r="K85" s="150" t="s">
        <v>942</v>
      </c>
      <c r="L85" s="150" t="s">
        <v>10</v>
      </c>
      <c r="M85" s="150" t="s">
        <v>10</v>
      </c>
      <c r="N85" s="154">
        <v>1</v>
      </c>
      <c r="O85" s="153"/>
    </row>
    <row r="86" spans="1:15" ht="11.1" customHeight="1" x14ac:dyDescent="0.2">
      <c r="A86" s="150" t="s">
        <v>924</v>
      </c>
      <c r="B86" s="150" t="s">
        <v>943</v>
      </c>
      <c r="C86" s="151">
        <v>1</v>
      </c>
      <c r="D86" s="150" t="s">
        <v>15</v>
      </c>
      <c r="E86" s="150"/>
      <c r="F86" s="150" t="s">
        <v>907</v>
      </c>
      <c r="G86" s="150"/>
      <c r="H86" s="152">
        <v>3510</v>
      </c>
      <c r="I86" s="153"/>
      <c r="J86" s="150" t="s">
        <v>920</v>
      </c>
      <c r="K86" s="150" t="s">
        <v>942</v>
      </c>
      <c r="L86" s="150" t="s">
        <v>10</v>
      </c>
      <c r="M86" s="150" t="s">
        <v>10</v>
      </c>
      <c r="N86" s="154">
        <v>1</v>
      </c>
      <c r="O86" s="153"/>
    </row>
    <row r="87" spans="1:15" ht="11.1" customHeight="1" x14ac:dyDescent="0.2">
      <c r="A87" s="150" t="s">
        <v>924</v>
      </c>
      <c r="B87" s="150" t="s">
        <v>943</v>
      </c>
      <c r="C87" s="151">
        <v>2</v>
      </c>
      <c r="D87" s="150" t="s">
        <v>15</v>
      </c>
      <c r="E87" s="150"/>
      <c r="F87" s="150" t="s">
        <v>919</v>
      </c>
      <c r="G87" s="150"/>
      <c r="H87" s="152">
        <v>3880</v>
      </c>
      <c r="I87" s="153"/>
      <c r="J87" s="150" t="s">
        <v>920</v>
      </c>
      <c r="K87" s="150" t="s">
        <v>942</v>
      </c>
      <c r="L87" s="150" t="s">
        <v>10</v>
      </c>
      <c r="M87" s="150" t="s">
        <v>10</v>
      </c>
      <c r="N87" s="154">
        <v>1</v>
      </c>
      <c r="O87" s="153"/>
    </row>
    <row r="88" spans="1:15" ht="11.1" customHeight="1" x14ac:dyDescent="0.2">
      <c r="A88" s="150" t="s">
        <v>924</v>
      </c>
      <c r="B88" s="150" t="s">
        <v>944</v>
      </c>
      <c r="C88" s="151">
        <v>1</v>
      </c>
      <c r="D88" s="150" t="s">
        <v>1</v>
      </c>
      <c r="E88" s="150"/>
      <c r="F88" s="150" t="s">
        <v>907</v>
      </c>
      <c r="G88" s="150"/>
      <c r="H88" s="152">
        <v>3060</v>
      </c>
      <c r="I88" s="153"/>
      <c r="J88" s="150" t="s">
        <v>920</v>
      </c>
      <c r="K88" s="150" t="s">
        <v>942</v>
      </c>
      <c r="L88" s="150" t="s">
        <v>10</v>
      </c>
      <c r="M88" s="150" t="s">
        <v>10</v>
      </c>
      <c r="N88" s="154">
        <v>1</v>
      </c>
      <c r="O88" s="153"/>
    </row>
    <row r="89" spans="1:15" ht="11.1" customHeight="1" x14ac:dyDescent="0.2">
      <c r="A89" s="150" t="s">
        <v>924</v>
      </c>
      <c r="B89" s="150" t="s">
        <v>944</v>
      </c>
      <c r="C89" s="151">
        <v>2</v>
      </c>
      <c r="D89" s="150" t="s">
        <v>1</v>
      </c>
      <c r="E89" s="150"/>
      <c r="F89" s="150" t="s">
        <v>919</v>
      </c>
      <c r="G89" s="150"/>
      <c r="H89" s="152">
        <v>3420</v>
      </c>
      <c r="I89" s="153"/>
      <c r="J89" s="150" t="s">
        <v>920</v>
      </c>
      <c r="K89" s="150" t="s">
        <v>942</v>
      </c>
      <c r="L89" s="150" t="s">
        <v>10</v>
      </c>
      <c r="M89" s="150" t="s">
        <v>10</v>
      </c>
      <c r="N89" s="154">
        <v>1</v>
      </c>
      <c r="O89" s="153"/>
    </row>
    <row r="90" spans="1:15" ht="11.1" customHeight="1" x14ac:dyDescent="0.2">
      <c r="A90" s="150" t="s">
        <v>924</v>
      </c>
      <c r="B90" s="150" t="s">
        <v>945</v>
      </c>
      <c r="C90" s="151">
        <v>1</v>
      </c>
      <c r="D90" s="150" t="s">
        <v>16</v>
      </c>
      <c r="E90" s="150"/>
      <c r="F90" s="150" t="s">
        <v>907</v>
      </c>
      <c r="G90" s="150"/>
      <c r="H90" s="152">
        <v>2960</v>
      </c>
      <c r="I90" s="153"/>
      <c r="J90" s="150" t="s">
        <v>920</v>
      </c>
      <c r="K90" s="150" t="s">
        <v>942</v>
      </c>
      <c r="L90" s="150" t="s">
        <v>10</v>
      </c>
      <c r="M90" s="150" t="s">
        <v>10</v>
      </c>
      <c r="N90" s="154">
        <v>1</v>
      </c>
      <c r="O90" s="153"/>
    </row>
    <row r="91" spans="1:15" ht="11.1" customHeight="1" x14ac:dyDescent="0.2">
      <c r="A91" s="150" t="s">
        <v>924</v>
      </c>
      <c r="B91" s="150" t="s">
        <v>945</v>
      </c>
      <c r="C91" s="151">
        <v>2</v>
      </c>
      <c r="D91" s="150" t="s">
        <v>16</v>
      </c>
      <c r="E91" s="150"/>
      <c r="F91" s="150" t="s">
        <v>919</v>
      </c>
      <c r="G91" s="150"/>
      <c r="H91" s="152">
        <v>3290</v>
      </c>
      <c r="I91" s="153"/>
      <c r="J91" s="150" t="s">
        <v>920</v>
      </c>
      <c r="K91" s="150" t="s">
        <v>942</v>
      </c>
      <c r="L91" s="150" t="s">
        <v>10</v>
      </c>
      <c r="M91" s="150" t="s">
        <v>10</v>
      </c>
      <c r="N91" s="154">
        <v>1</v>
      </c>
      <c r="O91" s="153"/>
    </row>
    <row r="92" spans="1:15" ht="11.1" customHeight="1" x14ac:dyDescent="0.2">
      <c r="A92" s="150" t="s">
        <v>924</v>
      </c>
      <c r="B92" s="150" t="s">
        <v>946</v>
      </c>
      <c r="C92" s="151">
        <v>1</v>
      </c>
      <c r="D92" s="150" t="s">
        <v>17</v>
      </c>
      <c r="E92" s="150"/>
      <c r="F92" s="150" t="s">
        <v>907</v>
      </c>
      <c r="G92" s="150"/>
      <c r="H92" s="152">
        <v>2760</v>
      </c>
      <c r="I92" s="153"/>
      <c r="J92" s="150" t="s">
        <v>920</v>
      </c>
      <c r="K92" s="150" t="s">
        <v>947</v>
      </c>
      <c r="L92" s="150" t="s">
        <v>10</v>
      </c>
      <c r="M92" s="150" t="s">
        <v>10</v>
      </c>
      <c r="N92" s="154">
        <v>1</v>
      </c>
      <c r="O92" s="153"/>
    </row>
    <row r="93" spans="1:15" ht="11.1" customHeight="1" x14ac:dyDescent="0.2">
      <c r="A93" s="150" t="s">
        <v>924</v>
      </c>
      <c r="B93" s="150" t="s">
        <v>946</v>
      </c>
      <c r="C93" s="151">
        <v>2</v>
      </c>
      <c r="D93" s="150" t="s">
        <v>17</v>
      </c>
      <c r="E93" s="150"/>
      <c r="F93" s="150" t="s">
        <v>919</v>
      </c>
      <c r="G93" s="150"/>
      <c r="H93" s="152">
        <v>3190</v>
      </c>
      <c r="I93" s="153"/>
      <c r="J93" s="150" t="s">
        <v>920</v>
      </c>
      <c r="K93" s="150" t="s">
        <v>947</v>
      </c>
      <c r="L93" s="150" t="s">
        <v>10</v>
      </c>
      <c r="M93" s="150" t="s">
        <v>10</v>
      </c>
      <c r="N93" s="154">
        <v>1</v>
      </c>
      <c r="O93" s="153"/>
    </row>
    <row r="94" spans="1:15" ht="11.1" customHeight="1" x14ac:dyDescent="0.2">
      <c r="A94" s="150" t="s">
        <v>924</v>
      </c>
      <c r="B94" s="150" t="s">
        <v>948</v>
      </c>
      <c r="C94" s="151">
        <v>1</v>
      </c>
      <c r="D94" s="150" t="s">
        <v>84</v>
      </c>
      <c r="E94" s="150"/>
      <c r="F94" s="150" t="s">
        <v>907</v>
      </c>
      <c r="G94" s="150"/>
      <c r="H94" s="152">
        <v>2640</v>
      </c>
      <c r="I94" s="153"/>
      <c r="J94" s="150" t="s">
        <v>920</v>
      </c>
      <c r="K94" s="150" t="s">
        <v>942</v>
      </c>
      <c r="L94" s="150" t="s">
        <v>10</v>
      </c>
      <c r="M94" s="150" t="s">
        <v>10</v>
      </c>
      <c r="N94" s="154">
        <v>1</v>
      </c>
      <c r="O94" s="153"/>
    </row>
    <row r="95" spans="1:15" ht="11.1" customHeight="1" x14ac:dyDescent="0.2">
      <c r="A95" s="150" t="s">
        <v>924</v>
      </c>
      <c r="B95" s="150" t="s">
        <v>948</v>
      </c>
      <c r="C95" s="151">
        <v>2</v>
      </c>
      <c r="D95" s="150" t="s">
        <v>84</v>
      </c>
      <c r="E95" s="150"/>
      <c r="F95" s="150" t="s">
        <v>919</v>
      </c>
      <c r="G95" s="150"/>
      <c r="H95" s="152">
        <v>2940</v>
      </c>
      <c r="I95" s="153"/>
      <c r="J95" s="150" t="s">
        <v>920</v>
      </c>
      <c r="K95" s="150" t="s">
        <v>942</v>
      </c>
      <c r="L95" s="150" t="s">
        <v>10</v>
      </c>
      <c r="M95" s="150" t="s">
        <v>10</v>
      </c>
      <c r="N95" s="154">
        <v>1</v>
      </c>
      <c r="O95" s="153"/>
    </row>
    <row r="96" spans="1:15" ht="11.1" customHeight="1" x14ac:dyDescent="0.2">
      <c r="A96" s="150" t="s">
        <v>924</v>
      </c>
      <c r="B96" s="150" t="s">
        <v>949</v>
      </c>
      <c r="C96" s="151">
        <v>1</v>
      </c>
      <c r="D96" s="150" t="s">
        <v>19</v>
      </c>
      <c r="E96" s="150"/>
      <c r="F96" s="150" t="s">
        <v>907</v>
      </c>
      <c r="G96" s="150"/>
      <c r="H96" s="152">
        <v>2270</v>
      </c>
      <c r="I96" s="153"/>
      <c r="J96" s="150" t="s">
        <v>920</v>
      </c>
      <c r="K96" s="150" t="s">
        <v>950</v>
      </c>
      <c r="L96" s="150" t="s">
        <v>10</v>
      </c>
      <c r="M96" s="150" t="s">
        <v>10</v>
      </c>
      <c r="N96" s="154">
        <v>1</v>
      </c>
      <c r="O96" s="153"/>
    </row>
    <row r="97" spans="1:15" ht="11.1" customHeight="1" x14ac:dyDescent="0.2">
      <c r="A97" s="150" t="s">
        <v>924</v>
      </c>
      <c r="B97" s="150" t="s">
        <v>949</v>
      </c>
      <c r="C97" s="151">
        <v>2</v>
      </c>
      <c r="D97" s="150" t="s">
        <v>19</v>
      </c>
      <c r="E97" s="150"/>
      <c r="F97" s="150" t="s">
        <v>919</v>
      </c>
      <c r="G97" s="150"/>
      <c r="H97" s="152">
        <v>2540</v>
      </c>
      <c r="I97" s="153"/>
      <c r="J97" s="150" t="s">
        <v>920</v>
      </c>
      <c r="K97" s="150" t="s">
        <v>950</v>
      </c>
      <c r="L97" s="150" t="s">
        <v>10</v>
      </c>
      <c r="M97" s="150" t="s">
        <v>10</v>
      </c>
      <c r="N97" s="154">
        <v>1</v>
      </c>
      <c r="O97" s="153"/>
    </row>
    <row r="98" spans="1:15" ht="11.1" customHeight="1" x14ac:dyDescent="0.2">
      <c r="A98" s="150" t="s">
        <v>924</v>
      </c>
      <c r="B98" s="150" t="s">
        <v>951</v>
      </c>
      <c r="C98" s="151">
        <v>1</v>
      </c>
      <c r="D98" s="150" t="s">
        <v>20</v>
      </c>
      <c r="E98" s="150"/>
      <c r="F98" s="150" t="s">
        <v>907</v>
      </c>
      <c r="G98" s="150"/>
      <c r="H98" s="152">
        <v>2270</v>
      </c>
      <c r="I98" s="153"/>
      <c r="J98" s="150" t="s">
        <v>920</v>
      </c>
      <c r="K98" s="150" t="s">
        <v>950</v>
      </c>
      <c r="L98" s="150" t="s">
        <v>10</v>
      </c>
      <c r="M98" s="150" t="s">
        <v>10</v>
      </c>
      <c r="N98" s="154">
        <v>1</v>
      </c>
      <c r="O98" s="153"/>
    </row>
    <row r="99" spans="1:15" ht="11.1" customHeight="1" x14ac:dyDescent="0.2">
      <c r="A99" s="150" t="s">
        <v>924</v>
      </c>
      <c r="B99" s="150" t="s">
        <v>951</v>
      </c>
      <c r="C99" s="151">
        <v>2</v>
      </c>
      <c r="D99" s="150" t="s">
        <v>20</v>
      </c>
      <c r="E99" s="150"/>
      <c r="F99" s="150" t="s">
        <v>919</v>
      </c>
      <c r="G99" s="150"/>
      <c r="H99" s="152">
        <v>2540</v>
      </c>
      <c r="I99" s="153"/>
      <c r="J99" s="150" t="s">
        <v>920</v>
      </c>
      <c r="K99" s="150" t="s">
        <v>950</v>
      </c>
      <c r="L99" s="150" t="s">
        <v>10</v>
      </c>
      <c r="M99" s="150" t="s">
        <v>10</v>
      </c>
      <c r="N99" s="154">
        <v>1</v>
      </c>
      <c r="O99" s="153"/>
    </row>
    <row r="100" spans="1:15" ht="11.1" customHeight="1" x14ac:dyDescent="0.2">
      <c r="A100" s="150" t="s">
        <v>924</v>
      </c>
      <c r="B100" s="150" t="s">
        <v>952</v>
      </c>
      <c r="C100" s="151">
        <v>1</v>
      </c>
      <c r="D100" s="150" t="s">
        <v>21</v>
      </c>
      <c r="E100" s="150"/>
      <c r="F100" s="150" t="s">
        <v>907</v>
      </c>
      <c r="G100" s="150"/>
      <c r="H100" s="152">
        <v>2538</v>
      </c>
      <c r="I100" s="153"/>
      <c r="J100" s="150" t="s">
        <v>920</v>
      </c>
      <c r="K100" s="150" t="s">
        <v>931</v>
      </c>
      <c r="L100" s="150" t="s">
        <v>10</v>
      </c>
      <c r="M100" s="150" t="s">
        <v>10</v>
      </c>
      <c r="N100" s="154">
        <v>1</v>
      </c>
      <c r="O100" s="153"/>
    </row>
    <row r="101" spans="1:15" ht="11.1" customHeight="1" x14ac:dyDescent="0.2">
      <c r="A101" s="150" t="s">
        <v>924</v>
      </c>
      <c r="B101" s="150" t="s">
        <v>952</v>
      </c>
      <c r="C101" s="151">
        <v>2</v>
      </c>
      <c r="D101" s="150" t="s">
        <v>21</v>
      </c>
      <c r="E101" s="150"/>
      <c r="F101" s="150" t="s">
        <v>919</v>
      </c>
      <c r="G101" s="150"/>
      <c r="H101" s="152">
        <v>2829.6</v>
      </c>
      <c r="I101" s="153"/>
      <c r="J101" s="150" t="s">
        <v>920</v>
      </c>
      <c r="K101" s="150" t="s">
        <v>931</v>
      </c>
      <c r="L101" s="150" t="s">
        <v>10</v>
      </c>
      <c r="M101" s="150" t="s">
        <v>10</v>
      </c>
      <c r="N101" s="154">
        <v>1</v>
      </c>
      <c r="O101" s="153"/>
    </row>
    <row r="102" spans="1:15" ht="11.1" customHeight="1" x14ac:dyDescent="0.2">
      <c r="A102" s="150" t="s">
        <v>924</v>
      </c>
      <c r="B102" s="150" t="s">
        <v>953</v>
      </c>
      <c r="C102" s="151">
        <v>1</v>
      </c>
      <c r="D102" s="150" t="s">
        <v>22</v>
      </c>
      <c r="E102" s="150"/>
      <c r="F102" s="150" t="s">
        <v>907</v>
      </c>
      <c r="G102" s="150"/>
      <c r="H102" s="152">
        <v>2538</v>
      </c>
      <c r="I102" s="153"/>
      <c r="J102" s="150" t="s">
        <v>920</v>
      </c>
      <c r="K102" s="150" t="s">
        <v>931</v>
      </c>
      <c r="L102" s="150" t="s">
        <v>10</v>
      </c>
      <c r="M102" s="150" t="s">
        <v>10</v>
      </c>
      <c r="N102" s="154">
        <v>1</v>
      </c>
      <c r="O102" s="153"/>
    </row>
    <row r="103" spans="1:15" ht="11.1" customHeight="1" x14ac:dyDescent="0.2">
      <c r="A103" s="150" t="s">
        <v>924</v>
      </c>
      <c r="B103" s="150" t="s">
        <v>953</v>
      </c>
      <c r="C103" s="151">
        <v>2</v>
      </c>
      <c r="D103" s="150" t="s">
        <v>22</v>
      </c>
      <c r="E103" s="150"/>
      <c r="F103" s="150" t="s">
        <v>919</v>
      </c>
      <c r="G103" s="150"/>
      <c r="H103" s="152">
        <v>2829.6</v>
      </c>
      <c r="I103" s="153"/>
      <c r="J103" s="150" t="s">
        <v>920</v>
      </c>
      <c r="K103" s="150" t="s">
        <v>931</v>
      </c>
      <c r="L103" s="150" t="s">
        <v>10</v>
      </c>
      <c r="M103" s="150" t="s">
        <v>10</v>
      </c>
      <c r="N103" s="154">
        <v>1</v>
      </c>
      <c r="O103" s="153"/>
    </row>
    <row r="104" spans="1:15" ht="11.1" customHeight="1" x14ac:dyDescent="0.2">
      <c r="A104" s="150" t="s">
        <v>924</v>
      </c>
      <c r="B104" s="150" t="s">
        <v>954</v>
      </c>
      <c r="C104" s="151">
        <v>1</v>
      </c>
      <c r="D104" s="150" t="s">
        <v>955</v>
      </c>
      <c r="E104" s="150"/>
      <c r="F104" s="150" t="s">
        <v>907</v>
      </c>
      <c r="G104" s="150"/>
      <c r="H104" s="152">
        <v>2350</v>
      </c>
      <c r="I104" s="153"/>
      <c r="J104" s="150" t="s">
        <v>920</v>
      </c>
      <c r="K104" s="150" t="s">
        <v>931</v>
      </c>
      <c r="L104" s="150" t="s">
        <v>10</v>
      </c>
      <c r="M104" s="150" t="s">
        <v>10</v>
      </c>
      <c r="N104" s="154">
        <v>1</v>
      </c>
      <c r="O104" s="153"/>
    </row>
    <row r="105" spans="1:15" ht="11.1" customHeight="1" x14ac:dyDescent="0.2">
      <c r="A105" s="150" t="s">
        <v>924</v>
      </c>
      <c r="B105" s="150" t="s">
        <v>954</v>
      </c>
      <c r="C105" s="151">
        <v>2</v>
      </c>
      <c r="D105" s="150" t="s">
        <v>955</v>
      </c>
      <c r="E105" s="150"/>
      <c r="F105" s="150" t="s">
        <v>919</v>
      </c>
      <c r="G105" s="150"/>
      <c r="H105" s="152">
        <v>2620</v>
      </c>
      <c r="I105" s="153"/>
      <c r="J105" s="150" t="s">
        <v>920</v>
      </c>
      <c r="K105" s="150" t="s">
        <v>931</v>
      </c>
      <c r="L105" s="150" t="s">
        <v>10</v>
      </c>
      <c r="M105" s="150" t="s">
        <v>10</v>
      </c>
      <c r="N105" s="154">
        <v>1</v>
      </c>
      <c r="O105" s="153"/>
    </row>
    <row r="106" spans="1:15" ht="11.1" customHeight="1" x14ac:dyDescent="0.2">
      <c r="A106" s="150" t="s">
        <v>924</v>
      </c>
      <c r="B106" s="150" t="s">
        <v>956</v>
      </c>
      <c r="C106" s="151">
        <v>1</v>
      </c>
      <c r="D106" s="150" t="s">
        <v>957</v>
      </c>
      <c r="E106" s="150"/>
      <c r="F106" s="150" t="s">
        <v>907</v>
      </c>
      <c r="G106" s="150"/>
      <c r="H106" s="152">
        <v>2538</v>
      </c>
      <c r="I106" s="153"/>
      <c r="J106" s="150" t="s">
        <v>920</v>
      </c>
      <c r="K106" s="150" t="s">
        <v>931</v>
      </c>
      <c r="L106" s="150" t="s">
        <v>10</v>
      </c>
      <c r="M106" s="150" t="s">
        <v>10</v>
      </c>
      <c r="N106" s="154">
        <v>1</v>
      </c>
      <c r="O106" s="153"/>
    </row>
    <row r="107" spans="1:15" ht="11.1" customHeight="1" x14ac:dyDescent="0.2">
      <c r="A107" s="150" t="s">
        <v>924</v>
      </c>
      <c r="B107" s="150" t="s">
        <v>956</v>
      </c>
      <c r="C107" s="151">
        <v>2</v>
      </c>
      <c r="D107" s="150" t="s">
        <v>957</v>
      </c>
      <c r="E107" s="150"/>
      <c r="F107" s="150" t="s">
        <v>919</v>
      </c>
      <c r="G107" s="150"/>
      <c r="H107" s="152">
        <v>2829.6</v>
      </c>
      <c r="I107" s="153"/>
      <c r="J107" s="150" t="s">
        <v>920</v>
      </c>
      <c r="K107" s="150" t="s">
        <v>931</v>
      </c>
      <c r="L107" s="150" t="s">
        <v>10</v>
      </c>
      <c r="M107" s="150" t="s">
        <v>10</v>
      </c>
      <c r="N107" s="154">
        <v>1</v>
      </c>
      <c r="O107" s="153"/>
    </row>
    <row r="108" spans="1:15" ht="11.1" customHeight="1" x14ac:dyDescent="0.2">
      <c r="A108" s="150" t="s">
        <v>924</v>
      </c>
      <c r="B108" s="150" t="s">
        <v>958</v>
      </c>
      <c r="C108" s="151">
        <v>1</v>
      </c>
      <c r="D108" s="150" t="s">
        <v>25</v>
      </c>
      <c r="E108" s="150"/>
      <c r="F108" s="150" t="s">
        <v>907</v>
      </c>
      <c r="G108" s="150"/>
      <c r="H108" s="152">
        <v>2538</v>
      </c>
      <c r="I108" s="153"/>
      <c r="J108" s="150" t="s">
        <v>920</v>
      </c>
      <c r="K108" s="150" t="s">
        <v>931</v>
      </c>
      <c r="L108" s="150" t="s">
        <v>10</v>
      </c>
      <c r="M108" s="150" t="s">
        <v>10</v>
      </c>
      <c r="N108" s="154">
        <v>1</v>
      </c>
      <c r="O108" s="153"/>
    </row>
    <row r="109" spans="1:15" ht="11.1" customHeight="1" x14ac:dyDescent="0.2">
      <c r="A109" s="150" t="s">
        <v>924</v>
      </c>
      <c r="B109" s="150" t="s">
        <v>958</v>
      </c>
      <c r="C109" s="151">
        <v>2</v>
      </c>
      <c r="D109" s="150" t="s">
        <v>25</v>
      </c>
      <c r="E109" s="150"/>
      <c r="F109" s="150" t="s">
        <v>919</v>
      </c>
      <c r="G109" s="150"/>
      <c r="H109" s="152">
        <v>2829.6</v>
      </c>
      <c r="I109" s="153"/>
      <c r="J109" s="150" t="s">
        <v>920</v>
      </c>
      <c r="K109" s="150" t="s">
        <v>931</v>
      </c>
      <c r="L109" s="150" t="s">
        <v>10</v>
      </c>
      <c r="M109" s="150" t="s">
        <v>10</v>
      </c>
      <c r="N109" s="154">
        <v>1</v>
      </c>
      <c r="O109" s="153"/>
    </row>
    <row r="110" spans="1:15" ht="11.1" customHeight="1" x14ac:dyDescent="0.2">
      <c r="A110" s="150" t="s">
        <v>924</v>
      </c>
      <c r="B110" s="150" t="s">
        <v>959</v>
      </c>
      <c r="C110" s="151">
        <v>1</v>
      </c>
      <c r="D110" s="150" t="s">
        <v>26</v>
      </c>
      <c r="E110" s="150"/>
      <c r="F110" s="150" t="s">
        <v>907</v>
      </c>
      <c r="G110" s="150"/>
      <c r="H110" s="152">
        <v>2538</v>
      </c>
      <c r="I110" s="153"/>
      <c r="J110" s="150" t="s">
        <v>920</v>
      </c>
      <c r="K110" s="150" t="s">
        <v>931</v>
      </c>
      <c r="L110" s="150" t="s">
        <v>10</v>
      </c>
      <c r="M110" s="150" t="s">
        <v>10</v>
      </c>
      <c r="N110" s="154">
        <v>1</v>
      </c>
      <c r="O110" s="153"/>
    </row>
    <row r="111" spans="1:15" ht="11.1" customHeight="1" x14ac:dyDescent="0.2">
      <c r="A111" s="150" t="s">
        <v>924</v>
      </c>
      <c r="B111" s="150" t="s">
        <v>959</v>
      </c>
      <c r="C111" s="151">
        <v>2</v>
      </c>
      <c r="D111" s="150" t="s">
        <v>26</v>
      </c>
      <c r="E111" s="150"/>
      <c r="F111" s="150" t="s">
        <v>919</v>
      </c>
      <c r="G111" s="150"/>
      <c r="H111" s="152">
        <v>2829.6</v>
      </c>
      <c r="I111" s="153"/>
      <c r="J111" s="150" t="s">
        <v>920</v>
      </c>
      <c r="K111" s="150" t="s">
        <v>931</v>
      </c>
      <c r="L111" s="150" t="s">
        <v>10</v>
      </c>
      <c r="M111" s="150" t="s">
        <v>10</v>
      </c>
      <c r="N111" s="154">
        <v>1</v>
      </c>
      <c r="O111" s="153"/>
    </row>
    <row r="112" spans="1:15" ht="11.1" customHeight="1" x14ac:dyDescent="0.2">
      <c r="A112" s="150" t="s">
        <v>924</v>
      </c>
      <c r="B112" s="150" t="s">
        <v>960</v>
      </c>
      <c r="C112" s="151">
        <v>1</v>
      </c>
      <c r="D112" s="150" t="s">
        <v>134</v>
      </c>
      <c r="E112" s="150"/>
      <c r="F112" s="150" t="s">
        <v>907</v>
      </c>
      <c r="G112" s="150"/>
      <c r="H112" s="152">
        <v>3456</v>
      </c>
      <c r="I112" s="153"/>
      <c r="J112" s="150" t="s">
        <v>920</v>
      </c>
      <c r="K112" s="150" t="s">
        <v>923</v>
      </c>
      <c r="L112" s="150" t="s">
        <v>10</v>
      </c>
      <c r="M112" s="150" t="s">
        <v>10</v>
      </c>
      <c r="N112" s="154">
        <v>1</v>
      </c>
      <c r="O112" s="153"/>
    </row>
    <row r="113" spans="1:15" ht="11.1" customHeight="1" x14ac:dyDescent="0.2">
      <c r="A113" s="150" t="s">
        <v>924</v>
      </c>
      <c r="B113" s="150" t="s">
        <v>960</v>
      </c>
      <c r="C113" s="151">
        <v>2</v>
      </c>
      <c r="D113" s="150" t="s">
        <v>134</v>
      </c>
      <c r="E113" s="150"/>
      <c r="F113" s="150" t="s">
        <v>919</v>
      </c>
      <c r="G113" s="150"/>
      <c r="H113" s="152">
        <v>3920.4</v>
      </c>
      <c r="I113" s="153"/>
      <c r="J113" s="150" t="s">
        <v>920</v>
      </c>
      <c r="K113" s="150" t="s">
        <v>923</v>
      </c>
      <c r="L113" s="150" t="s">
        <v>10</v>
      </c>
      <c r="M113" s="150" t="s">
        <v>10</v>
      </c>
      <c r="N113" s="154">
        <v>1</v>
      </c>
      <c r="O113" s="153"/>
    </row>
    <row r="114" spans="1:15" ht="11.1" customHeight="1" x14ac:dyDescent="0.2">
      <c r="A114" s="150" t="s">
        <v>924</v>
      </c>
      <c r="B114" s="150" t="s">
        <v>961</v>
      </c>
      <c r="C114" s="151">
        <v>1</v>
      </c>
      <c r="D114" s="150" t="s">
        <v>2</v>
      </c>
      <c r="E114" s="150"/>
      <c r="F114" s="150" t="s">
        <v>907</v>
      </c>
      <c r="G114" s="150"/>
      <c r="H114" s="152">
        <v>1780</v>
      </c>
      <c r="I114" s="153"/>
      <c r="J114" s="150" t="s">
        <v>920</v>
      </c>
      <c r="K114" s="150" t="s">
        <v>923</v>
      </c>
      <c r="L114" s="150" t="s">
        <v>10</v>
      </c>
      <c r="M114" s="150" t="s">
        <v>10</v>
      </c>
      <c r="N114" s="154">
        <v>1</v>
      </c>
      <c r="O114" s="153"/>
    </row>
    <row r="115" spans="1:15" ht="11.1" customHeight="1" x14ac:dyDescent="0.2">
      <c r="A115" s="150" t="s">
        <v>924</v>
      </c>
      <c r="B115" s="150" t="s">
        <v>961</v>
      </c>
      <c r="C115" s="151">
        <v>2</v>
      </c>
      <c r="D115" s="150" t="s">
        <v>2</v>
      </c>
      <c r="E115" s="150"/>
      <c r="F115" s="150" t="s">
        <v>919</v>
      </c>
      <c r="G115" s="150"/>
      <c r="H115" s="152">
        <v>1960</v>
      </c>
      <c r="I115" s="153"/>
      <c r="J115" s="150" t="s">
        <v>920</v>
      </c>
      <c r="K115" s="150" t="s">
        <v>923</v>
      </c>
      <c r="L115" s="150" t="s">
        <v>10</v>
      </c>
      <c r="M115" s="150" t="s">
        <v>10</v>
      </c>
      <c r="N115" s="154">
        <v>1</v>
      </c>
      <c r="O115" s="153"/>
    </row>
    <row r="116" spans="1:15" ht="11.1" customHeight="1" x14ac:dyDescent="0.2">
      <c r="A116" s="150" t="s">
        <v>924</v>
      </c>
      <c r="B116" s="150" t="s">
        <v>962</v>
      </c>
      <c r="C116" s="151">
        <v>1</v>
      </c>
      <c r="D116" s="150" t="s">
        <v>77</v>
      </c>
      <c r="E116" s="150"/>
      <c r="F116" s="150" t="s">
        <v>907</v>
      </c>
      <c r="G116" s="150"/>
      <c r="H116" s="152">
        <v>1780</v>
      </c>
      <c r="I116" s="153"/>
      <c r="J116" s="150" t="s">
        <v>920</v>
      </c>
      <c r="K116" s="150" t="s">
        <v>923</v>
      </c>
      <c r="L116" s="150" t="s">
        <v>10</v>
      </c>
      <c r="M116" s="150" t="s">
        <v>10</v>
      </c>
      <c r="N116" s="154">
        <v>1</v>
      </c>
      <c r="O116" s="153"/>
    </row>
    <row r="117" spans="1:15" ht="11.1" customHeight="1" x14ac:dyDescent="0.2">
      <c r="A117" s="150" t="s">
        <v>924</v>
      </c>
      <c r="B117" s="150" t="s">
        <v>962</v>
      </c>
      <c r="C117" s="151">
        <v>2</v>
      </c>
      <c r="D117" s="150" t="s">
        <v>77</v>
      </c>
      <c r="E117" s="150"/>
      <c r="F117" s="150" t="s">
        <v>919</v>
      </c>
      <c r="G117" s="150"/>
      <c r="H117" s="152">
        <v>1960</v>
      </c>
      <c r="I117" s="153"/>
      <c r="J117" s="150" t="s">
        <v>920</v>
      </c>
      <c r="K117" s="150" t="s">
        <v>923</v>
      </c>
      <c r="L117" s="150" t="s">
        <v>10</v>
      </c>
      <c r="M117" s="150" t="s">
        <v>10</v>
      </c>
      <c r="N117" s="154">
        <v>1</v>
      </c>
      <c r="O117" s="153"/>
    </row>
    <row r="118" spans="1:15" ht="11.1" customHeight="1" x14ac:dyDescent="0.2">
      <c r="A118" s="150" t="s">
        <v>924</v>
      </c>
      <c r="B118" s="150" t="s">
        <v>963</v>
      </c>
      <c r="C118" s="151">
        <v>1</v>
      </c>
      <c r="D118" s="150" t="s">
        <v>36</v>
      </c>
      <c r="E118" s="150"/>
      <c r="F118" s="150" t="s">
        <v>907</v>
      </c>
      <c r="G118" s="150"/>
      <c r="H118" s="152">
        <v>5220</v>
      </c>
      <c r="I118" s="153"/>
      <c r="J118" s="150" t="s">
        <v>920</v>
      </c>
      <c r="K118" s="150" t="s">
        <v>964</v>
      </c>
      <c r="L118" s="150" t="s">
        <v>10</v>
      </c>
      <c r="M118" s="150" t="s">
        <v>10</v>
      </c>
      <c r="N118" s="154">
        <v>1</v>
      </c>
      <c r="O118" s="153"/>
    </row>
    <row r="119" spans="1:15" ht="11.1" customHeight="1" x14ac:dyDescent="0.2">
      <c r="A119" s="150" t="s">
        <v>924</v>
      </c>
      <c r="B119" s="150" t="s">
        <v>963</v>
      </c>
      <c r="C119" s="151">
        <v>2</v>
      </c>
      <c r="D119" s="150" t="s">
        <v>36</v>
      </c>
      <c r="E119" s="150"/>
      <c r="F119" s="150" t="s">
        <v>919</v>
      </c>
      <c r="G119" s="150"/>
      <c r="H119" s="152">
        <v>6930</v>
      </c>
      <c r="I119" s="153"/>
      <c r="J119" s="150" t="s">
        <v>920</v>
      </c>
      <c r="K119" s="150" t="s">
        <v>964</v>
      </c>
      <c r="L119" s="150" t="s">
        <v>10</v>
      </c>
      <c r="M119" s="150" t="s">
        <v>10</v>
      </c>
      <c r="N119" s="154">
        <v>1</v>
      </c>
      <c r="O119" s="153"/>
    </row>
    <row r="120" spans="1:15" ht="11.1" customHeight="1" x14ac:dyDescent="0.2">
      <c r="A120" s="150" t="s">
        <v>924</v>
      </c>
      <c r="B120" s="150" t="s">
        <v>965</v>
      </c>
      <c r="C120" s="151">
        <v>1</v>
      </c>
      <c r="D120" s="150" t="s">
        <v>966</v>
      </c>
      <c r="E120" s="150"/>
      <c r="F120" s="150" t="s">
        <v>907</v>
      </c>
      <c r="G120" s="150"/>
      <c r="H120" s="152">
        <v>5220</v>
      </c>
      <c r="I120" s="153"/>
      <c r="J120" s="150" t="s">
        <v>920</v>
      </c>
      <c r="K120" s="150" t="s">
        <v>964</v>
      </c>
      <c r="L120" s="150" t="s">
        <v>10</v>
      </c>
      <c r="M120" s="150" t="s">
        <v>10</v>
      </c>
      <c r="N120" s="154">
        <v>1</v>
      </c>
      <c r="O120" s="153"/>
    </row>
    <row r="121" spans="1:15" ht="11.1" customHeight="1" x14ac:dyDescent="0.2">
      <c r="A121" s="150" t="s">
        <v>924</v>
      </c>
      <c r="B121" s="150" t="s">
        <v>965</v>
      </c>
      <c r="C121" s="151">
        <v>2</v>
      </c>
      <c r="D121" s="150" t="s">
        <v>966</v>
      </c>
      <c r="E121" s="150"/>
      <c r="F121" s="150" t="s">
        <v>919</v>
      </c>
      <c r="G121" s="150"/>
      <c r="H121" s="152">
        <v>5930</v>
      </c>
      <c r="I121" s="153"/>
      <c r="J121" s="150" t="s">
        <v>920</v>
      </c>
      <c r="K121" s="150" t="s">
        <v>964</v>
      </c>
      <c r="L121" s="150" t="s">
        <v>10</v>
      </c>
      <c r="M121" s="150" t="s">
        <v>10</v>
      </c>
      <c r="N121" s="154">
        <v>1</v>
      </c>
      <c r="O121" s="153"/>
    </row>
    <row r="122" spans="1:15" ht="11.1" customHeight="1" x14ac:dyDescent="0.2">
      <c r="A122" s="150" t="s">
        <v>924</v>
      </c>
      <c r="B122" s="150" t="s">
        <v>967</v>
      </c>
      <c r="C122" s="151">
        <v>1</v>
      </c>
      <c r="D122" s="150" t="s">
        <v>39</v>
      </c>
      <c r="E122" s="150"/>
      <c r="F122" s="150" t="s">
        <v>907</v>
      </c>
      <c r="G122" s="150"/>
      <c r="H122" s="152">
        <v>6990</v>
      </c>
      <c r="I122" s="153"/>
      <c r="J122" s="150" t="s">
        <v>920</v>
      </c>
      <c r="K122" s="150" t="s">
        <v>909</v>
      </c>
      <c r="L122" s="150" t="s">
        <v>10</v>
      </c>
      <c r="M122" s="150" t="s">
        <v>10</v>
      </c>
      <c r="N122" s="154">
        <v>1</v>
      </c>
      <c r="O122" s="153"/>
    </row>
    <row r="123" spans="1:15" ht="11.1" customHeight="1" x14ac:dyDescent="0.2">
      <c r="A123" s="150" t="s">
        <v>924</v>
      </c>
      <c r="B123" s="150" t="s">
        <v>967</v>
      </c>
      <c r="C123" s="151">
        <v>2</v>
      </c>
      <c r="D123" s="150" t="s">
        <v>39</v>
      </c>
      <c r="E123" s="150"/>
      <c r="F123" s="150" t="s">
        <v>919</v>
      </c>
      <c r="G123" s="150"/>
      <c r="H123" s="152">
        <v>7910</v>
      </c>
      <c r="I123" s="153"/>
      <c r="J123" s="150" t="s">
        <v>920</v>
      </c>
      <c r="K123" s="150" t="s">
        <v>909</v>
      </c>
      <c r="L123" s="150" t="s">
        <v>10</v>
      </c>
      <c r="M123" s="150" t="s">
        <v>10</v>
      </c>
      <c r="N123" s="154">
        <v>1</v>
      </c>
      <c r="O123" s="153"/>
    </row>
    <row r="124" spans="1:15" ht="11.1" customHeight="1" x14ac:dyDescent="0.2">
      <c r="A124" s="150" t="s">
        <v>924</v>
      </c>
      <c r="B124" s="150" t="s">
        <v>968</v>
      </c>
      <c r="C124" s="151">
        <v>1</v>
      </c>
      <c r="D124" s="150" t="s">
        <v>79</v>
      </c>
      <c r="E124" s="150"/>
      <c r="F124" s="150" t="s">
        <v>907</v>
      </c>
      <c r="G124" s="150"/>
      <c r="H124" s="152">
        <v>1780</v>
      </c>
      <c r="I124" s="153"/>
      <c r="J124" s="150" t="s">
        <v>920</v>
      </c>
      <c r="K124" s="150" t="s">
        <v>923</v>
      </c>
      <c r="L124" s="150" t="s">
        <v>10</v>
      </c>
      <c r="M124" s="150" t="s">
        <v>10</v>
      </c>
      <c r="N124" s="154">
        <v>1</v>
      </c>
      <c r="O124" s="153"/>
    </row>
    <row r="125" spans="1:15" ht="11.1" customHeight="1" x14ac:dyDescent="0.2">
      <c r="A125" s="150" t="s">
        <v>924</v>
      </c>
      <c r="B125" s="150" t="s">
        <v>968</v>
      </c>
      <c r="C125" s="151">
        <v>2</v>
      </c>
      <c r="D125" s="150" t="s">
        <v>79</v>
      </c>
      <c r="E125" s="150"/>
      <c r="F125" s="150" t="s">
        <v>919</v>
      </c>
      <c r="G125" s="150"/>
      <c r="H125" s="152">
        <v>1960</v>
      </c>
      <c r="I125" s="153"/>
      <c r="J125" s="150" t="s">
        <v>920</v>
      </c>
      <c r="K125" s="150" t="s">
        <v>923</v>
      </c>
      <c r="L125" s="150" t="s">
        <v>10</v>
      </c>
      <c r="M125" s="150" t="s">
        <v>10</v>
      </c>
      <c r="N125" s="154">
        <v>1</v>
      </c>
      <c r="O125" s="153"/>
    </row>
    <row r="126" spans="1:15" ht="11.1" customHeight="1" x14ac:dyDescent="0.2">
      <c r="A126" s="150" t="s">
        <v>924</v>
      </c>
      <c r="B126" s="150" t="s">
        <v>969</v>
      </c>
      <c r="C126" s="151">
        <v>1</v>
      </c>
      <c r="D126" s="150" t="s">
        <v>81</v>
      </c>
      <c r="E126" s="150"/>
      <c r="F126" s="150" t="s">
        <v>907</v>
      </c>
      <c r="G126" s="150"/>
      <c r="H126" s="152">
        <v>1780</v>
      </c>
      <c r="I126" s="153"/>
      <c r="J126" s="150" t="s">
        <v>920</v>
      </c>
      <c r="K126" s="150" t="s">
        <v>923</v>
      </c>
      <c r="L126" s="150" t="s">
        <v>10</v>
      </c>
      <c r="M126" s="150" t="s">
        <v>10</v>
      </c>
      <c r="N126" s="154">
        <v>1</v>
      </c>
      <c r="O126" s="153"/>
    </row>
    <row r="127" spans="1:15" ht="11.1" customHeight="1" x14ac:dyDescent="0.2">
      <c r="A127" s="150" t="s">
        <v>924</v>
      </c>
      <c r="B127" s="150" t="s">
        <v>969</v>
      </c>
      <c r="C127" s="151">
        <v>2</v>
      </c>
      <c r="D127" s="150" t="s">
        <v>81</v>
      </c>
      <c r="E127" s="150"/>
      <c r="F127" s="150" t="s">
        <v>919</v>
      </c>
      <c r="G127" s="150"/>
      <c r="H127" s="152">
        <v>1960</v>
      </c>
      <c r="I127" s="153"/>
      <c r="J127" s="150" t="s">
        <v>920</v>
      </c>
      <c r="K127" s="150" t="s">
        <v>923</v>
      </c>
      <c r="L127" s="150" t="s">
        <v>10</v>
      </c>
      <c r="M127" s="150" t="s">
        <v>10</v>
      </c>
      <c r="N127" s="154">
        <v>1</v>
      </c>
      <c r="O127" s="153"/>
    </row>
    <row r="128" spans="1:15" ht="11.1" customHeight="1" x14ac:dyDescent="0.2">
      <c r="A128" s="150" t="s">
        <v>924</v>
      </c>
      <c r="B128" s="150" t="s">
        <v>970</v>
      </c>
      <c r="C128" s="151">
        <v>1</v>
      </c>
      <c r="D128" s="150" t="s">
        <v>28</v>
      </c>
      <c r="E128" s="150"/>
      <c r="F128" s="150" t="s">
        <v>907</v>
      </c>
      <c r="G128" s="150"/>
      <c r="H128" s="152">
        <v>1780</v>
      </c>
      <c r="I128" s="153"/>
      <c r="J128" s="150" t="s">
        <v>920</v>
      </c>
      <c r="K128" s="150" t="s">
        <v>923</v>
      </c>
      <c r="L128" s="150" t="s">
        <v>10</v>
      </c>
      <c r="M128" s="150" t="s">
        <v>10</v>
      </c>
      <c r="N128" s="154">
        <v>1</v>
      </c>
      <c r="O128" s="153"/>
    </row>
    <row r="129" spans="1:15" ht="11.1" customHeight="1" x14ac:dyDescent="0.2">
      <c r="A129" s="150" t="s">
        <v>924</v>
      </c>
      <c r="B129" s="150" t="s">
        <v>970</v>
      </c>
      <c r="C129" s="151">
        <v>2</v>
      </c>
      <c r="D129" s="150" t="s">
        <v>28</v>
      </c>
      <c r="E129" s="150"/>
      <c r="F129" s="150" t="s">
        <v>919</v>
      </c>
      <c r="G129" s="150"/>
      <c r="H129" s="152">
        <v>1960</v>
      </c>
      <c r="I129" s="153"/>
      <c r="J129" s="150" t="s">
        <v>920</v>
      </c>
      <c r="K129" s="150" t="s">
        <v>923</v>
      </c>
      <c r="L129" s="150" t="s">
        <v>10</v>
      </c>
      <c r="M129" s="150" t="s">
        <v>10</v>
      </c>
      <c r="N129" s="154">
        <v>1</v>
      </c>
      <c r="O129" s="153"/>
    </row>
    <row r="130" spans="1:15" ht="11.1" customHeight="1" x14ac:dyDescent="0.2">
      <c r="A130" s="150" t="s">
        <v>924</v>
      </c>
      <c r="B130" s="150" t="s">
        <v>971</v>
      </c>
      <c r="C130" s="151">
        <v>1</v>
      </c>
      <c r="D130" s="150" t="s">
        <v>31</v>
      </c>
      <c r="E130" s="150"/>
      <c r="F130" s="150" t="s">
        <v>907</v>
      </c>
      <c r="G130" s="150"/>
      <c r="H130" s="152">
        <v>2820</v>
      </c>
      <c r="I130" s="153"/>
      <c r="J130" s="150" t="s">
        <v>920</v>
      </c>
      <c r="K130" s="150" t="s">
        <v>972</v>
      </c>
      <c r="L130" s="150" t="s">
        <v>10</v>
      </c>
      <c r="M130" s="150" t="s">
        <v>10</v>
      </c>
      <c r="N130" s="154">
        <v>1</v>
      </c>
      <c r="O130" s="153"/>
    </row>
    <row r="131" spans="1:15" ht="11.1" customHeight="1" x14ac:dyDescent="0.2">
      <c r="A131" s="150" t="s">
        <v>924</v>
      </c>
      <c r="B131" s="150" t="s">
        <v>971</v>
      </c>
      <c r="C131" s="151">
        <v>2</v>
      </c>
      <c r="D131" s="150" t="s">
        <v>31</v>
      </c>
      <c r="E131" s="150"/>
      <c r="F131" s="150" t="s">
        <v>919</v>
      </c>
      <c r="G131" s="150"/>
      <c r="H131" s="152">
        <v>3110</v>
      </c>
      <c r="I131" s="153"/>
      <c r="J131" s="150" t="s">
        <v>920</v>
      </c>
      <c r="K131" s="150" t="s">
        <v>972</v>
      </c>
      <c r="L131" s="150" t="s">
        <v>10</v>
      </c>
      <c r="M131" s="150" t="s">
        <v>10</v>
      </c>
      <c r="N131" s="154">
        <v>1</v>
      </c>
      <c r="O131" s="153"/>
    </row>
    <row r="132" spans="1:15" ht="11.1" customHeight="1" x14ac:dyDescent="0.2">
      <c r="A132" s="150" t="s">
        <v>924</v>
      </c>
      <c r="B132" s="150" t="s">
        <v>973</v>
      </c>
      <c r="C132" s="151">
        <v>1</v>
      </c>
      <c r="D132" s="150" t="s">
        <v>42</v>
      </c>
      <c r="E132" s="150"/>
      <c r="F132" s="150" t="s">
        <v>907</v>
      </c>
      <c r="G132" s="150"/>
      <c r="H132" s="152">
        <v>9310</v>
      </c>
      <c r="I132" s="153"/>
      <c r="J132" s="150" t="s">
        <v>920</v>
      </c>
      <c r="K132" s="150" t="s">
        <v>974</v>
      </c>
      <c r="L132" s="150" t="s">
        <v>10</v>
      </c>
      <c r="M132" s="150" t="s">
        <v>10</v>
      </c>
      <c r="N132" s="154">
        <v>1</v>
      </c>
      <c r="O132" s="153"/>
    </row>
    <row r="133" spans="1:15" ht="11.1" customHeight="1" x14ac:dyDescent="0.2">
      <c r="A133" s="150" t="s">
        <v>924</v>
      </c>
      <c r="B133" s="150" t="s">
        <v>973</v>
      </c>
      <c r="C133" s="151">
        <v>2</v>
      </c>
      <c r="D133" s="150" t="s">
        <v>42</v>
      </c>
      <c r="E133" s="150"/>
      <c r="F133" s="150" t="s">
        <v>919</v>
      </c>
      <c r="G133" s="150"/>
      <c r="H133" s="152">
        <v>10640</v>
      </c>
      <c r="I133" s="153"/>
      <c r="J133" s="150" t="s">
        <v>920</v>
      </c>
      <c r="K133" s="150" t="s">
        <v>974</v>
      </c>
      <c r="L133" s="150" t="s">
        <v>10</v>
      </c>
      <c r="M133" s="150" t="s">
        <v>10</v>
      </c>
      <c r="N133" s="154">
        <v>1</v>
      </c>
      <c r="O133" s="153"/>
    </row>
    <row r="134" spans="1:15" ht="11.1" customHeight="1" x14ac:dyDescent="0.2">
      <c r="A134" s="150" t="s">
        <v>924</v>
      </c>
      <c r="B134" s="150" t="s">
        <v>975</v>
      </c>
      <c r="C134" s="151">
        <v>1</v>
      </c>
      <c r="D134" s="150" t="s">
        <v>43</v>
      </c>
      <c r="E134" s="150"/>
      <c r="F134" s="150" t="s">
        <v>907</v>
      </c>
      <c r="G134" s="150"/>
      <c r="H134" s="152">
        <v>8710</v>
      </c>
      <c r="I134" s="153"/>
      <c r="J134" s="150" t="s">
        <v>920</v>
      </c>
      <c r="K134" s="150" t="s">
        <v>974</v>
      </c>
      <c r="L134" s="150" t="s">
        <v>10</v>
      </c>
      <c r="M134" s="150" t="s">
        <v>10</v>
      </c>
      <c r="N134" s="154">
        <v>1</v>
      </c>
      <c r="O134" s="153"/>
    </row>
    <row r="135" spans="1:15" ht="11.1" customHeight="1" x14ac:dyDescent="0.2">
      <c r="A135" s="150" t="s">
        <v>924</v>
      </c>
      <c r="B135" s="150" t="s">
        <v>975</v>
      </c>
      <c r="C135" s="151">
        <v>2</v>
      </c>
      <c r="D135" s="150" t="s">
        <v>43</v>
      </c>
      <c r="E135" s="150"/>
      <c r="F135" s="150" t="s">
        <v>919</v>
      </c>
      <c r="G135" s="150"/>
      <c r="H135" s="152">
        <v>9950</v>
      </c>
      <c r="I135" s="153"/>
      <c r="J135" s="150" t="s">
        <v>920</v>
      </c>
      <c r="K135" s="150" t="s">
        <v>974</v>
      </c>
      <c r="L135" s="150" t="s">
        <v>10</v>
      </c>
      <c r="M135" s="150" t="s">
        <v>10</v>
      </c>
      <c r="N135" s="154">
        <v>1</v>
      </c>
      <c r="O135" s="153"/>
    </row>
    <row r="136" spans="1:15" ht="11.1" customHeight="1" x14ac:dyDescent="0.2">
      <c r="A136" s="150" t="s">
        <v>924</v>
      </c>
      <c r="B136" s="150" t="s">
        <v>976</v>
      </c>
      <c r="C136" s="151">
        <v>1</v>
      </c>
      <c r="D136" s="150" t="s">
        <v>977</v>
      </c>
      <c r="E136" s="150"/>
      <c r="F136" s="150" t="s">
        <v>907</v>
      </c>
      <c r="G136" s="150"/>
      <c r="H136" s="152">
        <v>7500</v>
      </c>
      <c r="I136" s="153"/>
      <c r="J136" s="150" t="s">
        <v>920</v>
      </c>
      <c r="K136" s="150" t="s">
        <v>974</v>
      </c>
      <c r="L136" s="150" t="s">
        <v>10</v>
      </c>
      <c r="M136" s="150" t="s">
        <v>10</v>
      </c>
      <c r="N136" s="154">
        <v>1</v>
      </c>
      <c r="O136" s="153"/>
    </row>
    <row r="137" spans="1:15" ht="11.1" customHeight="1" x14ac:dyDescent="0.2">
      <c r="A137" s="150" t="s">
        <v>924</v>
      </c>
      <c r="B137" s="150" t="s">
        <v>976</v>
      </c>
      <c r="C137" s="151">
        <v>2</v>
      </c>
      <c r="D137" s="150" t="s">
        <v>977</v>
      </c>
      <c r="E137" s="150"/>
      <c r="F137" s="150" t="s">
        <v>919</v>
      </c>
      <c r="G137" s="150"/>
      <c r="H137" s="152">
        <v>8590</v>
      </c>
      <c r="I137" s="153"/>
      <c r="J137" s="150" t="s">
        <v>920</v>
      </c>
      <c r="K137" s="150" t="s">
        <v>974</v>
      </c>
      <c r="L137" s="150" t="s">
        <v>10</v>
      </c>
      <c r="M137" s="150" t="s">
        <v>10</v>
      </c>
      <c r="N137" s="154">
        <v>1</v>
      </c>
      <c r="O137" s="153"/>
    </row>
    <row r="138" spans="1:15" ht="11.1" customHeight="1" x14ac:dyDescent="0.2">
      <c r="A138" s="150" t="s">
        <v>924</v>
      </c>
      <c r="B138" s="150" t="s">
        <v>978</v>
      </c>
      <c r="C138" s="151">
        <v>1</v>
      </c>
      <c r="D138" s="150" t="s">
        <v>40</v>
      </c>
      <c r="E138" s="150"/>
      <c r="F138" s="150" t="s">
        <v>907</v>
      </c>
      <c r="G138" s="150"/>
      <c r="H138" s="152">
        <v>5750</v>
      </c>
      <c r="I138" s="153"/>
      <c r="J138" s="150" t="s">
        <v>920</v>
      </c>
      <c r="K138" s="150" t="s">
        <v>909</v>
      </c>
      <c r="L138" s="150" t="s">
        <v>10</v>
      </c>
      <c r="M138" s="150" t="s">
        <v>10</v>
      </c>
      <c r="N138" s="154">
        <v>1</v>
      </c>
      <c r="O138" s="153"/>
    </row>
    <row r="139" spans="1:15" ht="11.1" customHeight="1" x14ac:dyDescent="0.2">
      <c r="A139" s="150" t="s">
        <v>924</v>
      </c>
      <c r="B139" s="150" t="s">
        <v>978</v>
      </c>
      <c r="C139" s="151">
        <v>2</v>
      </c>
      <c r="D139" s="150" t="s">
        <v>40</v>
      </c>
      <c r="E139" s="150"/>
      <c r="F139" s="150" t="s">
        <v>919</v>
      </c>
      <c r="G139" s="150"/>
      <c r="H139" s="152">
        <v>6560</v>
      </c>
      <c r="I139" s="153"/>
      <c r="J139" s="150" t="s">
        <v>920</v>
      </c>
      <c r="K139" s="150" t="s">
        <v>909</v>
      </c>
      <c r="L139" s="150" t="s">
        <v>10</v>
      </c>
      <c r="M139" s="150" t="s">
        <v>10</v>
      </c>
      <c r="N139" s="154">
        <v>1</v>
      </c>
      <c r="O139" s="153"/>
    </row>
    <row r="140" spans="1:15" ht="11.1" customHeight="1" x14ac:dyDescent="0.2">
      <c r="A140" s="150" t="s">
        <v>924</v>
      </c>
      <c r="B140" s="150" t="s">
        <v>979</v>
      </c>
      <c r="C140" s="151">
        <v>1</v>
      </c>
      <c r="D140" s="150" t="s">
        <v>980</v>
      </c>
      <c r="E140" s="150"/>
      <c r="F140" s="150" t="s">
        <v>907</v>
      </c>
      <c r="G140" s="150"/>
      <c r="H140" s="152">
        <v>8640</v>
      </c>
      <c r="I140" s="153"/>
      <c r="J140" s="150" t="s">
        <v>920</v>
      </c>
      <c r="K140" s="150" t="s">
        <v>974</v>
      </c>
      <c r="L140" s="150" t="s">
        <v>10</v>
      </c>
      <c r="M140" s="150" t="s">
        <v>10</v>
      </c>
      <c r="N140" s="154">
        <v>1</v>
      </c>
      <c r="O140" s="153"/>
    </row>
    <row r="141" spans="1:15" ht="11.1" customHeight="1" x14ac:dyDescent="0.2">
      <c r="A141" s="150" t="s">
        <v>924</v>
      </c>
      <c r="B141" s="150" t="s">
        <v>979</v>
      </c>
      <c r="C141" s="151">
        <v>2</v>
      </c>
      <c r="D141" s="150" t="s">
        <v>980</v>
      </c>
      <c r="E141" s="150"/>
      <c r="F141" s="150" t="s">
        <v>919</v>
      </c>
      <c r="G141" s="150"/>
      <c r="H141" s="152">
        <v>9880</v>
      </c>
      <c r="I141" s="153"/>
      <c r="J141" s="150" t="s">
        <v>920</v>
      </c>
      <c r="K141" s="150" t="s">
        <v>974</v>
      </c>
      <c r="L141" s="150" t="s">
        <v>10</v>
      </c>
      <c r="M141" s="150" t="s">
        <v>10</v>
      </c>
      <c r="N141" s="154">
        <v>1</v>
      </c>
      <c r="O141" s="153"/>
    </row>
    <row r="142" spans="1:15" ht="11.1" customHeight="1" x14ac:dyDescent="0.2">
      <c r="A142" s="150" t="s">
        <v>924</v>
      </c>
      <c r="B142" s="150" t="s">
        <v>981</v>
      </c>
      <c r="C142" s="151">
        <v>1</v>
      </c>
      <c r="D142" s="150" t="s">
        <v>44</v>
      </c>
      <c r="E142" s="150"/>
      <c r="F142" s="150" t="s">
        <v>907</v>
      </c>
      <c r="G142" s="150"/>
      <c r="H142" s="152">
        <v>6800</v>
      </c>
      <c r="I142" s="153"/>
      <c r="J142" s="150" t="s">
        <v>920</v>
      </c>
      <c r="K142" s="150" t="s">
        <v>982</v>
      </c>
      <c r="L142" s="150" t="s">
        <v>10</v>
      </c>
      <c r="M142" s="150" t="s">
        <v>10</v>
      </c>
      <c r="N142" s="154">
        <v>1</v>
      </c>
      <c r="O142" s="153"/>
    </row>
    <row r="143" spans="1:15" ht="11.1" customHeight="1" x14ac:dyDescent="0.2">
      <c r="A143" s="150" t="s">
        <v>924</v>
      </c>
      <c r="B143" s="150" t="s">
        <v>981</v>
      </c>
      <c r="C143" s="151">
        <v>2</v>
      </c>
      <c r="D143" s="150" t="s">
        <v>44</v>
      </c>
      <c r="E143" s="150"/>
      <c r="F143" s="150" t="s">
        <v>919</v>
      </c>
      <c r="G143" s="150"/>
      <c r="H143" s="152">
        <v>7810</v>
      </c>
      <c r="I143" s="153"/>
      <c r="J143" s="150" t="s">
        <v>920</v>
      </c>
      <c r="K143" s="150" t="s">
        <v>982</v>
      </c>
      <c r="L143" s="150" t="s">
        <v>10</v>
      </c>
      <c r="M143" s="150" t="s">
        <v>10</v>
      </c>
      <c r="N143" s="154">
        <v>1</v>
      </c>
      <c r="O143" s="153"/>
    </row>
    <row r="144" spans="1:15" ht="11.1" customHeight="1" x14ac:dyDescent="0.2">
      <c r="A144" s="150" t="s">
        <v>924</v>
      </c>
      <c r="B144" s="150" t="s">
        <v>983</v>
      </c>
      <c r="C144" s="151">
        <v>1</v>
      </c>
      <c r="D144" s="150" t="s">
        <v>82</v>
      </c>
      <c r="E144" s="150"/>
      <c r="F144" s="150" t="s">
        <v>907</v>
      </c>
      <c r="G144" s="150"/>
      <c r="H144" s="152">
        <v>1780</v>
      </c>
      <c r="I144" s="153"/>
      <c r="J144" s="150" t="s">
        <v>920</v>
      </c>
      <c r="K144" s="150" t="s">
        <v>923</v>
      </c>
      <c r="L144" s="150" t="s">
        <v>10</v>
      </c>
      <c r="M144" s="150" t="s">
        <v>10</v>
      </c>
      <c r="N144" s="154">
        <v>1</v>
      </c>
      <c r="O144" s="153"/>
    </row>
    <row r="145" spans="1:15" ht="11.1" customHeight="1" x14ac:dyDescent="0.2">
      <c r="A145" s="150" t="s">
        <v>924</v>
      </c>
      <c r="B145" s="150" t="s">
        <v>983</v>
      </c>
      <c r="C145" s="151">
        <v>2</v>
      </c>
      <c r="D145" s="150" t="s">
        <v>82</v>
      </c>
      <c r="E145" s="150"/>
      <c r="F145" s="150" t="s">
        <v>919</v>
      </c>
      <c r="G145" s="150"/>
      <c r="H145" s="152">
        <v>1960</v>
      </c>
      <c r="I145" s="153"/>
      <c r="J145" s="150" t="s">
        <v>920</v>
      </c>
      <c r="K145" s="150" t="s">
        <v>923</v>
      </c>
      <c r="L145" s="150" t="s">
        <v>10</v>
      </c>
      <c r="M145" s="150" t="s">
        <v>10</v>
      </c>
      <c r="N145" s="154">
        <v>1</v>
      </c>
      <c r="O145" s="153"/>
    </row>
    <row r="146" spans="1:15" ht="11.1" customHeight="1" x14ac:dyDescent="0.2">
      <c r="A146" s="150" t="s">
        <v>924</v>
      </c>
      <c r="B146" s="150" t="s">
        <v>984</v>
      </c>
      <c r="C146" s="151">
        <v>1</v>
      </c>
      <c r="D146" s="150" t="s">
        <v>33</v>
      </c>
      <c r="E146" s="150"/>
      <c r="F146" s="150" t="s">
        <v>907</v>
      </c>
      <c r="G146" s="150"/>
      <c r="H146" s="152">
        <v>1780</v>
      </c>
      <c r="I146" s="153"/>
      <c r="J146" s="150" t="s">
        <v>920</v>
      </c>
      <c r="K146" s="150" t="s">
        <v>923</v>
      </c>
      <c r="L146" s="150" t="s">
        <v>10</v>
      </c>
      <c r="M146" s="150" t="s">
        <v>10</v>
      </c>
      <c r="N146" s="154">
        <v>1</v>
      </c>
      <c r="O146" s="153"/>
    </row>
    <row r="147" spans="1:15" ht="11.1" customHeight="1" x14ac:dyDescent="0.2">
      <c r="A147" s="150" t="s">
        <v>924</v>
      </c>
      <c r="B147" s="150" t="s">
        <v>984</v>
      </c>
      <c r="C147" s="151">
        <v>2</v>
      </c>
      <c r="D147" s="150" t="s">
        <v>33</v>
      </c>
      <c r="E147" s="150"/>
      <c r="F147" s="150" t="s">
        <v>919</v>
      </c>
      <c r="G147" s="150"/>
      <c r="H147" s="152">
        <v>1960</v>
      </c>
      <c r="I147" s="153"/>
      <c r="J147" s="150" t="s">
        <v>920</v>
      </c>
      <c r="K147" s="150" t="s">
        <v>923</v>
      </c>
      <c r="L147" s="150" t="s">
        <v>10</v>
      </c>
      <c r="M147" s="150" t="s">
        <v>10</v>
      </c>
      <c r="N147" s="154">
        <v>1</v>
      </c>
      <c r="O147" s="153"/>
    </row>
    <row r="148" spans="1:15" ht="11.1" customHeight="1" x14ac:dyDescent="0.2">
      <c r="A148" s="150" t="s">
        <v>924</v>
      </c>
      <c r="B148" s="150" t="s">
        <v>985</v>
      </c>
      <c r="C148" s="151">
        <v>1</v>
      </c>
      <c r="D148" s="150" t="s">
        <v>986</v>
      </c>
      <c r="E148" s="150"/>
      <c r="F148" s="150" t="s">
        <v>907</v>
      </c>
      <c r="G148" s="150"/>
      <c r="H148" s="152">
        <v>2960</v>
      </c>
      <c r="I148" s="153"/>
      <c r="J148" s="150" t="s">
        <v>920</v>
      </c>
      <c r="K148" s="150" t="s">
        <v>972</v>
      </c>
      <c r="L148" s="150" t="s">
        <v>10</v>
      </c>
      <c r="M148" s="150" t="s">
        <v>10</v>
      </c>
      <c r="N148" s="154">
        <v>1</v>
      </c>
      <c r="O148" s="153"/>
    </row>
    <row r="149" spans="1:15" ht="11.1" customHeight="1" x14ac:dyDescent="0.2">
      <c r="A149" s="150" t="s">
        <v>924</v>
      </c>
      <c r="B149" s="150" t="s">
        <v>985</v>
      </c>
      <c r="C149" s="151">
        <v>2</v>
      </c>
      <c r="D149" s="150" t="s">
        <v>986</v>
      </c>
      <c r="E149" s="150"/>
      <c r="F149" s="150" t="s">
        <v>919</v>
      </c>
      <c r="G149" s="150"/>
      <c r="H149" s="152">
        <v>3270</v>
      </c>
      <c r="I149" s="153"/>
      <c r="J149" s="150" t="s">
        <v>920</v>
      </c>
      <c r="K149" s="150" t="s">
        <v>972</v>
      </c>
      <c r="L149" s="150" t="s">
        <v>10</v>
      </c>
      <c r="M149" s="150" t="s">
        <v>10</v>
      </c>
      <c r="N149" s="154">
        <v>1</v>
      </c>
      <c r="O149" s="153"/>
    </row>
    <row r="150" spans="1:15" ht="11.1" customHeight="1" x14ac:dyDescent="0.2">
      <c r="A150" s="150" t="s">
        <v>924</v>
      </c>
      <c r="B150" s="150" t="s">
        <v>987</v>
      </c>
      <c r="C150" s="151">
        <v>1</v>
      </c>
      <c r="D150" s="150" t="s">
        <v>988</v>
      </c>
      <c r="E150" s="150"/>
      <c r="F150" s="150" t="s">
        <v>907</v>
      </c>
      <c r="G150" s="150"/>
      <c r="H150" s="152">
        <v>1710</v>
      </c>
      <c r="I150" s="153"/>
      <c r="J150" s="150" t="s">
        <v>920</v>
      </c>
      <c r="K150" s="150" t="s">
        <v>989</v>
      </c>
      <c r="L150" s="150" t="s">
        <v>10</v>
      </c>
      <c r="M150" s="150" t="s">
        <v>10</v>
      </c>
      <c r="N150" s="154">
        <v>1</v>
      </c>
      <c r="O150" s="153"/>
    </row>
    <row r="151" spans="1:15" ht="11.1" customHeight="1" x14ac:dyDescent="0.2">
      <c r="A151" s="150" t="s">
        <v>924</v>
      </c>
      <c r="B151" s="150" t="s">
        <v>987</v>
      </c>
      <c r="C151" s="151">
        <v>2</v>
      </c>
      <c r="D151" s="150" t="s">
        <v>988</v>
      </c>
      <c r="E151" s="150"/>
      <c r="F151" s="150" t="s">
        <v>919</v>
      </c>
      <c r="G151" s="150"/>
      <c r="H151" s="152">
        <v>1880</v>
      </c>
      <c r="I151" s="153"/>
      <c r="J151" s="150" t="s">
        <v>920</v>
      </c>
      <c r="K151" s="150" t="s">
        <v>989</v>
      </c>
      <c r="L151" s="150" t="s">
        <v>10</v>
      </c>
      <c r="M151" s="150" t="s">
        <v>10</v>
      </c>
      <c r="N151" s="154">
        <v>1</v>
      </c>
      <c r="O151" s="153"/>
    </row>
    <row r="152" spans="1:15" ht="11.1" customHeight="1" x14ac:dyDescent="0.2">
      <c r="A152" s="150" t="s">
        <v>924</v>
      </c>
      <c r="B152" s="150" t="s">
        <v>990</v>
      </c>
      <c r="C152" s="151">
        <v>1</v>
      </c>
      <c r="D152" s="150" t="s">
        <v>991</v>
      </c>
      <c r="E152" s="150"/>
      <c r="F152" s="150" t="s">
        <v>907</v>
      </c>
      <c r="G152" s="150"/>
      <c r="H152" s="152">
        <v>1710</v>
      </c>
      <c r="I152" s="153"/>
      <c r="J152" s="150" t="s">
        <v>920</v>
      </c>
      <c r="K152" s="150" t="s">
        <v>989</v>
      </c>
      <c r="L152" s="150" t="s">
        <v>10</v>
      </c>
      <c r="M152" s="150" t="s">
        <v>10</v>
      </c>
      <c r="N152" s="154">
        <v>1</v>
      </c>
      <c r="O152" s="153"/>
    </row>
    <row r="153" spans="1:15" ht="11.1" customHeight="1" x14ac:dyDescent="0.2">
      <c r="A153" s="150" t="s">
        <v>924</v>
      </c>
      <c r="B153" s="150" t="s">
        <v>990</v>
      </c>
      <c r="C153" s="151">
        <v>2</v>
      </c>
      <c r="D153" s="150" t="s">
        <v>991</v>
      </c>
      <c r="E153" s="150"/>
      <c r="F153" s="150" t="s">
        <v>919</v>
      </c>
      <c r="G153" s="150"/>
      <c r="H153" s="152">
        <v>1880</v>
      </c>
      <c r="I153" s="153"/>
      <c r="J153" s="150" t="s">
        <v>920</v>
      </c>
      <c r="K153" s="150" t="s">
        <v>989</v>
      </c>
      <c r="L153" s="150" t="s">
        <v>10</v>
      </c>
      <c r="M153" s="150" t="s">
        <v>10</v>
      </c>
      <c r="N153" s="154">
        <v>1</v>
      </c>
      <c r="O153" s="153"/>
    </row>
    <row r="154" spans="1:15" ht="11.1" customHeight="1" x14ac:dyDescent="0.2">
      <c r="A154" s="150" t="s">
        <v>924</v>
      </c>
      <c r="B154" s="150" t="s">
        <v>992</v>
      </c>
      <c r="C154" s="151">
        <v>1</v>
      </c>
      <c r="D154" s="150" t="s">
        <v>29</v>
      </c>
      <c r="E154" s="150"/>
      <c r="F154" s="150" t="s">
        <v>907</v>
      </c>
      <c r="G154" s="150"/>
      <c r="H154" s="152">
        <v>2860</v>
      </c>
      <c r="I154" s="153"/>
      <c r="J154" s="150" t="s">
        <v>920</v>
      </c>
      <c r="K154" s="150" t="s">
        <v>993</v>
      </c>
      <c r="L154" s="150" t="s">
        <v>10</v>
      </c>
      <c r="M154" s="150" t="s">
        <v>10</v>
      </c>
      <c r="N154" s="154">
        <v>1</v>
      </c>
      <c r="O154" s="153"/>
    </row>
    <row r="155" spans="1:15" ht="11.1" customHeight="1" x14ac:dyDescent="0.2">
      <c r="A155" s="150" t="s">
        <v>924</v>
      </c>
      <c r="B155" s="150" t="s">
        <v>992</v>
      </c>
      <c r="C155" s="151">
        <v>2</v>
      </c>
      <c r="D155" s="150" t="s">
        <v>29</v>
      </c>
      <c r="E155" s="150"/>
      <c r="F155" s="150" t="s">
        <v>919</v>
      </c>
      <c r="G155" s="150"/>
      <c r="H155" s="152">
        <v>3210</v>
      </c>
      <c r="I155" s="153"/>
      <c r="J155" s="150" t="s">
        <v>920</v>
      </c>
      <c r="K155" s="150" t="s">
        <v>993</v>
      </c>
      <c r="L155" s="150" t="s">
        <v>10</v>
      </c>
      <c r="M155" s="150" t="s">
        <v>10</v>
      </c>
      <c r="N155" s="154">
        <v>1</v>
      </c>
      <c r="O155" s="153"/>
    </row>
    <row r="156" spans="1:15" ht="11.1" customHeight="1" x14ac:dyDescent="0.2">
      <c r="A156" s="150" t="s">
        <v>924</v>
      </c>
      <c r="B156" s="150" t="s">
        <v>994</v>
      </c>
      <c r="C156" s="151">
        <v>1</v>
      </c>
      <c r="D156" s="150" t="s">
        <v>995</v>
      </c>
      <c r="E156" s="150"/>
      <c r="F156" s="150" t="s">
        <v>907</v>
      </c>
      <c r="G156" s="150"/>
      <c r="H156" s="152">
        <v>1710</v>
      </c>
      <c r="I156" s="153"/>
      <c r="J156" s="150" t="s">
        <v>920</v>
      </c>
      <c r="K156" s="150" t="s">
        <v>923</v>
      </c>
      <c r="L156" s="150" t="s">
        <v>10</v>
      </c>
      <c r="M156" s="150" t="s">
        <v>10</v>
      </c>
      <c r="N156" s="154">
        <v>1</v>
      </c>
      <c r="O156" s="153"/>
    </row>
    <row r="157" spans="1:15" ht="11.1" customHeight="1" x14ac:dyDescent="0.2">
      <c r="A157" s="150" t="s">
        <v>924</v>
      </c>
      <c r="B157" s="150" t="s">
        <v>994</v>
      </c>
      <c r="C157" s="151">
        <v>2</v>
      </c>
      <c r="D157" s="150" t="s">
        <v>995</v>
      </c>
      <c r="E157" s="150"/>
      <c r="F157" s="150" t="s">
        <v>919</v>
      </c>
      <c r="G157" s="150"/>
      <c r="H157" s="152">
        <v>1880</v>
      </c>
      <c r="I157" s="153"/>
      <c r="J157" s="150" t="s">
        <v>920</v>
      </c>
      <c r="K157" s="150" t="s">
        <v>923</v>
      </c>
      <c r="L157" s="150" t="s">
        <v>10</v>
      </c>
      <c r="M157" s="150" t="s">
        <v>10</v>
      </c>
      <c r="N157" s="154">
        <v>1</v>
      </c>
      <c r="O157" s="153"/>
    </row>
    <row r="158" spans="1:15" ht="11.1" customHeight="1" x14ac:dyDescent="0.2">
      <c r="A158" s="150" t="s">
        <v>924</v>
      </c>
      <c r="B158" s="150" t="s">
        <v>996</v>
      </c>
      <c r="C158" s="151">
        <v>1</v>
      </c>
      <c r="D158" s="150" t="s">
        <v>34</v>
      </c>
      <c r="E158" s="150"/>
      <c r="F158" s="150" t="s">
        <v>907</v>
      </c>
      <c r="G158" s="150"/>
      <c r="H158" s="152">
        <v>1780</v>
      </c>
      <c r="I158" s="153"/>
      <c r="J158" s="150" t="s">
        <v>920</v>
      </c>
      <c r="K158" s="150" t="s">
        <v>923</v>
      </c>
      <c r="L158" s="150" t="s">
        <v>10</v>
      </c>
      <c r="M158" s="150" t="s">
        <v>10</v>
      </c>
      <c r="N158" s="154">
        <v>1</v>
      </c>
      <c r="O158" s="153"/>
    </row>
    <row r="159" spans="1:15" ht="11.1" customHeight="1" x14ac:dyDescent="0.2">
      <c r="A159" s="150" t="s">
        <v>924</v>
      </c>
      <c r="B159" s="150" t="s">
        <v>996</v>
      </c>
      <c r="C159" s="151">
        <v>2</v>
      </c>
      <c r="D159" s="150" t="s">
        <v>34</v>
      </c>
      <c r="E159" s="150"/>
      <c r="F159" s="150" t="s">
        <v>919</v>
      </c>
      <c r="G159" s="150"/>
      <c r="H159" s="152">
        <v>1960</v>
      </c>
      <c r="I159" s="153"/>
      <c r="J159" s="150" t="s">
        <v>920</v>
      </c>
      <c r="K159" s="150" t="s">
        <v>923</v>
      </c>
      <c r="L159" s="150" t="s">
        <v>10</v>
      </c>
      <c r="M159" s="150" t="s">
        <v>10</v>
      </c>
      <c r="N159" s="154">
        <v>1</v>
      </c>
      <c r="O159" s="153"/>
    </row>
    <row r="160" spans="1:15" ht="11.1" customHeight="1" x14ac:dyDescent="0.2">
      <c r="A160" s="150" t="s">
        <v>924</v>
      </c>
      <c r="B160" s="150" t="s">
        <v>997</v>
      </c>
      <c r="C160" s="151">
        <v>1</v>
      </c>
      <c r="D160" s="150" t="s">
        <v>998</v>
      </c>
      <c r="E160" s="150"/>
      <c r="F160" s="150" t="s">
        <v>907</v>
      </c>
      <c r="G160" s="150"/>
      <c r="H160" s="152">
        <v>1710</v>
      </c>
      <c r="I160" s="153"/>
      <c r="J160" s="150" t="s">
        <v>920</v>
      </c>
      <c r="K160" s="150" t="s">
        <v>999</v>
      </c>
      <c r="L160" s="150" t="s">
        <v>10</v>
      </c>
      <c r="M160" s="150" t="s">
        <v>10</v>
      </c>
      <c r="N160" s="154">
        <v>1</v>
      </c>
      <c r="O160" s="153"/>
    </row>
    <row r="161" spans="1:15" ht="11.1" customHeight="1" x14ac:dyDescent="0.2">
      <c r="A161" s="150" t="s">
        <v>924</v>
      </c>
      <c r="B161" s="150" t="s">
        <v>997</v>
      </c>
      <c r="C161" s="151">
        <v>2</v>
      </c>
      <c r="D161" s="150" t="s">
        <v>998</v>
      </c>
      <c r="E161" s="150"/>
      <c r="F161" s="150" t="s">
        <v>919</v>
      </c>
      <c r="G161" s="150"/>
      <c r="H161" s="152">
        <v>1880</v>
      </c>
      <c r="I161" s="153"/>
      <c r="J161" s="150" t="s">
        <v>920</v>
      </c>
      <c r="K161" s="150" t="s">
        <v>999</v>
      </c>
      <c r="L161" s="150" t="s">
        <v>10</v>
      </c>
      <c r="M161" s="150" t="s">
        <v>10</v>
      </c>
      <c r="N161" s="154">
        <v>1</v>
      </c>
      <c r="O161" s="153"/>
    </row>
    <row r="162" spans="1:15" ht="11.1" customHeight="1" x14ac:dyDescent="0.2">
      <c r="A162" s="150" t="s">
        <v>924</v>
      </c>
      <c r="B162" s="150" t="s">
        <v>1000</v>
      </c>
      <c r="C162" s="151">
        <v>1</v>
      </c>
      <c r="D162" s="150" t="s">
        <v>27</v>
      </c>
      <c r="E162" s="150"/>
      <c r="F162" s="150" t="s">
        <v>907</v>
      </c>
      <c r="G162" s="150"/>
      <c r="H162" s="152">
        <v>1940</v>
      </c>
      <c r="I162" s="153"/>
      <c r="J162" s="150" t="s">
        <v>920</v>
      </c>
      <c r="K162" s="150" t="s">
        <v>1001</v>
      </c>
      <c r="L162" s="150" t="s">
        <v>10</v>
      </c>
      <c r="M162" s="150" t="s">
        <v>10</v>
      </c>
      <c r="N162" s="154">
        <v>1</v>
      </c>
      <c r="O162" s="153"/>
    </row>
    <row r="163" spans="1:15" ht="11.1" customHeight="1" x14ac:dyDescent="0.2">
      <c r="A163" s="150" t="s">
        <v>924</v>
      </c>
      <c r="B163" s="150" t="s">
        <v>1000</v>
      </c>
      <c r="C163" s="151">
        <v>2</v>
      </c>
      <c r="D163" s="150" t="s">
        <v>27</v>
      </c>
      <c r="E163" s="150"/>
      <c r="F163" s="150" t="s">
        <v>919</v>
      </c>
      <c r="G163" s="150"/>
      <c r="H163" s="152">
        <v>2170</v>
      </c>
      <c r="I163" s="153"/>
      <c r="J163" s="150" t="s">
        <v>920</v>
      </c>
      <c r="K163" s="150" t="s">
        <v>1001</v>
      </c>
      <c r="L163" s="150" t="s">
        <v>10</v>
      </c>
      <c r="M163" s="150" t="s">
        <v>10</v>
      </c>
      <c r="N163" s="154">
        <v>1</v>
      </c>
      <c r="O163" s="153"/>
    </row>
    <row r="164" spans="1:15" ht="11.1" customHeight="1" x14ac:dyDescent="0.2">
      <c r="A164" s="150" t="s">
        <v>924</v>
      </c>
      <c r="B164" s="150" t="s">
        <v>1002</v>
      </c>
      <c r="C164" s="151">
        <v>1</v>
      </c>
      <c r="D164" s="150" t="s">
        <v>32</v>
      </c>
      <c r="E164" s="150"/>
      <c r="F164" s="150" t="s">
        <v>907</v>
      </c>
      <c r="G164" s="150"/>
      <c r="H164" s="152">
        <v>2120</v>
      </c>
      <c r="I164" s="153"/>
      <c r="J164" s="150" t="s">
        <v>920</v>
      </c>
      <c r="K164" s="150" t="s">
        <v>1003</v>
      </c>
      <c r="L164" s="150" t="s">
        <v>10</v>
      </c>
      <c r="M164" s="150" t="s">
        <v>10</v>
      </c>
      <c r="N164" s="154">
        <v>1</v>
      </c>
      <c r="O164" s="153"/>
    </row>
    <row r="165" spans="1:15" ht="11.1" customHeight="1" x14ac:dyDescent="0.2">
      <c r="A165" s="150" t="s">
        <v>924</v>
      </c>
      <c r="B165" s="150" t="s">
        <v>1002</v>
      </c>
      <c r="C165" s="151">
        <v>2</v>
      </c>
      <c r="D165" s="150" t="s">
        <v>32</v>
      </c>
      <c r="E165" s="150"/>
      <c r="F165" s="150" t="s">
        <v>919</v>
      </c>
      <c r="G165" s="150"/>
      <c r="H165" s="152">
        <v>2320</v>
      </c>
      <c r="I165" s="153"/>
      <c r="J165" s="150" t="s">
        <v>920</v>
      </c>
      <c r="K165" s="150" t="s">
        <v>1003</v>
      </c>
      <c r="L165" s="150" t="s">
        <v>10</v>
      </c>
      <c r="M165" s="150" t="s">
        <v>10</v>
      </c>
      <c r="N165" s="154">
        <v>1</v>
      </c>
      <c r="O165" s="153"/>
    </row>
    <row r="166" spans="1:15" ht="11.1" customHeight="1" x14ac:dyDescent="0.2">
      <c r="A166" s="150" t="s">
        <v>924</v>
      </c>
      <c r="B166" s="150" t="s">
        <v>1004</v>
      </c>
      <c r="C166" s="151">
        <v>1</v>
      </c>
      <c r="D166" s="150" t="s">
        <v>30</v>
      </c>
      <c r="E166" s="150"/>
      <c r="F166" s="150" t="s">
        <v>907</v>
      </c>
      <c r="G166" s="150"/>
      <c r="H166" s="152">
        <v>2860</v>
      </c>
      <c r="I166" s="153"/>
      <c r="J166" s="150" t="s">
        <v>920</v>
      </c>
      <c r="K166" s="150" t="s">
        <v>993</v>
      </c>
      <c r="L166" s="150" t="s">
        <v>10</v>
      </c>
      <c r="M166" s="150" t="s">
        <v>10</v>
      </c>
      <c r="N166" s="154">
        <v>1</v>
      </c>
      <c r="O166" s="153"/>
    </row>
    <row r="167" spans="1:15" ht="11.1" customHeight="1" x14ac:dyDescent="0.2">
      <c r="A167" s="150" t="s">
        <v>924</v>
      </c>
      <c r="B167" s="150" t="s">
        <v>1004</v>
      </c>
      <c r="C167" s="151">
        <v>2</v>
      </c>
      <c r="D167" s="150" t="s">
        <v>30</v>
      </c>
      <c r="E167" s="150"/>
      <c r="F167" s="150" t="s">
        <v>919</v>
      </c>
      <c r="G167" s="150"/>
      <c r="H167" s="152">
        <v>3210</v>
      </c>
      <c r="I167" s="153"/>
      <c r="J167" s="150" t="s">
        <v>920</v>
      </c>
      <c r="K167" s="150" t="s">
        <v>993</v>
      </c>
      <c r="L167" s="150" t="s">
        <v>10</v>
      </c>
      <c r="M167" s="150" t="s">
        <v>10</v>
      </c>
      <c r="N167" s="154">
        <v>1</v>
      </c>
      <c r="O167" s="153"/>
    </row>
    <row r="168" spans="1:15" ht="11.1" customHeight="1" x14ac:dyDescent="0.2">
      <c r="A168" s="150" t="s">
        <v>924</v>
      </c>
      <c r="B168" s="150" t="s">
        <v>1005</v>
      </c>
      <c r="C168" s="151">
        <v>1</v>
      </c>
      <c r="D168" s="150" t="s">
        <v>23</v>
      </c>
      <c r="E168" s="150"/>
      <c r="F168" s="150" t="s">
        <v>907</v>
      </c>
      <c r="G168" s="150"/>
      <c r="H168" s="152">
        <v>3196.8</v>
      </c>
      <c r="I168" s="153"/>
      <c r="J168" s="150" t="s">
        <v>920</v>
      </c>
      <c r="K168" s="150" t="s">
        <v>942</v>
      </c>
      <c r="L168" s="150" t="s">
        <v>10</v>
      </c>
      <c r="M168" s="150" t="s">
        <v>10</v>
      </c>
      <c r="N168" s="154">
        <v>1</v>
      </c>
      <c r="O168" s="153"/>
    </row>
    <row r="169" spans="1:15" ht="11.1" customHeight="1" x14ac:dyDescent="0.2">
      <c r="A169" s="150" t="s">
        <v>924</v>
      </c>
      <c r="B169" s="150" t="s">
        <v>1005</v>
      </c>
      <c r="C169" s="151">
        <v>2</v>
      </c>
      <c r="D169" s="150" t="s">
        <v>23</v>
      </c>
      <c r="E169" s="150"/>
      <c r="F169" s="150" t="s">
        <v>919</v>
      </c>
      <c r="G169" s="150"/>
      <c r="H169" s="152">
        <v>3553.2</v>
      </c>
      <c r="I169" s="153"/>
      <c r="J169" s="150" t="s">
        <v>920</v>
      </c>
      <c r="K169" s="150" t="s">
        <v>942</v>
      </c>
      <c r="L169" s="150" t="s">
        <v>10</v>
      </c>
      <c r="M169" s="150" t="s">
        <v>10</v>
      </c>
      <c r="N169" s="154">
        <v>1</v>
      </c>
      <c r="O169" s="153"/>
    </row>
    <row r="170" spans="1:15" ht="11.1" customHeight="1" x14ac:dyDescent="0.2">
      <c r="A170" s="150" t="s">
        <v>924</v>
      </c>
      <c r="B170" s="150" t="s">
        <v>1006</v>
      </c>
      <c r="C170" s="151">
        <v>1</v>
      </c>
      <c r="D170" s="150" t="s">
        <v>24</v>
      </c>
      <c r="E170" s="150"/>
      <c r="F170" s="150" t="s">
        <v>907</v>
      </c>
      <c r="G170" s="150"/>
      <c r="H170" s="152">
        <v>3304.8</v>
      </c>
      <c r="I170" s="153"/>
      <c r="J170" s="150" t="s">
        <v>920</v>
      </c>
      <c r="K170" s="150" t="s">
        <v>942</v>
      </c>
      <c r="L170" s="150" t="s">
        <v>10</v>
      </c>
      <c r="M170" s="150" t="s">
        <v>10</v>
      </c>
      <c r="N170" s="154">
        <v>1</v>
      </c>
      <c r="O170" s="153"/>
    </row>
    <row r="171" spans="1:15" ht="11.1" customHeight="1" x14ac:dyDescent="0.2">
      <c r="A171" s="150" t="s">
        <v>924</v>
      </c>
      <c r="B171" s="150" t="s">
        <v>1006</v>
      </c>
      <c r="C171" s="151">
        <v>2</v>
      </c>
      <c r="D171" s="150" t="s">
        <v>24</v>
      </c>
      <c r="E171" s="150"/>
      <c r="F171" s="150" t="s">
        <v>919</v>
      </c>
      <c r="G171" s="150"/>
      <c r="H171" s="152">
        <v>3693.6</v>
      </c>
      <c r="I171" s="153"/>
      <c r="J171" s="150" t="s">
        <v>920</v>
      </c>
      <c r="K171" s="150" t="s">
        <v>942</v>
      </c>
      <c r="L171" s="150" t="s">
        <v>10</v>
      </c>
      <c r="M171" s="150" t="s">
        <v>10</v>
      </c>
      <c r="N171" s="154">
        <v>1</v>
      </c>
      <c r="O171" s="153"/>
    </row>
    <row r="172" spans="1:15" ht="11.1" customHeight="1" x14ac:dyDescent="0.2">
      <c r="A172" s="150" t="s">
        <v>924</v>
      </c>
      <c r="B172" s="150" t="s">
        <v>1007</v>
      </c>
      <c r="C172" s="151">
        <v>1</v>
      </c>
      <c r="D172" s="150" t="s">
        <v>1008</v>
      </c>
      <c r="E172" s="150"/>
      <c r="F172" s="150" t="s">
        <v>907</v>
      </c>
      <c r="G172" s="150"/>
      <c r="H172" s="152">
        <v>2960</v>
      </c>
      <c r="I172" s="153"/>
      <c r="J172" s="150" t="s">
        <v>920</v>
      </c>
      <c r="K172" s="150" t="s">
        <v>972</v>
      </c>
      <c r="L172" s="150" t="s">
        <v>10</v>
      </c>
      <c r="M172" s="150" t="s">
        <v>10</v>
      </c>
      <c r="N172" s="154">
        <v>1</v>
      </c>
      <c r="O172" s="153"/>
    </row>
    <row r="173" spans="1:15" ht="11.1" customHeight="1" x14ac:dyDescent="0.2">
      <c r="A173" s="150" t="s">
        <v>924</v>
      </c>
      <c r="B173" s="150" t="s">
        <v>1007</v>
      </c>
      <c r="C173" s="151">
        <v>2</v>
      </c>
      <c r="D173" s="150" t="s">
        <v>1008</v>
      </c>
      <c r="E173" s="150"/>
      <c r="F173" s="150" t="s">
        <v>919</v>
      </c>
      <c r="G173" s="150"/>
      <c r="H173" s="152">
        <v>3270</v>
      </c>
      <c r="I173" s="153"/>
      <c r="J173" s="150" t="s">
        <v>920</v>
      </c>
      <c r="K173" s="150" t="s">
        <v>972</v>
      </c>
      <c r="L173" s="150" t="s">
        <v>10</v>
      </c>
      <c r="M173" s="150" t="s">
        <v>10</v>
      </c>
      <c r="N173" s="154">
        <v>1</v>
      </c>
      <c r="O173" s="153"/>
    </row>
    <row r="174" spans="1:15" ht="11.1" customHeight="1" x14ac:dyDescent="0.2">
      <c r="A174" s="150" t="s">
        <v>924</v>
      </c>
      <c r="B174" s="150" t="s">
        <v>1009</v>
      </c>
      <c r="C174" s="151">
        <v>1</v>
      </c>
      <c r="D174" s="150" t="s">
        <v>18</v>
      </c>
      <c r="E174" s="150"/>
      <c r="F174" s="150" t="s">
        <v>907</v>
      </c>
      <c r="G174" s="150"/>
      <c r="H174" s="152">
        <v>2870</v>
      </c>
      <c r="I174" s="153"/>
      <c r="J174" s="150" t="s">
        <v>920</v>
      </c>
      <c r="K174" s="150" t="s">
        <v>1010</v>
      </c>
      <c r="L174" s="150" t="s">
        <v>10</v>
      </c>
      <c r="M174" s="150" t="s">
        <v>10</v>
      </c>
      <c r="N174" s="154">
        <v>1</v>
      </c>
      <c r="O174" s="153"/>
    </row>
    <row r="175" spans="1:15" ht="11.1" customHeight="1" x14ac:dyDescent="0.2">
      <c r="A175" s="150" t="s">
        <v>924</v>
      </c>
      <c r="B175" s="150" t="s">
        <v>1009</v>
      </c>
      <c r="C175" s="151">
        <v>2</v>
      </c>
      <c r="D175" s="150" t="s">
        <v>18</v>
      </c>
      <c r="E175" s="150"/>
      <c r="F175" s="150" t="s">
        <v>919</v>
      </c>
      <c r="G175" s="150"/>
      <c r="H175" s="152">
        <v>3200</v>
      </c>
      <c r="I175" s="153"/>
      <c r="J175" s="150" t="s">
        <v>920</v>
      </c>
      <c r="K175" s="150" t="s">
        <v>1010</v>
      </c>
      <c r="L175" s="150" t="s">
        <v>10</v>
      </c>
      <c r="M175" s="150" t="s">
        <v>10</v>
      </c>
      <c r="N175" s="154">
        <v>1</v>
      </c>
      <c r="O175" s="153"/>
    </row>
    <row r="176" spans="1:15" ht="11.1" customHeight="1" x14ac:dyDescent="0.2">
      <c r="A176" s="150" t="s">
        <v>924</v>
      </c>
      <c r="B176" s="150" t="s">
        <v>1011</v>
      </c>
      <c r="C176" s="151">
        <v>1</v>
      </c>
      <c r="D176" s="150" t="s">
        <v>35</v>
      </c>
      <c r="E176" s="150"/>
      <c r="F176" s="150" t="s">
        <v>907</v>
      </c>
      <c r="G176" s="150"/>
      <c r="H176" s="152">
        <v>2170</v>
      </c>
      <c r="I176" s="153"/>
      <c r="J176" s="150" t="s">
        <v>920</v>
      </c>
      <c r="K176" s="150" t="s">
        <v>1012</v>
      </c>
      <c r="L176" s="150" t="s">
        <v>10</v>
      </c>
      <c r="M176" s="150" t="s">
        <v>10</v>
      </c>
      <c r="N176" s="154">
        <v>1</v>
      </c>
      <c r="O176" s="153"/>
    </row>
    <row r="177" spans="1:15" ht="11.1" customHeight="1" x14ac:dyDescent="0.2">
      <c r="A177" s="150" t="s">
        <v>924</v>
      </c>
      <c r="B177" s="150" t="s">
        <v>1011</v>
      </c>
      <c r="C177" s="151">
        <v>2</v>
      </c>
      <c r="D177" s="150" t="s">
        <v>35</v>
      </c>
      <c r="E177" s="150"/>
      <c r="F177" s="150" t="s">
        <v>919</v>
      </c>
      <c r="G177" s="150"/>
      <c r="H177" s="152">
        <v>2400</v>
      </c>
      <c r="I177" s="153"/>
      <c r="J177" s="150" t="s">
        <v>920</v>
      </c>
      <c r="K177" s="150" t="s">
        <v>1012</v>
      </c>
      <c r="L177" s="150" t="s">
        <v>10</v>
      </c>
      <c r="M177" s="150" t="s">
        <v>10</v>
      </c>
      <c r="N177" s="154">
        <v>1</v>
      </c>
      <c r="O177" s="153"/>
    </row>
    <row r="178" spans="1:15" ht="11.1" customHeight="1" x14ac:dyDescent="0.2">
      <c r="A178" s="150" t="s">
        <v>924</v>
      </c>
      <c r="B178" s="150" t="s">
        <v>1013</v>
      </c>
      <c r="C178" s="151">
        <v>1</v>
      </c>
      <c r="D178" s="150" t="s">
        <v>38</v>
      </c>
      <c r="E178" s="150"/>
      <c r="F178" s="150" t="s">
        <v>907</v>
      </c>
      <c r="G178" s="150"/>
      <c r="H178" s="152">
        <v>5690</v>
      </c>
      <c r="I178" s="153"/>
      <c r="J178" s="150" t="s">
        <v>920</v>
      </c>
      <c r="K178" s="150" t="s">
        <v>1014</v>
      </c>
      <c r="L178" s="150" t="s">
        <v>10</v>
      </c>
      <c r="M178" s="150" t="s">
        <v>10</v>
      </c>
      <c r="N178" s="154">
        <v>1</v>
      </c>
      <c r="O178" s="153"/>
    </row>
    <row r="179" spans="1:15" ht="11.1" customHeight="1" x14ac:dyDescent="0.2">
      <c r="A179" s="150" t="s">
        <v>924</v>
      </c>
      <c r="B179" s="150" t="s">
        <v>1013</v>
      </c>
      <c r="C179" s="151">
        <v>2</v>
      </c>
      <c r="D179" s="150" t="s">
        <v>38</v>
      </c>
      <c r="E179" s="150"/>
      <c r="F179" s="150" t="s">
        <v>919</v>
      </c>
      <c r="G179" s="150"/>
      <c r="H179" s="152">
        <v>6420</v>
      </c>
      <c r="I179" s="153"/>
      <c r="J179" s="150" t="s">
        <v>920</v>
      </c>
      <c r="K179" s="150" t="s">
        <v>1014</v>
      </c>
      <c r="L179" s="150" t="s">
        <v>10</v>
      </c>
      <c r="M179" s="150" t="s">
        <v>10</v>
      </c>
      <c r="N179" s="154">
        <v>1</v>
      </c>
      <c r="O179" s="153"/>
    </row>
    <row r="180" spans="1:15" ht="11.1" customHeight="1" x14ac:dyDescent="0.2">
      <c r="A180" s="150" t="s">
        <v>924</v>
      </c>
      <c r="B180" s="150" t="s">
        <v>1015</v>
      </c>
      <c r="C180" s="151">
        <v>1</v>
      </c>
      <c r="D180" s="150" t="s">
        <v>130</v>
      </c>
      <c r="E180" s="150"/>
      <c r="F180" s="150" t="s">
        <v>907</v>
      </c>
      <c r="G180" s="150"/>
      <c r="H180" s="152">
        <v>2980</v>
      </c>
      <c r="I180" s="153"/>
      <c r="J180" s="150" t="s">
        <v>920</v>
      </c>
      <c r="K180" s="150" t="s">
        <v>940</v>
      </c>
      <c r="L180" s="150" t="s">
        <v>10</v>
      </c>
      <c r="M180" s="150" t="s">
        <v>10</v>
      </c>
      <c r="N180" s="154">
        <v>1</v>
      </c>
      <c r="O180" s="153"/>
    </row>
    <row r="181" spans="1:15" ht="11.1" customHeight="1" x14ac:dyDescent="0.2">
      <c r="A181" s="150" t="s">
        <v>924</v>
      </c>
      <c r="B181" s="150" t="s">
        <v>1015</v>
      </c>
      <c r="C181" s="151">
        <v>2</v>
      </c>
      <c r="D181" s="150" t="s">
        <v>130</v>
      </c>
      <c r="E181" s="150"/>
      <c r="F181" s="150" t="s">
        <v>919</v>
      </c>
      <c r="G181" s="150"/>
      <c r="H181" s="152">
        <v>3420</v>
      </c>
      <c r="I181" s="153"/>
      <c r="J181" s="150" t="s">
        <v>920</v>
      </c>
      <c r="K181" s="150" t="s">
        <v>940</v>
      </c>
      <c r="L181" s="150" t="s">
        <v>10</v>
      </c>
      <c r="M181" s="150" t="s">
        <v>10</v>
      </c>
      <c r="N181" s="154">
        <v>1</v>
      </c>
      <c r="O181" s="153"/>
    </row>
    <row r="182" spans="1:15" ht="11.1" customHeight="1" x14ac:dyDescent="0.2">
      <c r="A182" s="150" t="s">
        <v>924</v>
      </c>
      <c r="B182" s="150" t="s">
        <v>1016</v>
      </c>
      <c r="C182" s="151">
        <v>1</v>
      </c>
      <c r="D182" s="150" t="s">
        <v>128</v>
      </c>
      <c r="E182" s="150"/>
      <c r="F182" s="150" t="s">
        <v>907</v>
      </c>
      <c r="G182" s="150"/>
      <c r="H182" s="152">
        <v>3200</v>
      </c>
      <c r="I182" s="153"/>
      <c r="J182" s="150" t="s">
        <v>920</v>
      </c>
      <c r="K182" s="150" t="s">
        <v>938</v>
      </c>
      <c r="L182" s="150" t="s">
        <v>10</v>
      </c>
      <c r="M182" s="150" t="s">
        <v>10</v>
      </c>
      <c r="N182" s="154">
        <v>1</v>
      </c>
      <c r="O182" s="153"/>
    </row>
    <row r="183" spans="1:15" ht="11.1" customHeight="1" x14ac:dyDescent="0.2">
      <c r="A183" s="150" t="s">
        <v>924</v>
      </c>
      <c r="B183" s="150" t="s">
        <v>1016</v>
      </c>
      <c r="C183" s="151">
        <v>2</v>
      </c>
      <c r="D183" s="150" t="s">
        <v>128</v>
      </c>
      <c r="E183" s="150"/>
      <c r="F183" s="150" t="s">
        <v>919</v>
      </c>
      <c r="G183" s="150"/>
      <c r="H183" s="152">
        <v>3630</v>
      </c>
      <c r="I183" s="153"/>
      <c r="J183" s="150" t="s">
        <v>920</v>
      </c>
      <c r="K183" s="150" t="s">
        <v>938</v>
      </c>
      <c r="L183" s="150" t="s">
        <v>10</v>
      </c>
      <c r="M183" s="150" t="s">
        <v>10</v>
      </c>
      <c r="N183" s="154">
        <v>1</v>
      </c>
      <c r="O183" s="153"/>
    </row>
    <row r="184" spans="1:15" ht="11.1" customHeight="1" x14ac:dyDescent="0.2">
      <c r="A184" s="150" t="s">
        <v>924</v>
      </c>
      <c r="B184" s="150" t="s">
        <v>1017</v>
      </c>
      <c r="C184" s="151">
        <v>1</v>
      </c>
      <c r="D184" s="150" t="s">
        <v>133</v>
      </c>
      <c r="E184" s="150"/>
      <c r="F184" s="150" t="s">
        <v>907</v>
      </c>
      <c r="G184" s="150"/>
      <c r="H184" s="152">
        <v>3456</v>
      </c>
      <c r="I184" s="153"/>
      <c r="J184" s="150" t="s">
        <v>920</v>
      </c>
      <c r="K184" s="150" t="s">
        <v>923</v>
      </c>
      <c r="L184" s="150" t="s">
        <v>10</v>
      </c>
      <c r="M184" s="150" t="s">
        <v>10</v>
      </c>
      <c r="N184" s="154">
        <v>1</v>
      </c>
      <c r="O184" s="153"/>
    </row>
    <row r="185" spans="1:15" ht="11.1" customHeight="1" x14ac:dyDescent="0.2">
      <c r="A185" s="150" t="s">
        <v>924</v>
      </c>
      <c r="B185" s="150" t="s">
        <v>1017</v>
      </c>
      <c r="C185" s="151">
        <v>2</v>
      </c>
      <c r="D185" s="150" t="s">
        <v>133</v>
      </c>
      <c r="E185" s="150"/>
      <c r="F185" s="150" t="s">
        <v>919</v>
      </c>
      <c r="G185" s="150"/>
      <c r="H185" s="152">
        <v>3920.4</v>
      </c>
      <c r="I185" s="153"/>
      <c r="J185" s="150" t="s">
        <v>920</v>
      </c>
      <c r="K185" s="150" t="s">
        <v>923</v>
      </c>
      <c r="L185" s="150" t="s">
        <v>10</v>
      </c>
      <c r="M185" s="150" t="s">
        <v>10</v>
      </c>
      <c r="N185" s="154">
        <v>1</v>
      </c>
      <c r="O185" s="153"/>
    </row>
    <row r="186" spans="1:15" ht="11.1" customHeight="1" x14ac:dyDescent="0.2">
      <c r="A186" s="150" t="s">
        <v>924</v>
      </c>
      <c r="B186" s="150" t="s">
        <v>1018</v>
      </c>
      <c r="C186" s="151">
        <v>1</v>
      </c>
      <c r="D186" s="150" t="s">
        <v>41</v>
      </c>
      <c r="E186" s="150"/>
      <c r="F186" s="150" t="s">
        <v>907</v>
      </c>
      <c r="G186" s="150"/>
      <c r="H186" s="152">
        <v>6210</v>
      </c>
      <c r="I186" s="153"/>
      <c r="J186" s="150" t="s">
        <v>920</v>
      </c>
      <c r="K186" s="150" t="s">
        <v>909</v>
      </c>
      <c r="L186" s="150" t="s">
        <v>10</v>
      </c>
      <c r="M186" s="150" t="s">
        <v>10</v>
      </c>
      <c r="N186" s="154">
        <v>1</v>
      </c>
      <c r="O186" s="153"/>
    </row>
    <row r="187" spans="1:15" ht="11.1" customHeight="1" x14ac:dyDescent="0.2">
      <c r="A187" s="150" t="s">
        <v>924</v>
      </c>
      <c r="B187" s="150" t="s">
        <v>1018</v>
      </c>
      <c r="C187" s="151">
        <v>2</v>
      </c>
      <c r="D187" s="150" t="s">
        <v>41</v>
      </c>
      <c r="E187" s="150"/>
      <c r="F187" s="150" t="s">
        <v>919</v>
      </c>
      <c r="G187" s="150"/>
      <c r="H187" s="152">
        <v>7084.8</v>
      </c>
      <c r="I187" s="153"/>
      <c r="J187" s="150" t="s">
        <v>920</v>
      </c>
      <c r="K187" s="150" t="s">
        <v>909</v>
      </c>
      <c r="L187" s="150" t="s">
        <v>10</v>
      </c>
      <c r="M187" s="150" t="s">
        <v>10</v>
      </c>
      <c r="N187" s="154">
        <v>1</v>
      </c>
      <c r="O187" s="153"/>
    </row>
    <row r="188" spans="1:15" ht="11.1" customHeight="1" x14ac:dyDescent="0.2">
      <c r="A188" s="150" t="s">
        <v>924</v>
      </c>
      <c r="B188" s="150" t="s">
        <v>1019</v>
      </c>
      <c r="C188" s="151">
        <v>1</v>
      </c>
      <c r="D188" s="150" t="s">
        <v>1020</v>
      </c>
      <c r="E188" s="150"/>
      <c r="F188" s="150" t="s">
        <v>907</v>
      </c>
      <c r="G188" s="150"/>
      <c r="H188" s="152">
        <v>7905.6</v>
      </c>
      <c r="I188" s="153"/>
      <c r="J188" s="150" t="s">
        <v>920</v>
      </c>
      <c r="K188" s="150" t="s">
        <v>909</v>
      </c>
      <c r="L188" s="150" t="s">
        <v>10</v>
      </c>
      <c r="M188" s="150" t="s">
        <v>10</v>
      </c>
      <c r="N188" s="154">
        <v>1</v>
      </c>
      <c r="O188" s="153"/>
    </row>
    <row r="189" spans="1:15" ht="11.1" customHeight="1" x14ac:dyDescent="0.2">
      <c r="A189" s="150" t="s">
        <v>924</v>
      </c>
      <c r="B189" s="150" t="s">
        <v>1019</v>
      </c>
      <c r="C189" s="151">
        <v>2</v>
      </c>
      <c r="D189" s="150" t="s">
        <v>1020</v>
      </c>
      <c r="E189" s="150"/>
      <c r="F189" s="150" t="s">
        <v>919</v>
      </c>
      <c r="G189" s="150"/>
      <c r="H189" s="152">
        <v>9007.2000000000007</v>
      </c>
      <c r="I189" s="153"/>
      <c r="J189" s="150" t="s">
        <v>920</v>
      </c>
      <c r="K189" s="150" t="s">
        <v>909</v>
      </c>
      <c r="L189" s="150" t="s">
        <v>10</v>
      </c>
      <c r="M189" s="150" t="s">
        <v>10</v>
      </c>
      <c r="N189" s="154">
        <v>1</v>
      </c>
      <c r="O189" s="153"/>
    </row>
    <row r="190" spans="1:15" ht="11.1" customHeight="1" x14ac:dyDescent="0.2">
      <c r="A190" s="150" t="s">
        <v>924</v>
      </c>
      <c r="B190" s="150" t="s">
        <v>1021</v>
      </c>
      <c r="C190" s="151">
        <v>1</v>
      </c>
      <c r="D190" s="150" t="s">
        <v>1022</v>
      </c>
      <c r="E190" s="150"/>
      <c r="F190" s="150" t="s">
        <v>907</v>
      </c>
      <c r="G190" s="150"/>
      <c r="H190" s="152">
        <v>8078.4</v>
      </c>
      <c r="I190" s="153"/>
      <c r="J190" s="150" t="s">
        <v>920</v>
      </c>
      <c r="K190" s="150" t="s">
        <v>974</v>
      </c>
      <c r="L190" s="150" t="s">
        <v>10</v>
      </c>
      <c r="M190" s="150" t="s">
        <v>10</v>
      </c>
      <c r="N190" s="154">
        <v>1</v>
      </c>
      <c r="O190" s="153"/>
    </row>
    <row r="191" spans="1:15" ht="11.1" customHeight="1" x14ac:dyDescent="0.2">
      <c r="A191" s="150" t="s">
        <v>924</v>
      </c>
      <c r="B191" s="150" t="s">
        <v>1021</v>
      </c>
      <c r="C191" s="151">
        <v>2</v>
      </c>
      <c r="D191" s="150" t="s">
        <v>1022</v>
      </c>
      <c r="E191" s="150"/>
      <c r="F191" s="150" t="s">
        <v>919</v>
      </c>
      <c r="G191" s="150"/>
      <c r="H191" s="152">
        <v>9169.2000000000007</v>
      </c>
      <c r="I191" s="153"/>
      <c r="J191" s="150" t="s">
        <v>920</v>
      </c>
      <c r="K191" s="150" t="s">
        <v>974</v>
      </c>
      <c r="L191" s="150" t="s">
        <v>10</v>
      </c>
      <c r="M191" s="150" t="s">
        <v>10</v>
      </c>
      <c r="N191" s="154">
        <v>1</v>
      </c>
      <c r="O191" s="153"/>
    </row>
    <row r="192" spans="1:15" ht="11.1" customHeight="1" x14ac:dyDescent="0.2">
      <c r="A192" s="150" t="s">
        <v>924</v>
      </c>
      <c r="B192" s="150" t="s">
        <v>1023</v>
      </c>
      <c r="C192" s="151">
        <v>1</v>
      </c>
      <c r="D192" s="150" t="s">
        <v>1024</v>
      </c>
      <c r="E192" s="150"/>
      <c r="F192" s="150" t="s">
        <v>907</v>
      </c>
      <c r="G192" s="150"/>
      <c r="H192" s="152">
        <v>7549.2</v>
      </c>
      <c r="I192" s="153"/>
      <c r="J192" s="150" t="s">
        <v>920</v>
      </c>
      <c r="K192" s="150" t="s">
        <v>909</v>
      </c>
      <c r="L192" s="150" t="s">
        <v>10</v>
      </c>
      <c r="M192" s="150" t="s">
        <v>10</v>
      </c>
      <c r="N192" s="154">
        <v>1</v>
      </c>
      <c r="O192" s="153"/>
    </row>
    <row r="193" spans="1:15" ht="11.1" customHeight="1" x14ac:dyDescent="0.2">
      <c r="A193" s="150" t="s">
        <v>924</v>
      </c>
      <c r="B193" s="150" t="s">
        <v>1023</v>
      </c>
      <c r="C193" s="151">
        <v>2</v>
      </c>
      <c r="D193" s="150" t="s">
        <v>1024</v>
      </c>
      <c r="E193" s="150"/>
      <c r="F193" s="150" t="s">
        <v>919</v>
      </c>
      <c r="G193" s="150"/>
      <c r="H193" s="152">
        <v>8542.7999999999993</v>
      </c>
      <c r="I193" s="153"/>
      <c r="J193" s="150" t="s">
        <v>920</v>
      </c>
      <c r="K193" s="150" t="s">
        <v>909</v>
      </c>
      <c r="L193" s="150" t="s">
        <v>10</v>
      </c>
      <c r="M193" s="150" t="s">
        <v>10</v>
      </c>
      <c r="N193" s="154">
        <v>1</v>
      </c>
      <c r="O193" s="153"/>
    </row>
    <row r="194" spans="1:15" ht="11.1" customHeight="1" x14ac:dyDescent="0.2">
      <c r="A194" s="150" t="s">
        <v>924</v>
      </c>
      <c r="B194" s="150" t="s">
        <v>1025</v>
      </c>
      <c r="C194" s="151">
        <v>1</v>
      </c>
      <c r="D194" s="150" t="s">
        <v>1026</v>
      </c>
      <c r="E194" s="150"/>
      <c r="F194" s="150" t="s">
        <v>907</v>
      </c>
      <c r="G194" s="150"/>
      <c r="H194" s="152">
        <v>7549.2</v>
      </c>
      <c r="I194" s="153"/>
      <c r="J194" s="150" t="s">
        <v>920</v>
      </c>
      <c r="K194" s="150" t="s">
        <v>909</v>
      </c>
      <c r="L194" s="150" t="s">
        <v>10</v>
      </c>
      <c r="M194" s="150" t="s">
        <v>10</v>
      </c>
      <c r="N194" s="154">
        <v>1</v>
      </c>
      <c r="O194" s="153"/>
    </row>
    <row r="195" spans="1:15" ht="11.1" customHeight="1" x14ac:dyDescent="0.2">
      <c r="A195" s="150" t="s">
        <v>924</v>
      </c>
      <c r="B195" s="150" t="s">
        <v>1025</v>
      </c>
      <c r="C195" s="151">
        <v>2</v>
      </c>
      <c r="D195" s="150" t="s">
        <v>1026</v>
      </c>
      <c r="E195" s="150"/>
      <c r="F195" s="150" t="s">
        <v>919</v>
      </c>
      <c r="G195" s="150"/>
      <c r="H195" s="152">
        <v>8542.7999999999993</v>
      </c>
      <c r="I195" s="153"/>
      <c r="J195" s="150" t="s">
        <v>920</v>
      </c>
      <c r="K195" s="150" t="s">
        <v>909</v>
      </c>
      <c r="L195" s="150" t="s">
        <v>10</v>
      </c>
      <c r="M195" s="150" t="s">
        <v>10</v>
      </c>
      <c r="N195" s="154">
        <v>1</v>
      </c>
      <c r="O195" s="153"/>
    </row>
    <row r="196" spans="1:15" ht="11.1" customHeight="1" x14ac:dyDescent="0.2">
      <c r="A196" s="150" t="s">
        <v>924</v>
      </c>
      <c r="B196" s="150" t="s">
        <v>1027</v>
      </c>
      <c r="C196" s="151">
        <v>1</v>
      </c>
      <c r="D196" s="150" t="s">
        <v>37</v>
      </c>
      <c r="E196" s="150"/>
      <c r="F196" s="150" t="s">
        <v>907</v>
      </c>
      <c r="G196" s="150"/>
      <c r="H196" s="152">
        <v>5637.6</v>
      </c>
      <c r="I196" s="153"/>
      <c r="J196" s="150" t="s">
        <v>920</v>
      </c>
      <c r="K196" s="150" t="s">
        <v>964</v>
      </c>
      <c r="L196" s="150" t="s">
        <v>10</v>
      </c>
      <c r="M196" s="150" t="s">
        <v>10</v>
      </c>
      <c r="N196" s="154">
        <v>1</v>
      </c>
      <c r="O196" s="153"/>
    </row>
    <row r="197" spans="1:15" ht="11.1" customHeight="1" x14ac:dyDescent="0.2">
      <c r="A197" s="150" t="s">
        <v>924</v>
      </c>
      <c r="B197" s="150" t="s">
        <v>1027</v>
      </c>
      <c r="C197" s="151">
        <v>2</v>
      </c>
      <c r="D197" s="150" t="s">
        <v>37</v>
      </c>
      <c r="E197" s="150"/>
      <c r="F197" s="150" t="s">
        <v>919</v>
      </c>
      <c r="G197" s="150"/>
      <c r="H197" s="152">
        <v>6404.4</v>
      </c>
      <c r="I197" s="153"/>
      <c r="J197" s="150" t="s">
        <v>920</v>
      </c>
      <c r="K197" s="150" t="s">
        <v>964</v>
      </c>
      <c r="L197" s="150" t="s">
        <v>10</v>
      </c>
      <c r="M197" s="150" t="s">
        <v>10</v>
      </c>
      <c r="N197" s="154">
        <v>1</v>
      </c>
      <c r="O197" s="153"/>
    </row>
    <row r="198" spans="1:15" ht="11.1" customHeight="1" x14ac:dyDescent="0.2">
      <c r="A198" s="150" t="s">
        <v>924</v>
      </c>
      <c r="B198" s="150" t="s">
        <v>1028</v>
      </c>
      <c r="C198" s="151">
        <v>75</v>
      </c>
      <c r="D198" s="150" t="s">
        <v>1029</v>
      </c>
      <c r="E198" s="150"/>
      <c r="F198" s="150" t="s">
        <v>343</v>
      </c>
      <c r="G198" s="150"/>
      <c r="H198" s="154">
        <v>290</v>
      </c>
      <c r="I198" s="153"/>
      <c r="J198" s="150" t="s">
        <v>908</v>
      </c>
      <c r="K198" s="150"/>
      <c r="L198" s="150" t="s">
        <v>10</v>
      </c>
      <c r="M198" s="150" t="s">
        <v>10</v>
      </c>
      <c r="N198" s="153"/>
      <c r="O198" s="153"/>
    </row>
    <row r="199" spans="1:15" ht="11.1" customHeight="1" x14ac:dyDescent="0.2">
      <c r="A199" s="150" t="s">
        <v>924</v>
      </c>
      <c r="B199" s="150" t="s">
        <v>1028</v>
      </c>
      <c r="C199" s="151">
        <v>63</v>
      </c>
      <c r="D199" s="150" t="s">
        <v>1029</v>
      </c>
      <c r="E199" s="150"/>
      <c r="F199" s="150" t="s">
        <v>1030</v>
      </c>
      <c r="G199" s="150"/>
      <c r="H199" s="152">
        <v>13990</v>
      </c>
      <c r="I199" s="153"/>
      <c r="J199" s="150" t="s">
        <v>908</v>
      </c>
      <c r="K199" s="150"/>
      <c r="L199" s="150" t="s">
        <v>10</v>
      </c>
      <c r="M199" s="150" t="s">
        <v>10</v>
      </c>
      <c r="N199" s="153"/>
      <c r="O199" s="153"/>
    </row>
    <row r="200" spans="1:15" ht="11.1" customHeight="1" x14ac:dyDescent="0.2">
      <c r="A200" s="150" t="s">
        <v>924</v>
      </c>
      <c r="B200" s="150" t="s">
        <v>1028</v>
      </c>
      <c r="C200" s="151">
        <v>20</v>
      </c>
      <c r="D200" s="150" t="s">
        <v>1029</v>
      </c>
      <c r="E200" s="150"/>
      <c r="F200" s="150" t="s">
        <v>356</v>
      </c>
      <c r="G200" s="150"/>
      <c r="H200" s="152">
        <v>5520</v>
      </c>
      <c r="I200" s="153"/>
      <c r="J200" s="150" t="s">
        <v>908</v>
      </c>
      <c r="K200" s="150"/>
      <c r="L200" s="150" t="s">
        <v>10</v>
      </c>
      <c r="M200" s="150" t="s">
        <v>10</v>
      </c>
      <c r="N200" s="153"/>
      <c r="O200" s="153"/>
    </row>
    <row r="201" spans="1:15" ht="11.1" customHeight="1" x14ac:dyDescent="0.2">
      <c r="A201" s="150" t="s">
        <v>924</v>
      </c>
      <c r="B201" s="150" t="s">
        <v>1028</v>
      </c>
      <c r="C201" s="151">
        <v>45</v>
      </c>
      <c r="D201" s="150" t="s">
        <v>1029</v>
      </c>
      <c r="E201" s="150"/>
      <c r="F201" s="150" t="s">
        <v>301</v>
      </c>
      <c r="G201" s="150"/>
      <c r="H201" s="152">
        <v>11370</v>
      </c>
      <c r="I201" s="153"/>
      <c r="J201" s="150" t="s">
        <v>908</v>
      </c>
      <c r="K201" s="150"/>
      <c r="L201" s="150" t="s">
        <v>10</v>
      </c>
      <c r="M201" s="150" t="s">
        <v>10</v>
      </c>
      <c r="N201" s="153"/>
      <c r="O201" s="153"/>
    </row>
    <row r="202" spans="1:15" ht="11.1" customHeight="1" x14ac:dyDescent="0.2">
      <c r="A202" s="150" t="s">
        <v>924</v>
      </c>
      <c r="B202" s="150" t="s">
        <v>1028</v>
      </c>
      <c r="C202" s="151">
        <v>1</v>
      </c>
      <c r="D202" s="150" t="s">
        <v>1029</v>
      </c>
      <c r="E202" s="150"/>
      <c r="F202" s="150" t="s">
        <v>1031</v>
      </c>
      <c r="G202" s="150"/>
      <c r="H202" s="154">
        <v>550</v>
      </c>
      <c r="I202" s="153"/>
      <c r="J202" s="150" t="s">
        <v>908</v>
      </c>
      <c r="K202" s="150"/>
      <c r="L202" s="150" t="s">
        <v>10</v>
      </c>
      <c r="M202" s="150" t="s">
        <v>10</v>
      </c>
      <c r="N202" s="153"/>
      <c r="O202" s="153"/>
    </row>
    <row r="203" spans="1:15" ht="11.1" customHeight="1" x14ac:dyDescent="0.2">
      <c r="A203" s="150" t="s">
        <v>924</v>
      </c>
      <c r="B203" s="150" t="s">
        <v>1028</v>
      </c>
      <c r="C203" s="151">
        <v>2</v>
      </c>
      <c r="D203" s="150" t="s">
        <v>1029</v>
      </c>
      <c r="E203" s="150"/>
      <c r="F203" s="150" t="s">
        <v>304</v>
      </c>
      <c r="G203" s="150"/>
      <c r="H203" s="154">
        <v>460</v>
      </c>
      <c r="I203" s="153"/>
      <c r="J203" s="150" t="s">
        <v>908</v>
      </c>
      <c r="K203" s="150"/>
      <c r="L203" s="150" t="s">
        <v>10</v>
      </c>
      <c r="M203" s="150" t="s">
        <v>10</v>
      </c>
      <c r="N203" s="153"/>
      <c r="O203" s="153"/>
    </row>
    <row r="204" spans="1:15" ht="11.1" customHeight="1" x14ac:dyDescent="0.2">
      <c r="A204" s="150" t="s">
        <v>924</v>
      </c>
      <c r="B204" s="150" t="s">
        <v>1028</v>
      </c>
      <c r="C204" s="151">
        <v>3</v>
      </c>
      <c r="D204" s="150" t="s">
        <v>1029</v>
      </c>
      <c r="E204" s="150"/>
      <c r="F204" s="150" t="s">
        <v>351</v>
      </c>
      <c r="G204" s="150"/>
      <c r="H204" s="154">
        <v>560</v>
      </c>
      <c r="I204" s="153"/>
      <c r="J204" s="150" t="s">
        <v>908</v>
      </c>
      <c r="K204" s="150"/>
      <c r="L204" s="150" t="s">
        <v>10</v>
      </c>
      <c r="M204" s="150" t="s">
        <v>10</v>
      </c>
      <c r="N204" s="153"/>
      <c r="O204" s="153"/>
    </row>
    <row r="205" spans="1:15" ht="11.1" customHeight="1" x14ac:dyDescent="0.2">
      <c r="A205" s="150" t="s">
        <v>924</v>
      </c>
      <c r="B205" s="150" t="s">
        <v>1028</v>
      </c>
      <c r="C205" s="151">
        <v>4</v>
      </c>
      <c r="D205" s="150" t="s">
        <v>1029</v>
      </c>
      <c r="E205" s="150"/>
      <c r="F205" s="150" t="s">
        <v>305</v>
      </c>
      <c r="G205" s="150"/>
      <c r="H205" s="154">
        <v>810</v>
      </c>
      <c r="I205" s="153"/>
      <c r="J205" s="150" t="s">
        <v>908</v>
      </c>
      <c r="K205" s="150"/>
      <c r="L205" s="150" t="s">
        <v>10</v>
      </c>
      <c r="M205" s="150" t="s">
        <v>10</v>
      </c>
      <c r="N205" s="153"/>
      <c r="O205" s="153"/>
    </row>
    <row r="206" spans="1:15" ht="11.1" customHeight="1" x14ac:dyDescent="0.2">
      <c r="A206" s="150" t="s">
        <v>924</v>
      </c>
      <c r="B206" s="150" t="s">
        <v>1028</v>
      </c>
      <c r="C206" s="151">
        <v>5</v>
      </c>
      <c r="D206" s="150" t="s">
        <v>1029</v>
      </c>
      <c r="E206" s="150"/>
      <c r="F206" s="150" t="s">
        <v>352</v>
      </c>
      <c r="G206" s="150"/>
      <c r="H206" s="154">
        <v>700</v>
      </c>
      <c r="I206" s="153"/>
      <c r="J206" s="150" t="s">
        <v>908</v>
      </c>
      <c r="K206" s="150"/>
      <c r="L206" s="150" t="s">
        <v>10</v>
      </c>
      <c r="M206" s="150" t="s">
        <v>10</v>
      </c>
      <c r="N206" s="153"/>
      <c r="O206" s="153"/>
    </row>
    <row r="207" spans="1:15" ht="11.1" customHeight="1" x14ac:dyDescent="0.2">
      <c r="A207" s="150" t="s">
        <v>924</v>
      </c>
      <c r="B207" s="150" t="s">
        <v>1028</v>
      </c>
      <c r="C207" s="151">
        <v>6</v>
      </c>
      <c r="D207" s="150" t="s">
        <v>1029</v>
      </c>
      <c r="E207" s="150"/>
      <c r="F207" s="150" t="s">
        <v>308</v>
      </c>
      <c r="G207" s="150"/>
      <c r="H207" s="154">
        <v>750</v>
      </c>
      <c r="I207" s="153"/>
      <c r="J207" s="150" t="s">
        <v>908</v>
      </c>
      <c r="K207" s="150"/>
      <c r="L207" s="150" t="s">
        <v>10</v>
      </c>
      <c r="M207" s="150" t="s">
        <v>10</v>
      </c>
      <c r="N207" s="153"/>
      <c r="O207" s="153"/>
    </row>
    <row r="208" spans="1:15" ht="11.1" customHeight="1" x14ac:dyDescent="0.2">
      <c r="A208" s="150" t="s">
        <v>924</v>
      </c>
      <c r="B208" s="150" t="s">
        <v>1028</v>
      </c>
      <c r="C208" s="151">
        <v>7</v>
      </c>
      <c r="D208" s="150" t="s">
        <v>1029</v>
      </c>
      <c r="E208" s="150"/>
      <c r="F208" s="150" t="s">
        <v>309</v>
      </c>
      <c r="G208" s="150"/>
      <c r="H208" s="154">
        <v>950</v>
      </c>
      <c r="I208" s="153"/>
      <c r="J208" s="150" t="s">
        <v>908</v>
      </c>
      <c r="K208" s="150"/>
      <c r="L208" s="150" t="s">
        <v>10</v>
      </c>
      <c r="M208" s="150" t="s">
        <v>10</v>
      </c>
      <c r="N208" s="153"/>
      <c r="O208" s="153"/>
    </row>
    <row r="209" spans="1:15" ht="11.1" customHeight="1" x14ac:dyDescent="0.2">
      <c r="A209" s="150" t="s">
        <v>924</v>
      </c>
      <c r="B209" s="150" t="s">
        <v>1028</v>
      </c>
      <c r="C209" s="151">
        <v>8</v>
      </c>
      <c r="D209" s="150" t="s">
        <v>1029</v>
      </c>
      <c r="E209" s="150"/>
      <c r="F209" s="150" t="s">
        <v>353</v>
      </c>
      <c r="G209" s="150"/>
      <c r="H209" s="154">
        <v>750</v>
      </c>
      <c r="I209" s="153"/>
      <c r="J209" s="150" t="s">
        <v>908</v>
      </c>
      <c r="K209" s="150"/>
      <c r="L209" s="150" t="s">
        <v>10</v>
      </c>
      <c r="M209" s="150" t="s">
        <v>10</v>
      </c>
      <c r="N209" s="153"/>
      <c r="O209" s="153"/>
    </row>
    <row r="210" spans="1:15" ht="11.1" customHeight="1" x14ac:dyDescent="0.2">
      <c r="A210" s="150" t="s">
        <v>924</v>
      </c>
      <c r="B210" s="150" t="s">
        <v>1028</v>
      </c>
      <c r="C210" s="151">
        <v>9</v>
      </c>
      <c r="D210" s="150" t="s">
        <v>1029</v>
      </c>
      <c r="E210" s="150"/>
      <c r="F210" s="150" t="s">
        <v>320</v>
      </c>
      <c r="G210" s="150"/>
      <c r="H210" s="154">
        <v>650</v>
      </c>
      <c r="I210" s="153"/>
      <c r="J210" s="150" t="s">
        <v>908</v>
      </c>
      <c r="K210" s="150"/>
      <c r="L210" s="150" t="s">
        <v>10</v>
      </c>
      <c r="M210" s="150" t="s">
        <v>10</v>
      </c>
      <c r="N210" s="153"/>
      <c r="O210" s="153"/>
    </row>
    <row r="211" spans="1:15" ht="11.1" customHeight="1" x14ac:dyDescent="0.2">
      <c r="A211" s="150" t="s">
        <v>924</v>
      </c>
      <c r="B211" s="150" t="s">
        <v>1028</v>
      </c>
      <c r="C211" s="151">
        <v>10</v>
      </c>
      <c r="D211" s="150" t="s">
        <v>1029</v>
      </c>
      <c r="E211" s="150"/>
      <c r="F211" s="150" t="s">
        <v>342</v>
      </c>
      <c r="G211" s="150"/>
      <c r="H211" s="154">
        <v>850</v>
      </c>
      <c r="I211" s="153"/>
      <c r="J211" s="150" t="s">
        <v>908</v>
      </c>
      <c r="K211" s="150"/>
      <c r="L211" s="150" t="s">
        <v>10</v>
      </c>
      <c r="M211" s="150" t="s">
        <v>10</v>
      </c>
      <c r="N211" s="153"/>
      <c r="O211" s="153"/>
    </row>
    <row r="212" spans="1:15" ht="11.1" customHeight="1" x14ac:dyDescent="0.2">
      <c r="A212" s="150" t="s">
        <v>924</v>
      </c>
      <c r="B212" s="150" t="s">
        <v>1028</v>
      </c>
      <c r="C212" s="151">
        <v>14</v>
      </c>
      <c r="D212" s="150" t="s">
        <v>1029</v>
      </c>
      <c r="E212" s="150"/>
      <c r="F212" s="150" t="s">
        <v>354</v>
      </c>
      <c r="G212" s="150"/>
      <c r="H212" s="154">
        <v>340</v>
      </c>
      <c r="I212" s="153"/>
      <c r="J212" s="150" t="s">
        <v>908</v>
      </c>
      <c r="K212" s="150"/>
      <c r="L212" s="150" t="s">
        <v>10</v>
      </c>
      <c r="M212" s="150" t="s">
        <v>10</v>
      </c>
      <c r="N212" s="153"/>
      <c r="O212" s="153"/>
    </row>
    <row r="213" spans="1:15" ht="11.1" customHeight="1" x14ac:dyDescent="0.2">
      <c r="A213" s="150" t="s">
        <v>924</v>
      </c>
      <c r="B213" s="150" t="s">
        <v>1028</v>
      </c>
      <c r="C213" s="151">
        <v>15</v>
      </c>
      <c r="D213" s="150" t="s">
        <v>1029</v>
      </c>
      <c r="E213" s="150"/>
      <c r="F213" s="150" t="s">
        <v>334</v>
      </c>
      <c r="G213" s="150"/>
      <c r="H213" s="154">
        <v>760</v>
      </c>
      <c r="I213" s="153"/>
      <c r="J213" s="150" t="s">
        <v>908</v>
      </c>
      <c r="K213" s="150"/>
      <c r="L213" s="150" t="s">
        <v>10</v>
      </c>
      <c r="M213" s="150" t="s">
        <v>10</v>
      </c>
      <c r="N213" s="153"/>
      <c r="O213" s="153"/>
    </row>
    <row r="214" spans="1:15" ht="11.1" customHeight="1" x14ac:dyDescent="0.2">
      <c r="A214" s="150" t="s">
        <v>924</v>
      </c>
      <c r="B214" s="150" t="s">
        <v>1028</v>
      </c>
      <c r="C214" s="151">
        <v>16</v>
      </c>
      <c r="D214" s="150" t="s">
        <v>1029</v>
      </c>
      <c r="E214" s="150"/>
      <c r="F214" s="150" t="s">
        <v>324</v>
      </c>
      <c r="G214" s="150"/>
      <c r="H214" s="154">
        <v>600</v>
      </c>
      <c r="I214" s="153"/>
      <c r="J214" s="150" t="s">
        <v>908</v>
      </c>
      <c r="K214" s="150"/>
      <c r="L214" s="150" t="s">
        <v>10</v>
      </c>
      <c r="M214" s="150" t="s">
        <v>10</v>
      </c>
      <c r="N214" s="153"/>
      <c r="O214" s="153"/>
    </row>
    <row r="215" spans="1:15" ht="11.1" customHeight="1" x14ac:dyDescent="0.2">
      <c r="A215" s="150" t="s">
        <v>924</v>
      </c>
      <c r="B215" s="150" t="s">
        <v>1028</v>
      </c>
      <c r="C215" s="151">
        <v>11</v>
      </c>
      <c r="D215" s="150" t="s">
        <v>1029</v>
      </c>
      <c r="E215" s="150"/>
      <c r="F215" s="150" t="s">
        <v>318</v>
      </c>
      <c r="G215" s="150"/>
      <c r="H215" s="154">
        <v>740</v>
      </c>
      <c r="I215" s="153"/>
      <c r="J215" s="150" t="s">
        <v>908</v>
      </c>
      <c r="K215" s="150"/>
      <c r="L215" s="150" t="s">
        <v>10</v>
      </c>
      <c r="M215" s="150" t="s">
        <v>10</v>
      </c>
      <c r="N215" s="153"/>
      <c r="O215" s="153"/>
    </row>
    <row r="216" spans="1:15" ht="11.1" customHeight="1" x14ac:dyDescent="0.2">
      <c r="A216" s="150" t="s">
        <v>924</v>
      </c>
      <c r="B216" s="150" t="s">
        <v>1028</v>
      </c>
      <c r="C216" s="151">
        <v>12</v>
      </c>
      <c r="D216" s="150" t="s">
        <v>1029</v>
      </c>
      <c r="E216" s="150"/>
      <c r="F216" s="150" t="s">
        <v>1032</v>
      </c>
      <c r="G216" s="150"/>
      <c r="H216" s="154">
        <v>940</v>
      </c>
      <c r="I216" s="153"/>
      <c r="J216" s="150" t="s">
        <v>908</v>
      </c>
      <c r="K216" s="150"/>
      <c r="L216" s="150" t="s">
        <v>10</v>
      </c>
      <c r="M216" s="150" t="s">
        <v>10</v>
      </c>
      <c r="N216" s="153"/>
      <c r="O216" s="153"/>
    </row>
    <row r="217" spans="1:15" ht="11.1" customHeight="1" x14ac:dyDescent="0.2">
      <c r="A217" s="150" t="s">
        <v>924</v>
      </c>
      <c r="B217" s="150" t="s">
        <v>1028</v>
      </c>
      <c r="C217" s="151">
        <v>13</v>
      </c>
      <c r="D217" s="150" t="s">
        <v>1029</v>
      </c>
      <c r="E217" s="150"/>
      <c r="F217" s="150" t="s">
        <v>1033</v>
      </c>
      <c r="G217" s="150"/>
      <c r="H217" s="152">
        <v>1130</v>
      </c>
      <c r="I217" s="153"/>
      <c r="J217" s="150" t="s">
        <v>908</v>
      </c>
      <c r="K217" s="150"/>
      <c r="L217" s="150" t="s">
        <v>10</v>
      </c>
      <c r="M217" s="150" t="s">
        <v>10</v>
      </c>
      <c r="N217" s="153"/>
      <c r="O217" s="153"/>
    </row>
    <row r="218" spans="1:15" ht="11.1" customHeight="1" x14ac:dyDescent="0.2">
      <c r="A218" s="150" t="s">
        <v>924</v>
      </c>
      <c r="B218" s="150" t="s">
        <v>1028</v>
      </c>
      <c r="C218" s="151">
        <v>30</v>
      </c>
      <c r="D218" s="150" t="s">
        <v>1029</v>
      </c>
      <c r="E218" s="150"/>
      <c r="F218" s="150" t="s">
        <v>336</v>
      </c>
      <c r="G218" s="150"/>
      <c r="H218" s="152">
        <v>4920</v>
      </c>
      <c r="I218" s="153"/>
      <c r="J218" s="150" t="s">
        <v>908</v>
      </c>
      <c r="K218" s="150"/>
      <c r="L218" s="150" t="s">
        <v>10</v>
      </c>
      <c r="M218" s="150" t="s">
        <v>10</v>
      </c>
      <c r="N218" s="153"/>
      <c r="O218" s="153"/>
    </row>
    <row r="219" spans="1:15" ht="11.1" customHeight="1" x14ac:dyDescent="0.2">
      <c r="A219" s="150" t="s">
        <v>924</v>
      </c>
      <c r="B219" s="150" t="s">
        <v>1028</v>
      </c>
      <c r="C219" s="151">
        <v>31</v>
      </c>
      <c r="D219" s="150" t="s">
        <v>1029</v>
      </c>
      <c r="E219" s="150"/>
      <c r="F219" s="150" t="s">
        <v>337</v>
      </c>
      <c r="G219" s="150"/>
      <c r="H219" s="152">
        <v>5530</v>
      </c>
      <c r="I219" s="153"/>
      <c r="J219" s="150" t="s">
        <v>908</v>
      </c>
      <c r="K219" s="150"/>
      <c r="L219" s="150" t="s">
        <v>10</v>
      </c>
      <c r="M219" s="150" t="s">
        <v>10</v>
      </c>
      <c r="N219" s="153"/>
      <c r="O219" s="153"/>
    </row>
    <row r="220" spans="1:15" ht="11.1" customHeight="1" x14ac:dyDescent="0.2">
      <c r="A220" s="150" t="s">
        <v>924</v>
      </c>
      <c r="B220" s="150" t="s">
        <v>1028</v>
      </c>
      <c r="C220" s="151">
        <v>32</v>
      </c>
      <c r="D220" s="150" t="s">
        <v>1029</v>
      </c>
      <c r="E220" s="150"/>
      <c r="F220" s="150" t="s">
        <v>338</v>
      </c>
      <c r="G220" s="150"/>
      <c r="H220" s="152">
        <v>6130</v>
      </c>
      <c r="I220" s="153"/>
      <c r="J220" s="150" t="s">
        <v>908</v>
      </c>
      <c r="K220" s="150"/>
      <c r="L220" s="150" t="s">
        <v>10</v>
      </c>
      <c r="M220" s="150" t="s">
        <v>10</v>
      </c>
      <c r="N220" s="153"/>
      <c r="O220" s="153"/>
    </row>
    <row r="221" spans="1:15" ht="11.1" customHeight="1" x14ac:dyDescent="0.2">
      <c r="A221" s="150" t="s">
        <v>924</v>
      </c>
      <c r="B221" s="150" t="s">
        <v>1028</v>
      </c>
      <c r="C221" s="151">
        <v>46</v>
      </c>
      <c r="D221" s="150" t="s">
        <v>1029</v>
      </c>
      <c r="E221" s="150"/>
      <c r="F221" s="150" t="s">
        <v>1034</v>
      </c>
      <c r="G221" s="150"/>
      <c r="H221" s="154">
        <v>820</v>
      </c>
      <c r="I221" s="153"/>
      <c r="J221" s="150" t="s">
        <v>908</v>
      </c>
      <c r="K221" s="150"/>
      <c r="L221" s="150" t="s">
        <v>10</v>
      </c>
      <c r="M221" s="150" t="s">
        <v>10</v>
      </c>
      <c r="N221" s="153"/>
      <c r="O221" s="153"/>
    </row>
    <row r="222" spans="1:15" ht="11.1" customHeight="1" x14ac:dyDescent="0.2">
      <c r="A222" s="150" t="s">
        <v>924</v>
      </c>
      <c r="B222" s="150" t="s">
        <v>1028</v>
      </c>
      <c r="C222" s="151">
        <v>53</v>
      </c>
      <c r="D222" s="150" t="s">
        <v>1029</v>
      </c>
      <c r="E222" s="150"/>
      <c r="F222" s="150" t="s">
        <v>1035</v>
      </c>
      <c r="G222" s="150"/>
      <c r="H222" s="154">
        <v>450</v>
      </c>
      <c r="I222" s="153"/>
      <c r="J222" s="150" t="s">
        <v>908</v>
      </c>
      <c r="K222" s="150"/>
      <c r="L222" s="150" t="s">
        <v>10</v>
      </c>
      <c r="M222" s="150" t="s">
        <v>10</v>
      </c>
      <c r="N222" s="153"/>
      <c r="O222" s="153"/>
    </row>
    <row r="223" spans="1:15" ht="11.1" customHeight="1" x14ac:dyDescent="0.2">
      <c r="A223" s="150" t="s">
        <v>924</v>
      </c>
      <c r="B223" s="150" t="s">
        <v>1028</v>
      </c>
      <c r="C223" s="151">
        <v>49</v>
      </c>
      <c r="D223" s="150" t="s">
        <v>1029</v>
      </c>
      <c r="E223" s="150"/>
      <c r="F223" s="150" t="s">
        <v>322</v>
      </c>
      <c r="G223" s="150"/>
      <c r="H223" s="152">
        <v>1300</v>
      </c>
      <c r="I223" s="153"/>
      <c r="J223" s="150" t="s">
        <v>908</v>
      </c>
      <c r="K223" s="150"/>
      <c r="L223" s="150" t="s">
        <v>10</v>
      </c>
      <c r="M223" s="150" t="s">
        <v>10</v>
      </c>
      <c r="N223" s="153"/>
      <c r="O223" s="153"/>
    </row>
    <row r="224" spans="1:15" ht="11.1" customHeight="1" x14ac:dyDescent="0.2">
      <c r="A224" s="150" t="s">
        <v>924</v>
      </c>
      <c r="B224" s="150" t="s">
        <v>1028</v>
      </c>
      <c r="C224" s="151">
        <v>58</v>
      </c>
      <c r="D224" s="150" t="s">
        <v>1029</v>
      </c>
      <c r="E224" s="150"/>
      <c r="F224" s="150" t="s">
        <v>368</v>
      </c>
      <c r="G224" s="150"/>
      <c r="H224" s="152">
        <v>3740</v>
      </c>
      <c r="I224" s="153"/>
      <c r="J224" s="150" t="s">
        <v>908</v>
      </c>
      <c r="K224" s="150"/>
      <c r="L224" s="150" t="s">
        <v>10</v>
      </c>
      <c r="M224" s="150" t="s">
        <v>10</v>
      </c>
      <c r="N224" s="153"/>
      <c r="O224" s="153"/>
    </row>
    <row r="225" spans="1:15" ht="11.1" customHeight="1" x14ac:dyDescent="0.2">
      <c r="A225" s="150" t="s">
        <v>924</v>
      </c>
      <c r="B225" s="150" t="s">
        <v>1028</v>
      </c>
      <c r="C225" s="151">
        <v>59</v>
      </c>
      <c r="D225" s="150" t="s">
        <v>1029</v>
      </c>
      <c r="E225" s="150"/>
      <c r="F225" s="150" t="s">
        <v>369</v>
      </c>
      <c r="G225" s="150"/>
      <c r="H225" s="152">
        <v>3740</v>
      </c>
      <c r="I225" s="153"/>
      <c r="J225" s="150" t="s">
        <v>908</v>
      </c>
      <c r="K225" s="150"/>
      <c r="L225" s="150" t="s">
        <v>10</v>
      </c>
      <c r="M225" s="150" t="s">
        <v>10</v>
      </c>
      <c r="N225" s="153"/>
      <c r="O225" s="153"/>
    </row>
    <row r="226" spans="1:15" ht="11.1" customHeight="1" x14ac:dyDescent="0.2">
      <c r="A226" s="150" t="s">
        <v>924</v>
      </c>
      <c r="B226" s="150" t="s">
        <v>1028</v>
      </c>
      <c r="C226" s="151">
        <v>60</v>
      </c>
      <c r="D226" s="150" t="s">
        <v>1029</v>
      </c>
      <c r="E226" s="150"/>
      <c r="F226" s="150" t="s">
        <v>1036</v>
      </c>
      <c r="G226" s="150"/>
      <c r="H226" s="152">
        <v>5160</v>
      </c>
      <c r="I226" s="153"/>
      <c r="J226" s="150" t="s">
        <v>908</v>
      </c>
      <c r="K226" s="150"/>
      <c r="L226" s="150" t="s">
        <v>10</v>
      </c>
      <c r="M226" s="150" t="s">
        <v>10</v>
      </c>
      <c r="N226" s="153"/>
      <c r="O226" s="153"/>
    </row>
    <row r="227" spans="1:15" ht="11.1" customHeight="1" x14ac:dyDescent="0.2">
      <c r="A227" s="150" t="s">
        <v>924</v>
      </c>
      <c r="B227" s="150" t="s">
        <v>1028</v>
      </c>
      <c r="C227" s="151">
        <v>65</v>
      </c>
      <c r="D227" s="150" t="s">
        <v>1029</v>
      </c>
      <c r="E227" s="150"/>
      <c r="F227" s="150" t="s">
        <v>371</v>
      </c>
      <c r="G227" s="150"/>
      <c r="H227" s="154">
        <v>590</v>
      </c>
      <c r="I227" s="153"/>
      <c r="J227" s="150" t="s">
        <v>908</v>
      </c>
      <c r="K227" s="150"/>
      <c r="L227" s="150" t="s">
        <v>10</v>
      </c>
      <c r="M227" s="150" t="s">
        <v>10</v>
      </c>
      <c r="N227" s="153"/>
      <c r="O227" s="153"/>
    </row>
    <row r="228" spans="1:15" ht="11.1" customHeight="1" x14ac:dyDescent="0.2">
      <c r="A228" s="150" t="s">
        <v>924</v>
      </c>
      <c r="B228" s="150" t="s">
        <v>1028</v>
      </c>
      <c r="C228" s="151">
        <v>77</v>
      </c>
      <c r="D228" s="150" t="s">
        <v>1029</v>
      </c>
      <c r="E228" s="150"/>
      <c r="F228" s="150" t="s">
        <v>372</v>
      </c>
      <c r="G228" s="150"/>
      <c r="H228" s="154">
        <v>0.01</v>
      </c>
      <c r="I228" s="153"/>
      <c r="J228" s="150" t="s">
        <v>908</v>
      </c>
      <c r="K228" s="150"/>
      <c r="L228" s="150" t="s">
        <v>10</v>
      </c>
      <c r="M228" s="150" t="s">
        <v>10</v>
      </c>
      <c r="N228" s="153"/>
      <c r="O228" s="153"/>
    </row>
    <row r="229" spans="1:15" ht="11.1" customHeight="1" x14ac:dyDescent="0.2">
      <c r="A229" s="150" t="s">
        <v>924</v>
      </c>
      <c r="B229" s="150" t="s">
        <v>1028</v>
      </c>
      <c r="C229" s="151">
        <v>78</v>
      </c>
      <c r="D229" s="150" t="s">
        <v>1029</v>
      </c>
      <c r="E229" s="150"/>
      <c r="F229" s="150" t="s">
        <v>373</v>
      </c>
      <c r="G229" s="150"/>
      <c r="H229" s="154">
        <v>0.01</v>
      </c>
      <c r="I229" s="153"/>
      <c r="J229" s="150" t="s">
        <v>908</v>
      </c>
      <c r="K229" s="150"/>
      <c r="L229" s="150" t="s">
        <v>10</v>
      </c>
      <c r="M229" s="150" t="s">
        <v>10</v>
      </c>
      <c r="N229" s="153"/>
      <c r="O229" s="153"/>
    </row>
    <row r="230" spans="1:15" ht="11.1" customHeight="1" x14ac:dyDescent="0.2">
      <c r="A230" s="150" t="s">
        <v>924</v>
      </c>
      <c r="B230" s="150" t="s">
        <v>1028</v>
      </c>
      <c r="C230" s="151">
        <v>79</v>
      </c>
      <c r="D230" s="150" t="s">
        <v>1029</v>
      </c>
      <c r="E230" s="150"/>
      <c r="F230" s="150" t="s">
        <v>374</v>
      </c>
      <c r="G230" s="150"/>
      <c r="H230" s="154">
        <v>0.01</v>
      </c>
      <c r="I230" s="153"/>
      <c r="J230" s="150" t="s">
        <v>908</v>
      </c>
      <c r="K230" s="150"/>
      <c r="L230" s="150" t="s">
        <v>10</v>
      </c>
      <c r="M230" s="150" t="s">
        <v>10</v>
      </c>
      <c r="N230" s="153"/>
      <c r="O230" s="153"/>
    </row>
    <row r="231" spans="1:15" ht="11.1" customHeight="1" x14ac:dyDescent="0.2">
      <c r="A231" s="150" t="s">
        <v>924</v>
      </c>
      <c r="B231" s="150" t="s">
        <v>1028</v>
      </c>
      <c r="C231" s="151">
        <v>80</v>
      </c>
      <c r="D231" s="150" t="s">
        <v>1029</v>
      </c>
      <c r="E231" s="150"/>
      <c r="F231" s="150" t="s">
        <v>375</v>
      </c>
      <c r="G231" s="150"/>
      <c r="H231" s="154">
        <v>0.01</v>
      </c>
      <c r="I231" s="153"/>
      <c r="J231" s="150" t="s">
        <v>908</v>
      </c>
      <c r="K231" s="150"/>
      <c r="L231" s="150" t="s">
        <v>10</v>
      </c>
      <c r="M231" s="150" t="s">
        <v>10</v>
      </c>
      <c r="N231" s="153"/>
      <c r="O231" s="153"/>
    </row>
    <row r="232" spans="1:15" ht="11.1" customHeight="1" x14ac:dyDescent="0.2">
      <c r="A232" s="150" t="s">
        <v>924</v>
      </c>
      <c r="B232" s="150" t="s">
        <v>1028</v>
      </c>
      <c r="C232" s="151">
        <v>69</v>
      </c>
      <c r="D232" s="150" t="s">
        <v>1029</v>
      </c>
      <c r="E232" s="150"/>
      <c r="F232" s="150" t="s">
        <v>1037</v>
      </c>
      <c r="G232" s="150"/>
      <c r="H232" s="154">
        <v>0.01</v>
      </c>
      <c r="I232" s="153"/>
      <c r="J232" s="150" t="s">
        <v>908</v>
      </c>
      <c r="K232" s="150"/>
      <c r="L232" s="150" t="s">
        <v>10</v>
      </c>
      <c r="M232" s="150" t="s">
        <v>10</v>
      </c>
      <c r="N232" s="153"/>
      <c r="O232" s="153"/>
    </row>
    <row r="233" spans="1:15" ht="11.1" customHeight="1" x14ac:dyDescent="0.2">
      <c r="A233" s="150" t="s">
        <v>924</v>
      </c>
      <c r="B233" s="150" t="s">
        <v>1028</v>
      </c>
      <c r="C233" s="151">
        <v>70</v>
      </c>
      <c r="D233" s="150" t="s">
        <v>1029</v>
      </c>
      <c r="E233" s="150"/>
      <c r="F233" s="150" t="s">
        <v>1038</v>
      </c>
      <c r="G233" s="150"/>
      <c r="H233" s="154">
        <v>0.01</v>
      </c>
      <c r="I233" s="153"/>
      <c r="J233" s="150" t="s">
        <v>908</v>
      </c>
      <c r="K233" s="150"/>
      <c r="L233" s="150" t="s">
        <v>10</v>
      </c>
      <c r="M233" s="150" t="s">
        <v>10</v>
      </c>
      <c r="N233" s="153"/>
      <c r="O233" s="153"/>
    </row>
    <row r="234" spans="1:15" ht="11.1" customHeight="1" x14ac:dyDescent="0.2">
      <c r="A234" s="150" t="s">
        <v>924</v>
      </c>
      <c r="B234" s="150" t="s">
        <v>1028</v>
      </c>
      <c r="C234" s="151">
        <v>71</v>
      </c>
      <c r="D234" s="150" t="s">
        <v>1029</v>
      </c>
      <c r="E234" s="150"/>
      <c r="F234" s="150" t="s">
        <v>1039</v>
      </c>
      <c r="G234" s="150"/>
      <c r="H234" s="154">
        <v>0.01</v>
      </c>
      <c r="I234" s="153"/>
      <c r="J234" s="150" t="s">
        <v>908</v>
      </c>
      <c r="K234" s="150"/>
      <c r="L234" s="150" t="s">
        <v>10</v>
      </c>
      <c r="M234" s="150" t="s">
        <v>10</v>
      </c>
      <c r="N234" s="153"/>
      <c r="O234" s="153"/>
    </row>
    <row r="235" spans="1:15" ht="11.1" customHeight="1" x14ac:dyDescent="0.2">
      <c r="A235" s="150" t="s">
        <v>924</v>
      </c>
      <c r="B235" s="150" t="s">
        <v>1028</v>
      </c>
      <c r="C235" s="151">
        <v>68</v>
      </c>
      <c r="D235" s="150" t="s">
        <v>1029</v>
      </c>
      <c r="E235" s="150"/>
      <c r="F235" s="150" t="s">
        <v>307</v>
      </c>
      <c r="G235" s="150"/>
      <c r="H235" s="154">
        <v>30</v>
      </c>
      <c r="I235" s="153"/>
      <c r="J235" s="150" t="s">
        <v>908</v>
      </c>
      <c r="K235" s="150"/>
      <c r="L235" s="150" t="s">
        <v>10</v>
      </c>
      <c r="M235" s="150" t="s">
        <v>10</v>
      </c>
      <c r="N235" s="153"/>
      <c r="O235" s="153"/>
    </row>
    <row r="236" spans="1:15" ht="11.1" customHeight="1" x14ac:dyDescent="0.2">
      <c r="A236" s="150" t="s">
        <v>924</v>
      </c>
      <c r="B236" s="150" t="s">
        <v>1028</v>
      </c>
      <c r="C236" s="151">
        <v>73</v>
      </c>
      <c r="D236" s="150" t="s">
        <v>1029</v>
      </c>
      <c r="E236" s="150"/>
      <c r="F236" s="150" t="s">
        <v>1040</v>
      </c>
      <c r="G236" s="150"/>
      <c r="H236" s="154">
        <v>20</v>
      </c>
      <c r="I236" s="153"/>
      <c r="J236" s="150" t="s">
        <v>908</v>
      </c>
      <c r="K236" s="150"/>
      <c r="L236" s="150" t="s">
        <v>10</v>
      </c>
      <c r="M236" s="150" t="s">
        <v>10</v>
      </c>
      <c r="N236" s="153"/>
      <c r="O236" s="153"/>
    </row>
    <row r="237" spans="1:15" ht="11.1" customHeight="1" x14ac:dyDescent="0.2">
      <c r="A237" s="150" t="s">
        <v>924</v>
      </c>
      <c r="B237" s="150" t="s">
        <v>1028</v>
      </c>
      <c r="C237" s="151">
        <v>74</v>
      </c>
      <c r="D237" s="150" t="s">
        <v>1029</v>
      </c>
      <c r="E237" s="150"/>
      <c r="F237" s="150" t="s">
        <v>323</v>
      </c>
      <c r="G237" s="150"/>
      <c r="H237" s="154">
        <v>390</v>
      </c>
      <c r="I237" s="153"/>
      <c r="J237" s="150" t="s">
        <v>908</v>
      </c>
      <c r="K237" s="150"/>
      <c r="L237" s="150" t="s">
        <v>10</v>
      </c>
      <c r="M237" s="150" t="s">
        <v>10</v>
      </c>
      <c r="N237" s="153"/>
      <c r="O237" s="153"/>
    </row>
    <row r="238" spans="1:15" ht="11.1" customHeight="1" x14ac:dyDescent="0.2">
      <c r="A238" s="150" t="s">
        <v>924</v>
      </c>
      <c r="B238" s="150" t="s">
        <v>1028</v>
      </c>
      <c r="C238" s="151">
        <v>76</v>
      </c>
      <c r="D238" s="150" t="s">
        <v>1029</v>
      </c>
      <c r="E238" s="150"/>
      <c r="F238" s="150" t="s">
        <v>303</v>
      </c>
      <c r="G238" s="150"/>
      <c r="H238" s="154">
        <v>10</v>
      </c>
      <c r="I238" s="153"/>
      <c r="J238" s="150" t="s">
        <v>908</v>
      </c>
      <c r="K238" s="150"/>
      <c r="L238" s="150" t="s">
        <v>10</v>
      </c>
      <c r="M238" s="150" t="s">
        <v>10</v>
      </c>
      <c r="N238" s="153"/>
      <c r="O238" s="153"/>
    </row>
    <row r="239" spans="1:15" ht="11.1" customHeight="1" x14ac:dyDescent="0.2">
      <c r="A239" s="150" t="s">
        <v>924</v>
      </c>
      <c r="B239" s="150" t="s">
        <v>1028</v>
      </c>
      <c r="C239" s="151">
        <v>62</v>
      </c>
      <c r="D239" s="150" t="s">
        <v>1029</v>
      </c>
      <c r="E239" s="150"/>
      <c r="F239" s="150" t="s">
        <v>370</v>
      </c>
      <c r="G239" s="150"/>
      <c r="H239" s="152">
        <v>6940</v>
      </c>
      <c r="I239" s="153"/>
      <c r="J239" s="150" t="s">
        <v>908</v>
      </c>
      <c r="K239" s="150"/>
      <c r="L239" s="150" t="s">
        <v>10</v>
      </c>
      <c r="M239" s="150" t="s">
        <v>10</v>
      </c>
      <c r="N239" s="153"/>
      <c r="O239" s="153"/>
    </row>
    <row r="240" spans="1:15" ht="11.1" customHeight="1" x14ac:dyDescent="0.2">
      <c r="A240" s="150" t="s">
        <v>924</v>
      </c>
      <c r="B240" s="150" t="s">
        <v>1028</v>
      </c>
      <c r="C240" s="151">
        <v>28</v>
      </c>
      <c r="D240" s="150" t="s">
        <v>1029</v>
      </c>
      <c r="E240" s="150"/>
      <c r="F240" s="150" t="s">
        <v>344</v>
      </c>
      <c r="G240" s="150"/>
      <c r="H240" s="152">
        <v>5040</v>
      </c>
      <c r="I240" s="153"/>
      <c r="J240" s="150" t="s">
        <v>908</v>
      </c>
      <c r="K240" s="150"/>
      <c r="L240" s="150" t="s">
        <v>10</v>
      </c>
      <c r="M240" s="150" t="s">
        <v>10</v>
      </c>
      <c r="N240" s="153"/>
      <c r="O240" s="153"/>
    </row>
    <row r="241" spans="1:15" ht="11.1" customHeight="1" x14ac:dyDescent="0.2">
      <c r="A241" s="150" t="s">
        <v>924</v>
      </c>
      <c r="B241" s="150" t="s">
        <v>1028</v>
      </c>
      <c r="C241" s="151">
        <v>29</v>
      </c>
      <c r="D241" s="150" t="s">
        <v>1029</v>
      </c>
      <c r="E241" s="150"/>
      <c r="F241" s="150" t="s">
        <v>313</v>
      </c>
      <c r="G241" s="150"/>
      <c r="H241" s="152">
        <v>4140</v>
      </c>
      <c r="I241" s="153"/>
      <c r="J241" s="150" t="s">
        <v>908</v>
      </c>
      <c r="K241" s="150"/>
      <c r="L241" s="150" t="s">
        <v>10</v>
      </c>
      <c r="M241" s="150" t="s">
        <v>10</v>
      </c>
      <c r="N241" s="153"/>
      <c r="O241" s="153"/>
    </row>
    <row r="242" spans="1:15" ht="11.1" customHeight="1" x14ac:dyDescent="0.2">
      <c r="A242" s="150" t="s">
        <v>924</v>
      </c>
      <c r="B242" s="150" t="s">
        <v>1028</v>
      </c>
      <c r="C242" s="151">
        <v>61</v>
      </c>
      <c r="D242" s="150" t="s">
        <v>1029</v>
      </c>
      <c r="E242" s="150"/>
      <c r="F242" s="150" t="s">
        <v>346</v>
      </c>
      <c r="G242" s="150"/>
      <c r="H242" s="152">
        <v>6080</v>
      </c>
      <c r="I242" s="153"/>
      <c r="J242" s="150" t="s">
        <v>908</v>
      </c>
      <c r="K242" s="150"/>
      <c r="L242" s="150" t="s">
        <v>10</v>
      </c>
      <c r="M242" s="150" t="s">
        <v>10</v>
      </c>
      <c r="N242" s="153"/>
      <c r="O242" s="153"/>
    </row>
    <row r="243" spans="1:15" ht="11.1" customHeight="1" x14ac:dyDescent="0.2">
      <c r="A243" s="150" t="s">
        <v>924</v>
      </c>
      <c r="B243" s="150" t="s">
        <v>1028</v>
      </c>
      <c r="C243" s="151">
        <v>54</v>
      </c>
      <c r="D243" s="150" t="s">
        <v>1029</v>
      </c>
      <c r="E243" s="150"/>
      <c r="F243" s="150" t="s">
        <v>366</v>
      </c>
      <c r="G243" s="150"/>
      <c r="H243" s="154">
        <v>620</v>
      </c>
      <c r="I243" s="153"/>
      <c r="J243" s="150" t="s">
        <v>908</v>
      </c>
      <c r="K243" s="150"/>
      <c r="L243" s="150" t="s">
        <v>10</v>
      </c>
      <c r="M243" s="150" t="s">
        <v>10</v>
      </c>
      <c r="N243" s="153"/>
      <c r="O243" s="153"/>
    </row>
    <row r="244" spans="1:15" ht="11.1" customHeight="1" x14ac:dyDescent="0.2">
      <c r="A244" s="150" t="s">
        <v>924</v>
      </c>
      <c r="B244" s="150" t="s">
        <v>1028</v>
      </c>
      <c r="C244" s="151">
        <v>47</v>
      </c>
      <c r="D244" s="150" t="s">
        <v>1029</v>
      </c>
      <c r="E244" s="150"/>
      <c r="F244" s="150" t="s">
        <v>319</v>
      </c>
      <c r="G244" s="150"/>
      <c r="H244" s="152">
        <v>1560</v>
      </c>
      <c r="I244" s="153"/>
      <c r="J244" s="150" t="s">
        <v>908</v>
      </c>
      <c r="K244" s="150"/>
      <c r="L244" s="150" t="s">
        <v>10</v>
      </c>
      <c r="M244" s="150" t="s">
        <v>10</v>
      </c>
      <c r="N244" s="153"/>
      <c r="O244" s="153"/>
    </row>
    <row r="245" spans="1:15" ht="11.1" customHeight="1" x14ac:dyDescent="0.2">
      <c r="A245" s="150" t="s">
        <v>924</v>
      </c>
      <c r="B245" s="150" t="s">
        <v>1028</v>
      </c>
      <c r="C245" s="151">
        <v>50</v>
      </c>
      <c r="D245" s="150" t="s">
        <v>1029</v>
      </c>
      <c r="E245" s="150"/>
      <c r="F245" s="150" t="s">
        <v>364</v>
      </c>
      <c r="G245" s="150"/>
      <c r="H245" s="152">
        <v>1300</v>
      </c>
      <c r="I245" s="153"/>
      <c r="J245" s="150" t="s">
        <v>908</v>
      </c>
      <c r="K245" s="150"/>
      <c r="L245" s="150" t="s">
        <v>10</v>
      </c>
      <c r="M245" s="150" t="s">
        <v>10</v>
      </c>
      <c r="N245" s="153"/>
      <c r="O245" s="153"/>
    </row>
    <row r="246" spans="1:15" ht="11.1" customHeight="1" x14ac:dyDescent="0.2">
      <c r="A246" s="150" t="s">
        <v>924</v>
      </c>
      <c r="B246" s="150" t="s">
        <v>1028</v>
      </c>
      <c r="C246" s="151">
        <v>24</v>
      </c>
      <c r="D246" s="150" t="s">
        <v>1029</v>
      </c>
      <c r="E246" s="150"/>
      <c r="F246" s="150" t="s">
        <v>317</v>
      </c>
      <c r="G246" s="150"/>
      <c r="H246" s="154">
        <v>480</v>
      </c>
      <c r="I246" s="153"/>
      <c r="J246" s="150" t="s">
        <v>908</v>
      </c>
      <c r="K246" s="150"/>
      <c r="L246" s="150" t="s">
        <v>10</v>
      </c>
      <c r="M246" s="150" t="s">
        <v>10</v>
      </c>
      <c r="N246" s="153"/>
      <c r="O246" s="153"/>
    </row>
    <row r="247" spans="1:15" ht="11.1" customHeight="1" x14ac:dyDescent="0.2">
      <c r="A247" s="150" t="s">
        <v>924</v>
      </c>
      <c r="B247" s="150" t="s">
        <v>1028</v>
      </c>
      <c r="C247" s="151">
        <v>26</v>
      </c>
      <c r="D247" s="150" t="s">
        <v>1029</v>
      </c>
      <c r="E247" s="150"/>
      <c r="F247" s="150" t="s">
        <v>311</v>
      </c>
      <c r="G247" s="150"/>
      <c r="H247" s="154">
        <v>370</v>
      </c>
      <c r="I247" s="153"/>
      <c r="J247" s="150" t="s">
        <v>908</v>
      </c>
      <c r="K247" s="150"/>
      <c r="L247" s="150" t="s">
        <v>10</v>
      </c>
      <c r="M247" s="150" t="s">
        <v>10</v>
      </c>
      <c r="N247" s="153"/>
      <c r="O247" s="153"/>
    </row>
    <row r="248" spans="1:15" ht="11.1" customHeight="1" x14ac:dyDescent="0.2">
      <c r="A248" s="150" t="s">
        <v>924</v>
      </c>
      <c r="B248" s="150" t="s">
        <v>1028</v>
      </c>
      <c r="C248" s="151">
        <v>27</v>
      </c>
      <c r="D248" s="150" t="s">
        <v>1029</v>
      </c>
      <c r="E248" s="150"/>
      <c r="F248" s="150" t="s">
        <v>312</v>
      </c>
      <c r="G248" s="150"/>
      <c r="H248" s="154">
        <v>170</v>
      </c>
      <c r="I248" s="153"/>
      <c r="J248" s="150" t="s">
        <v>908</v>
      </c>
      <c r="K248" s="150"/>
      <c r="L248" s="150" t="s">
        <v>10</v>
      </c>
      <c r="M248" s="150" t="s">
        <v>10</v>
      </c>
      <c r="N248" s="153"/>
      <c r="O248" s="153"/>
    </row>
    <row r="249" spans="1:15" ht="11.1" customHeight="1" x14ac:dyDescent="0.2">
      <c r="A249" s="150" t="s">
        <v>924</v>
      </c>
      <c r="B249" s="150" t="s">
        <v>1028</v>
      </c>
      <c r="C249" s="151">
        <v>48</v>
      </c>
      <c r="D249" s="150" t="s">
        <v>1029</v>
      </c>
      <c r="E249" s="150"/>
      <c r="F249" s="150" t="s">
        <v>310</v>
      </c>
      <c r="G249" s="150"/>
      <c r="H249" s="154">
        <v>190</v>
      </c>
      <c r="I249" s="153"/>
      <c r="J249" s="150" t="s">
        <v>908</v>
      </c>
      <c r="K249" s="150"/>
      <c r="L249" s="150" t="s">
        <v>10</v>
      </c>
      <c r="M249" s="150" t="s">
        <v>10</v>
      </c>
      <c r="N249" s="153"/>
      <c r="O249" s="153"/>
    </row>
    <row r="250" spans="1:15" ht="11.1" customHeight="1" x14ac:dyDescent="0.2">
      <c r="A250" s="150" t="s">
        <v>924</v>
      </c>
      <c r="B250" s="150" t="s">
        <v>1028</v>
      </c>
      <c r="C250" s="151">
        <v>52</v>
      </c>
      <c r="D250" s="150" t="s">
        <v>1029</v>
      </c>
      <c r="E250" s="150"/>
      <c r="F250" s="150" t="s">
        <v>321</v>
      </c>
      <c r="G250" s="150"/>
      <c r="H250" s="154">
        <v>200</v>
      </c>
      <c r="I250" s="153"/>
      <c r="J250" s="150" t="s">
        <v>908</v>
      </c>
      <c r="K250" s="150"/>
      <c r="L250" s="150" t="s">
        <v>10</v>
      </c>
      <c r="M250" s="150" t="s">
        <v>10</v>
      </c>
      <c r="N250" s="153"/>
      <c r="O250" s="153"/>
    </row>
    <row r="251" spans="1:15" ht="11.1" customHeight="1" x14ac:dyDescent="0.2">
      <c r="A251" s="150" t="s">
        <v>924</v>
      </c>
      <c r="B251" s="150" t="s">
        <v>1028</v>
      </c>
      <c r="C251" s="151">
        <v>57</v>
      </c>
      <c r="D251" s="150" t="s">
        <v>1029</v>
      </c>
      <c r="E251" s="150"/>
      <c r="F251" s="150" t="s">
        <v>300</v>
      </c>
      <c r="G251" s="150"/>
      <c r="H251" s="154">
        <v>130</v>
      </c>
      <c r="I251" s="153"/>
      <c r="J251" s="150" t="s">
        <v>908</v>
      </c>
      <c r="K251" s="150"/>
      <c r="L251" s="150" t="s">
        <v>10</v>
      </c>
      <c r="M251" s="150" t="s">
        <v>10</v>
      </c>
      <c r="N251" s="153"/>
      <c r="O251" s="153"/>
    </row>
    <row r="252" spans="1:15" ht="11.1" customHeight="1" x14ac:dyDescent="0.2">
      <c r="A252" s="150" t="s">
        <v>924</v>
      </c>
      <c r="B252" s="150" t="s">
        <v>1028</v>
      </c>
      <c r="C252" s="151">
        <v>64</v>
      </c>
      <c r="D252" s="150" t="s">
        <v>1029</v>
      </c>
      <c r="E252" s="150"/>
      <c r="F252" s="150" t="s">
        <v>330</v>
      </c>
      <c r="G252" s="150"/>
      <c r="H252" s="152">
        <v>2290</v>
      </c>
      <c r="I252" s="153"/>
      <c r="J252" s="150" t="s">
        <v>908</v>
      </c>
      <c r="K252" s="150"/>
      <c r="L252" s="150" t="s">
        <v>10</v>
      </c>
      <c r="M252" s="150" t="s">
        <v>10</v>
      </c>
      <c r="N252" s="153"/>
      <c r="O252" s="153"/>
    </row>
    <row r="253" spans="1:15" ht="11.1" customHeight="1" x14ac:dyDescent="0.2">
      <c r="A253" s="150" t="s">
        <v>924</v>
      </c>
      <c r="B253" s="150" t="s">
        <v>1028</v>
      </c>
      <c r="C253" s="151">
        <v>51</v>
      </c>
      <c r="D253" s="150" t="s">
        <v>1029</v>
      </c>
      <c r="E253" s="150"/>
      <c r="F253" s="150" t="s">
        <v>306</v>
      </c>
      <c r="G253" s="150"/>
      <c r="H253" s="154">
        <v>480</v>
      </c>
      <c r="I253" s="153"/>
      <c r="J253" s="150" t="s">
        <v>908</v>
      </c>
      <c r="K253" s="150"/>
      <c r="L253" s="150" t="s">
        <v>10</v>
      </c>
      <c r="M253" s="150" t="s">
        <v>10</v>
      </c>
      <c r="N253" s="153"/>
      <c r="O253" s="153"/>
    </row>
    <row r="254" spans="1:15" ht="11.1" customHeight="1" x14ac:dyDescent="0.2">
      <c r="A254" s="150" t="s">
        <v>924</v>
      </c>
      <c r="B254" s="150" t="s">
        <v>1028</v>
      </c>
      <c r="C254" s="151">
        <v>66</v>
      </c>
      <c r="D254" s="150" t="s">
        <v>1029</v>
      </c>
      <c r="E254" s="150"/>
      <c r="F254" s="150" t="s">
        <v>325</v>
      </c>
      <c r="G254" s="150"/>
      <c r="H254" s="154">
        <v>210</v>
      </c>
      <c r="I254" s="153"/>
      <c r="J254" s="150" t="s">
        <v>908</v>
      </c>
      <c r="K254" s="150"/>
      <c r="L254" s="150" t="s">
        <v>10</v>
      </c>
      <c r="M254" s="150" t="s">
        <v>10</v>
      </c>
      <c r="N254" s="153"/>
      <c r="O254" s="153"/>
    </row>
    <row r="255" spans="1:15" ht="11.1" customHeight="1" x14ac:dyDescent="0.2">
      <c r="A255" s="150" t="s">
        <v>924</v>
      </c>
      <c r="B255" s="150" t="s">
        <v>1028</v>
      </c>
      <c r="C255" s="151">
        <v>19</v>
      </c>
      <c r="D255" s="150" t="s">
        <v>1029</v>
      </c>
      <c r="E255" s="150"/>
      <c r="F255" s="150" t="s">
        <v>1041</v>
      </c>
      <c r="G255" s="150"/>
      <c r="H255" s="154">
        <v>280</v>
      </c>
      <c r="I255" s="153"/>
      <c r="J255" s="150" t="s">
        <v>908</v>
      </c>
      <c r="K255" s="150"/>
      <c r="L255" s="150" t="s">
        <v>10</v>
      </c>
      <c r="M255" s="150" t="s">
        <v>10</v>
      </c>
      <c r="N255" s="153"/>
      <c r="O255" s="153"/>
    </row>
    <row r="256" spans="1:15" ht="11.1" customHeight="1" x14ac:dyDescent="0.2">
      <c r="A256" s="150" t="s">
        <v>924</v>
      </c>
      <c r="B256" s="150" t="s">
        <v>1028</v>
      </c>
      <c r="C256" s="151">
        <v>72</v>
      </c>
      <c r="D256" s="150" t="s">
        <v>1029</v>
      </c>
      <c r="E256" s="150"/>
      <c r="F256" s="150" t="s">
        <v>341</v>
      </c>
      <c r="G256" s="150"/>
      <c r="H256" s="154">
        <v>40</v>
      </c>
      <c r="I256" s="153"/>
      <c r="J256" s="150" t="s">
        <v>908</v>
      </c>
      <c r="K256" s="150"/>
      <c r="L256" s="150" t="s">
        <v>10</v>
      </c>
      <c r="M256" s="150" t="s">
        <v>10</v>
      </c>
      <c r="N256" s="153"/>
      <c r="O256" s="153"/>
    </row>
    <row r="257" spans="1:15" ht="11.1" customHeight="1" x14ac:dyDescent="0.2">
      <c r="A257" s="150" t="s">
        <v>924</v>
      </c>
      <c r="B257" s="150" t="s">
        <v>1028</v>
      </c>
      <c r="C257" s="151">
        <v>34</v>
      </c>
      <c r="D257" s="150" t="s">
        <v>1029</v>
      </c>
      <c r="E257" s="150"/>
      <c r="F257" s="150" t="s">
        <v>1042</v>
      </c>
      <c r="G257" s="150"/>
      <c r="H257" s="152">
        <v>6330</v>
      </c>
      <c r="I257" s="153"/>
      <c r="J257" s="150" t="s">
        <v>908</v>
      </c>
      <c r="K257" s="150"/>
      <c r="L257" s="150" t="s">
        <v>10</v>
      </c>
      <c r="M257" s="150" t="s">
        <v>10</v>
      </c>
      <c r="N257" s="153"/>
      <c r="O257" s="153"/>
    </row>
    <row r="258" spans="1:15" ht="11.1" customHeight="1" x14ac:dyDescent="0.2">
      <c r="A258" s="150" t="s">
        <v>924</v>
      </c>
      <c r="B258" s="150" t="s">
        <v>1028</v>
      </c>
      <c r="C258" s="151">
        <v>35</v>
      </c>
      <c r="D258" s="150" t="s">
        <v>1029</v>
      </c>
      <c r="E258" s="150"/>
      <c r="F258" s="150" t="s">
        <v>1043</v>
      </c>
      <c r="G258" s="150"/>
      <c r="H258" s="152">
        <v>7270</v>
      </c>
      <c r="I258" s="153"/>
      <c r="J258" s="150" t="s">
        <v>908</v>
      </c>
      <c r="K258" s="150"/>
      <c r="L258" s="150" t="s">
        <v>10</v>
      </c>
      <c r="M258" s="150" t="s">
        <v>10</v>
      </c>
      <c r="N258" s="153"/>
      <c r="O258" s="153"/>
    </row>
    <row r="259" spans="1:15" ht="11.1" customHeight="1" x14ac:dyDescent="0.2">
      <c r="A259" s="150" t="s">
        <v>924</v>
      </c>
      <c r="B259" s="150" t="s">
        <v>1028</v>
      </c>
      <c r="C259" s="151">
        <v>36</v>
      </c>
      <c r="D259" s="150" t="s">
        <v>1029</v>
      </c>
      <c r="E259" s="150"/>
      <c r="F259" s="150" t="s">
        <v>1044</v>
      </c>
      <c r="G259" s="150"/>
      <c r="H259" s="152">
        <v>7810</v>
      </c>
      <c r="I259" s="153"/>
      <c r="J259" s="150" t="s">
        <v>908</v>
      </c>
      <c r="K259" s="150"/>
      <c r="L259" s="150" t="s">
        <v>10</v>
      </c>
      <c r="M259" s="150" t="s">
        <v>10</v>
      </c>
      <c r="N259" s="153"/>
      <c r="O259" s="153"/>
    </row>
    <row r="260" spans="1:15" ht="11.1" customHeight="1" x14ac:dyDescent="0.2">
      <c r="A260" s="150" t="s">
        <v>924</v>
      </c>
      <c r="B260" s="150" t="s">
        <v>1028</v>
      </c>
      <c r="C260" s="151">
        <v>67</v>
      </c>
      <c r="D260" s="150" t="s">
        <v>1029</v>
      </c>
      <c r="E260" s="150"/>
      <c r="F260" s="150" t="s">
        <v>1045</v>
      </c>
      <c r="G260" s="150"/>
      <c r="H260" s="154">
        <v>30</v>
      </c>
      <c r="I260" s="153"/>
      <c r="J260" s="150" t="s">
        <v>908</v>
      </c>
      <c r="K260" s="150"/>
      <c r="L260" s="150" t="s">
        <v>10</v>
      </c>
      <c r="M260" s="150" t="s">
        <v>10</v>
      </c>
      <c r="N260" s="153"/>
      <c r="O260" s="153"/>
    </row>
    <row r="261" spans="1:15" ht="11.1" customHeight="1" x14ac:dyDescent="0.2">
      <c r="A261" s="150" t="s">
        <v>924</v>
      </c>
      <c r="B261" s="150" t="s">
        <v>1028</v>
      </c>
      <c r="C261" s="151">
        <v>25</v>
      </c>
      <c r="D261" s="150" t="s">
        <v>1029</v>
      </c>
      <c r="E261" s="150"/>
      <c r="F261" s="150" t="s">
        <v>315</v>
      </c>
      <c r="G261" s="150"/>
      <c r="H261" s="154">
        <v>950</v>
      </c>
      <c r="I261" s="153"/>
      <c r="J261" s="150" t="s">
        <v>908</v>
      </c>
      <c r="K261" s="150"/>
      <c r="L261" s="150" t="s">
        <v>10</v>
      </c>
      <c r="M261" s="150" t="s">
        <v>10</v>
      </c>
      <c r="N261" s="153"/>
      <c r="O261" s="153"/>
    </row>
    <row r="262" spans="1:15" ht="11.1" customHeight="1" x14ac:dyDescent="0.2">
      <c r="A262" s="150" t="s">
        <v>924</v>
      </c>
      <c r="B262" s="150" t="s">
        <v>1028</v>
      </c>
      <c r="C262" s="151">
        <v>33</v>
      </c>
      <c r="D262" s="150" t="s">
        <v>1029</v>
      </c>
      <c r="E262" s="150"/>
      <c r="F262" s="150" t="s">
        <v>1046</v>
      </c>
      <c r="G262" s="150"/>
      <c r="H262" s="152">
        <v>1600</v>
      </c>
      <c r="I262" s="153"/>
      <c r="J262" s="150" t="s">
        <v>908</v>
      </c>
      <c r="K262" s="150"/>
      <c r="L262" s="150" t="s">
        <v>10</v>
      </c>
      <c r="M262" s="150" t="s">
        <v>10</v>
      </c>
      <c r="N262" s="153"/>
      <c r="O262" s="153"/>
    </row>
    <row r="263" spans="1:15" ht="11.1" customHeight="1" x14ac:dyDescent="0.2">
      <c r="A263" s="150" t="s">
        <v>924</v>
      </c>
      <c r="B263" s="150" t="s">
        <v>1028</v>
      </c>
      <c r="C263" s="151">
        <v>44</v>
      </c>
      <c r="D263" s="150" t="s">
        <v>1029</v>
      </c>
      <c r="E263" s="150"/>
      <c r="F263" s="150" t="s">
        <v>360</v>
      </c>
      <c r="G263" s="150"/>
      <c r="H263" s="152">
        <v>11560</v>
      </c>
      <c r="I263" s="153"/>
      <c r="J263" s="150" t="s">
        <v>908</v>
      </c>
      <c r="K263" s="150"/>
      <c r="L263" s="150" t="s">
        <v>10</v>
      </c>
      <c r="M263" s="150" t="s">
        <v>10</v>
      </c>
      <c r="N263" s="153"/>
      <c r="O263" s="153"/>
    </row>
    <row r="264" spans="1:15" ht="11.1" customHeight="1" x14ac:dyDescent="0.2">
      <c r="A264" s="150" t="s">
        <v>924</v>
      </c>
      <c r="B264" s="150" t="s">
        <v>1028</v>
      </c>
      <c r="C264" s="151">
        <v>55</v>
      </c>
      <c r="D264" s="150" t="s">
        <v>1029</v>
      </c>
      <c r="E264" s="150"/>
      <c r="F264" s="150" t="s">
        <v>1047</v>
      </c>
      <c r="G264" s="150"/>
      <c r="H264" s="154">
        <v>620</v>
      </c>
      <c r="I264" s="153"/>
      <c r="J264" s="150" t="s">
        <v>908</v>
      </c>
      <c r="K264" s="150"/>
      <c r="L264" s="150" t="s">
        <v>10</v>
      </c>
      <c r="M264" s="150" t="s">
        <v>10</v>
      </c>
      <c r="N264" s="153"/>
      <c r="O264" s="153"/>
    </row>
    <row r="265" spans="1:15" ht="11.1" customHeight="1" x14ac:dyDescent="0.2">
      <c r="A265" s="150" t="s">
        <v>924</v>
      </c>
      <c r="B265" s="150" t="s">
        <v>1028</v>
      </c>
      <c r="C265" s="151">
        <v>56</v>
      </c>
      <c r="D265" s="150" t="s">
        <v>1029</v>
      </c>
      <c r="E265" s="150"/>
      <c r="F265" s="150" t="s">
        <v>1048</v>
      </c>
      <c r="G265" s="150"/>
      <c r="H265" s="154">
        <v>620</v>
      </c>
      <c r="I265" s="153"/>
      <c r="J265" s="150" t="s">
        <v>908</v>
      </c>
      <c r="K265" s="150"/>
      <c r="L265" s="150" t="s">
        <v>10</v>
      </c>
      <c r="M265" s="150" t="s">
        <v>10</v>
      </c>
      <c r="N265" s="153"/>
      <c r="O265" s="153"/>
    </row>
    <row r="266" spans="1:15" ht="11.1" customHeight="1" x14ac:dyDescent="0.2">
      <c r="A266" s="150" t="s">
        <v>924</v>
      </c>
      <c r="B266" s="150" t="s">
        <v>1028</v>
      </c>
      <c r="C266" s="151">
        <v>81</v>
      </c>
      <c r="D266" s="150" t="s">
        <v>1029</v>
      </c>
      <c r="E266" s="150"/>
      <c r="F266" s="150" t="s">
        <v>1049</v>
      </c>
      <c r="G266" s="150"/>
      <c r="H266" s="154">
        <v>700</v>
      </c>
      <c r="I266" s="153"/>
      <c r="J266" s="150" t="s">
        <v>908</v>
      </c>
      <c r="K266" s="150"/>
      <c r="L266" s="150" t="s">
        <v>10</v>
      </c>
      <c r="M266" s="150" t="s">
        <v>10</v>
      </c>
      <c r="N266" s="153"/>
      <c r="O266" s="153"/>
    </row>
    <row r="267" spans="1:15" ht="11.1" customHeight="1" x14ac:dyDescent="0.2">
      <c r="A267" s="150" t="s">
        <v>924</v>
      </c>
      <c r="B267" s="150" t="s">
        <v>1028</v>
      </c>
      <c r="C267" s="151">
        <v>40</v>
      </c>
      <c r="D267" s="150" t="s">
        <v>1029</v>
      </c>
      <c r="E267" s="150"/>
      <c r="F267" s="150" t="s">
        <v>1050</v>
      </c>
      <c r="G267" s="150"/>
      <c r="H267" s="152">
        <v>6130</v>
      </c>
      <c r="I267" s="153"/>
      <c r="J267" s="150" t="s">
        <v>908</v>
      </c>
      <c r="K267" s="150"/>
      <c r="L267" s="150" t="s">
        <v>10</v>
      </c>
      <c r="M267" s="150" t="s">
        <v>10</v>
      </c>
      <c r="N267" s="153"/>
      <c r="O267" s="153"/>
    </row>
    <row r="268" spans="1:15" ht="11.1" customHeight="1" x14ac:dyDescent="0.2">
      <c r="A268" s="150" t="s">
        <v>924</v>
      </c>
      <c r="B268" s="150" t="s">
        <v>1028</v>
      </c>
      <c r="C268" s="151">
        <v>37</v>
      </c>
      <c r="D268" s="150" t="s">
        <v>1029</v>
      </c>
      <c r="E268" s="150"/>
      <c r="F268" s="150" t="s">
        <v>1051</v>
      </c>
      <c r="G268" s="150"/>
      <c r="H268" s="152">
        <v>1590</v>
      </c>
      <c r="I268" s="153"/>
      <c r="J268" s="150" t="s">
        <v>908</v>
      </c>
      <c r="K268" s="150"/>
      <c r="L268" s="150" t="s">
        <v>10</v>
      </c>
      <c r="M268" s="150" t="s">
        <v>10</v>
      </c>
      <c r="N268" s="153"/>
      <c r="O268" s="153"/>
    </row>
    <row r="269" spans="1:15" ht="11.1" customHeight="1" x14ac:dyDescent="0.2">
      <c r="A269" s="150" t="s">
        <v>924</v>
      </c>
      <c r="B269" s="150" t="s">
        <v>1028</v>
      </c>
      <c r="C269" s="151">
        <v>38</v>
      </c>
      <c r="D269" s="150" t="s">
        <v>1029</v>
      </c>
      <c r="E269" s="150"/>
      <c r="F269" s="150" t="s">
        <v>1052</v>
      </c>
      <c r="G269" s="150"/>
      <c r="H269" s="152">
        <v>4920</v>
      </c>
      <c r="I269" s="153"/>
      <c r="J269" s="150" t="s">
        <v>908</v>
      </c>
      <c r="K269" s="150"/>
      <c r="L269" s="150" t="s">
        <v>10</v>
      </c>
      <c r="M269" s="150" t="s">
        <v>10</v>
      </c>
      <c r="N269" s="153"/>
      <c r="O269" s="153"/>
    </row>
    <row r="270" spans="1:15" ht="11.1" customHeight="1" x14ac:dyDescent="0.2">
      <c r="A270" s="150" t="s">
        <v>924</v>
      </c>
      <c r="B270" s="150" t="s">
        <v>1028</v>
      </c>
      <c r="C270" s="151">
        <v>39</v>
      </c>
      <c r="D270" s="150" t="s">
        <v>1029</v>
      </c>
      <c r="E270" s="150"/>
      <c r="F270" s="150" t="s">
        <v>1053</v>
      </c>
      <c r="G270" s="150"/>
      <c r="H270" s="152">
        <v>5530</v>
      </c>
      <c r="I270" s="153"/>
      <c r="J270" s="150" t="s">
        <v>908</v>
      </c>
      <c r="K270" s="150"/>
      <c r="L270" s="150" t="s">
        <v>10</v>
      </c>
      <c r="M270" s="150" t="s">
        <v>10</v>
      </c>
      <c r="N270" s="153"/>
      <c r="O270" s="153"/>
    </row>
    <row r="271" spans="1:15" ht="11.1" customHeight="1" x14ac:dyDescent="0.2">
      <c r="A271" s="150" t="s">
        <v>924</v>
      </c>
      <c r="B271" s="150" t="s">
        <v>1028</v>
      </c>
      <c r="C271" s="151">
        <v>41</v>
      </c>
      <c r="D271" s="150" t="s">
        <v>1029</v>
      </c>
      <c r="E271" s="150"/>
      <c r="F271" s="150" t="s">
        <v>339</v>
      </c>
      <c r="G271" s="150"/>
      <c r="H271" s="152">
        <v>1000</v>
      </c>
      <c r="I271" s="153"/>
      <c r="J271" s="150" t="s">
        <v>908</v>
      </c>
      <c r="K271" s="150"/>
      <c r="L271" s="150" t="s">
        <v>10</v>
      </c>
      <c r="M271" s="150" t="s">
        <v>10</v>
      </c>
      <c r="N271" s="153"/>
      <c r="O271" s="153"/>
    </row>
    <row r="272" spans="1:15" ht="11.1" customHeight="1" x14ac:dyDescent="0.2">
      <c r="A272" s="150" t="s">
        <v>924</v>
      </c>
      <c r="B272" s="150" t="s">
        <v>1028</v>
      </c>
      <c r="C272" s="151">
        <v>42</v>
      </c>
      <c r="D272" s="150" t="s">
        <v>1029</v>
      </c>
      <c r="E272" s="150"/>
      <c r="F272" s="150" t="s">
        <v>340</v>
      </c>
      <c r="G272" s="150"/>
      <c r="H272" s="152">
        <v>1000</v>
      </c>
      <c r="I272" s="153"/>
      <c r="J272" s="150" t="s">
        <v>908</v>
      </c>
      <c r="K272" s="150"/>
      <c r="L272" s="150" t="s">
        <v>10</v>
      </c>
      <c r="M272" s="150" t="s">
        <v>10</v>
      </c>
      <c r="N272" s="153"/>
      <c r="O272" s="153"/>
    </row>
    <row r="273" spans="1:15" ht="11.1" customHeight="1" x14ac:dyDescent="0.2">
      <c r="A273" s="150" t="s">
        <v>924</v>
      </c>
      <c r="B273" s="150" t="s">
        <v>1028</v>
      </c>
      <c r="C273" s="151">
        <v>43</v>
      </c>
      <c r="D273" s="150" t="s">
        <v>1029</v>
      </c>
      <c r="E273" s="150"/>
      <c r="F273" s="150" t="s">
        <v>361</v>
      </c>
      <c r="G273" s="150"/>
      <c r="H273" s="152">
        <v>1000</v>
      </c>
      <c r="I273" s="153"/>
      <c r="J273" s="150" t="s">
        <v>908</v>
      </c>
      <c r="K273" s="150"/>
      <c r="L273" s="150" t="s">
        <v>10</v>
      </c>
      <c r="M273" s="150" t="s">
        <v>10</v>
      </c>
      <c r="N273" s="153"/>
      <c r="O273" s="153"/>
    </row>
    <row r="274" spans="1:15" ht="11.1" customHeight="1" x14ac:dyDescent="0.2">
      <c r="A274" s="150" t="s">
        <v>924</v>
      </c>
      <c r="B274" s="150" t="s">
        <v>1028</v>
      </c>
      <c r="C274" s="151">
        <v>21</v>
      </c>
      <c r="D274" s="150" t="s">
        <v>1029</v>
      </c>
      <c r="E274" s="150"/>
      <c r="F274" s="150" t="s">
        <v>504</v>
      </c>
      <c r="G274" s="150"/>
      <c r="H274" s="152">
        <v>5100</v>
      </c>
      <c r="I274" s="153"/>
      <c r="J274" s="150" t="s">
        <v>908</v>
      </c>
      <c r="K274" s="150"/>
      <c r="L274" s="150" t="s">
        <v>10</v>
      </c>
      <c r="M274" s="150" t="s">
        <v>10</v>
      </c>
      <c r="N274" s="153"/>
      <c r="O274" s="153"/>
    </row>
    <row r="275" spans="1:15" ht="11.1" customHeight="1" x14ac:dyDescent="0.2">
      <c r="A275" s="150" t="s">
        <v>924</v>
      </c>
      <c r="B275" s="150" t="s">
        <v>1028</v>
      </c>
      <c r="C275" s="151">
        <v>22</v>
      </c>
      <c r="D275" s="150" t="s">
        <v>1029</v>
      </c>
      <c r="E275" s="150"/>
      <c r="F275" s="150" t="s">
        <v>503</v>
      </c>
      <c r="G275" s="150"/>
      <c r="H275" s="152">
        <v>6660</v>
      </c>
      <c r="I275" s="153"/>
      <c r="J275" s="150" t="s">
        <v>908</v>
      </c>
      <c r="K275" s="150"/>
      <c r="L275" s="150" t="s">
        <v>10</v>
      </c>
      <c r="M275" s="150" t="s">
        <v>10</v>
      </c>
      <c r="N275" s="153"/>
      <c r="O275" s="153"/>
    </row>
    <row r="276" spans="1:15" ht="11.1" customHeight="1" x14ac:dyDescent="0.2">
      <c r="A276" s="150" t="s">
        <v>924</v>
      </c>
      <c r="B276" s="150" t="s">
        <v>1028</v>
      </c>
      <c r="C276" s="151">
        <v>23</v>
      </c>
      <c r="D276" s="150" t="s">
        <v>1029</v>
      </c>
      <c r="E276" s="150"/>
      <c r="F276" s="150" t="s">
        <v>1054</v>
      </c>
      <c r="G276" s="150"/>
      <c r="H276" s="154">
        <v>0.01</v>
      </c>
      <c r="I276" s="153"/>
      <c r="J276" s="150" t="s">
        <v>908</v>
      </c>
      <c r="K276" s="150"/>
      <c r="L276" s="150" t="s">
        <v>10</v>
      </c>
      <c r="M276" s="150" t="s">
        <v>10</v>
      </c>
      <c r="N276" s="153"/>
      <c r="O276" s="153"/>
    </row>
    <row r="277" spans="1:15" ht="11.1" customHeight="1" x14ac:dyDescent="0.2">
      <c r="A277" s="150" t="s">
        <v>924</v>
      </c>
      <c r="B277" s="150" t="s">
        <v>1028</v>
      </c>
      <c r="C277" s="151">
        <v>17</v>
      </c>
      <c r="D277" s="150" t="s">
        <v>1029</v>
      </c>
      <c r="E277" s="150"/>
      <c r="F277" s="150" t="s">
        <v>1055</v>
      </c>
      <c r="G277" s="150"/>
      <c r="H277" s="154">
        <v>550</v>
      </c>
      <c r="I277" s="153"/>
      <c r="J277" s="150" t="s">
        <v>908</v>
      </c>
      <c r="K277" s="150"/>
      <c r="L277" s="150" t="s">
        <v>10</v>
      </c>
      <c r="M277" s="150" t="s">
        <v>10</v>
      </c>
      <c r="N277" s="153"/>
      <c r="O277" s="153"/>
    </row>
    <row r="278" spans="1:15" ht="11.1" customHeight="1" x14ac:dyDescent="0.2">
      <c r="A278" s="150" t="s">
        <v>924</v>
      </c>
      <c r="B278" s="150" t="s">
        <v>1028</v>
      </c>
      <c r="C278" s="151">
        <v>82</v>
      </c>
      <c r="D278" s="150" t="s">
        <v>1029</v>
      </c>
      <c r="E278" s="150"/>
      <c r="F278" s="150" t="s">
        <v>711</v>
      </c>
      <c r="G278" s="150"/>
      <c r="H278" s="152">
        <v>8790</v>
      </c>
      <c r="I278" s="153"/>
      <c r="J278" s="150" t="s">
        <v>908</v>
      </c>
      <c r="K278" s="150"/>
      <c r="L278" s="150" t="s">
        <v>10</v>
      </c>
      <c r="M278" s="150" t="s">
        <v>10</v>
      </c>
      <c r="N278" s="153"/>
      <c r="O278" s="153"/>
    </row>
    <row r="279" spans="1:15" ht="11.1" customHeight="1" x14ac:dyDescent="0.2">
      <c r="A279" s="150" t="s">
        <v>924</v>
      </c>
      <c r="B279" s="150" t="s">
        <v>1028</v>
      </c>
      <c r="C279" s="151">
        <v>83</v>
      </c>
      <c r="D279" s="150" t="s">
        <v>1029</v>
      </c>
      <c r="E279" s="150"/>
      <c r="F279" s="150" t="s">
        <v>1056</v>
      </c>
      <c r="G279" s="150"/>
      <c r="H279" s="152">
        <v>1200</v>
      </c>
      <c r="I279" s="153"/>
      <c r="J279" s="150" t="s">
        <v>908</v>
      </c>
      <c r="K279" s="150"/>
      <c r="L279" s="150" t="s">
        <v>10</v>
      </c>
      <c r="M279" s="150" t="s">
        <v>10</v>
      </c>
      <c r="N279" s="153"/>
      <c r="O279" s="153"/>
    </row>
    <row r="280" spans="1:15" ht="11.1" customHeight="1" x14ac:dyDescent="0.2">
      <c r="A280" s="150" t="s">
        <v>924</v>
      </c>
      <c r="B280" s="150" t="s">
        <v>1028</v>
      </c>
      <c r="C280" s="151">
        <v>18</v>
      </c>
      <c r="D280" s="150" t="s">
        <v>1029</v>
      </c>
      <c r="E280" s="150"/>
      <c r="F280" s="150" t="s">
        <v>1057</v>
      </c>
      <c r="G280" s="150"/>
      <c r="H280" s="152">
        <v>1690</v>
      </c>
      <c r="I280" s="153"/>
      <c r="J280" s="150" t="s">
        <v>908</v>
      </c>
      <c r="K280" s="150"/>
      <c r="L280" s="150" t="s">
        <v>10</v>
      </c>
      <c r="M280" s="150" t="s">
        <v>10</v>
      </c>
      <c r="N280" s="153"/>
      <c r="O280" s="153"/>
    </row>
    <row r="281" spans="1:15" ht="11.1" customHeight="1" x14ac:dyDescent="0.2">
      <c r="A281" s="150" t="s">
        <v>924</v>
      </c>
      <c r="B281" s="150" t="s">
        <v>1058</v>
      </c>
      <c r="C281" s="151">
        <v>1</v>
      </c>
      <c r="D281" s="150" t="s">
        <v>1059</v>
      </c>
      <c r="E281" s="150"/>
      <c r="F281" s="150" t="s">
        <v>1060</v>
      </c>
      <c r="G281" s="150"/>
      <c r="H281" s="152">
        <v>2185</v>
      </c>
      <c r="I281" s="153"/>
      <c r="J281" s="150" t="s">
        <v>873</v>
      </c>
      <c r="K281" s="150"/>
      <c r="L281" s="150" t="s">
        <v>10</v>
      </c>
      <c r="M281" s="150" t="s">
        <v>10</v>
      </c>
      <c r="N281" s="154">
        <v>1</v>
      </c>
      <c r="O281" s="153"/>
    </row>
    <row r="282" spans="1:15" ht="11.1" customHeight="1" x14ac:dyDescent="0.2">
      <c r="A282" s="150" t="s">
        <v>924</v>
      </c>
      <c r="B282" s="150" t="s">
        <v>1061</v>
      </c>
      <c r="C282" s="151">
        <v>1</v>
      </c>
      <c r="D282" s="150" t="s">
        <v>660</v>
      </c>
      <c r="E282" s="150"/>
      <c r="F282" s="150" t="s">
        <v>1062</v>
      </c>
      <c r="G282" s="150" t="s">
        <v>1063</v>
      </c>
      <c r="H282" s="152">
        <v>4430</v>
      </c>
      <c r="I282" s="153"/>
      <c r="J282" s="150" t="s">
        <v>873</v>
      </c>
      <c r="K282" s="150"/>
      <c r="L282" s="150" t="s">
        <v>10</v>
      </c>
      <c r="M282" s="150" t="s">
        <v>10</v>
      </c>
      <c r="N282" s="154">
        <v>1</v>
      </c>
      <c r="O282" s="153"/>
    </row>
    <row r="283" spans="1:15" ht="11.1" customHeight="1" x14ac:dyDescent="0.2">
      <c r="A283" s="150" t="s">
        <v>924</v>
      </c>
      <c r="B283" s="150" t="s">
        <v>1061</v>
      </c>
      <c r="C283" s="151">
        <v>2</v>
      </c>
      <c r="D283" s="150" t="s">
        <v>660</v>
      </c>
      <c r="E283" s="150"/>
      <c r="F283" s="150" t="s">
        <v>1064</v>
      </c>
      <c r="G283" s="150" t="s">
        <v>1063</v>
      </c>
      <c r="H283" s="152">
        <v>4430</v>
      </c>
      <c r="I283" s="153"/>
      <c r="J283" s="150" t="s">
        <v>873</v>
      </c>
      <c r="K283" s="150"/>
      <c r="L283" s="150" t="s">
        <v>10</v>
      </c>
      <c r="M283" s="150" t="s">
        <v>10</v>
      </c>
      <c r="N283" s="154">
        <v>1</v>
      </c>
      <c r="O283" s="153"/>
    </row>
    <row r="284" spans="1:15" ht="11.1" customHeight="1" x14ac:dyDescent="0.2">
      <c r="A284" s="150" t="s">
        <v>924</v>
      </c>
      <c r="B284" s="150" t="s">
        <v>1061</v>
      </c>
      <c r="C284" s="151">
        <v>3</v>
      </c>
      <c r="D284" s="150" t="s">
        <v>660</v>
      </c>
      <c r="E284" s="150"/>
      <c r="F284" s="150" t="s">
        <v>1065</v>
      </c>
      <c r="G284" s="150" t="s">
        <v>1063</v>
      </c>
      <c r="H284" s="152">
        <v>3976</v>
      </c>
      <c r="I284" s="153"/>
      <c r="J284" s="150" t="s">
        <v>873</v>
      </c>
      <c r="K284" s="150"/>
      <c r="L284" s="150" t="s">
        <v>10</v>
      </c>
      <c r="M284" s="150" t="s">
        <v>10</v>
      </c>
      <c r="N284" s="154">
        <v>1</v>
      </c>
      <c r="O284" s="153"/>
    </row>
    <row r="285" spans="1:15" ht="11.1" customHeight="1" x14ac:dyDescent="0.2">
      <c r="A285" s="150" t="s">
        <v>924</v>
      </c>
      <c r="B285" s="150" t="s">
        <v>1061</v>
      </c>
      <c r="C285" s="151">
        <v>4</v>
      </c>
      <c r="D285" s="150" t="s">
        <v>660</v>
      </c>
      <c r="E285" s="150"/>
      <c r="F285" s="150" t="s">
        <v>1066</v>
      </c>
      <c r="G285" s="150" t="s">
        <v>1063</v>
      </c>
      <c r="H285" s="152">
        <v>3976</v>
      </c>
      <c r="I285" s="153"/>
      <c r="J285" s="150" t="s">
        <v>873</v>
      </c>
      <c r="K285" s="150"/>
      <c r="L285" s="150" t="s">
        <v>10</v>
      </c>
      <c r="M285" s="150" t="s">
        <v>10</v>
      </c>
      <c r="N285" s="154">
        <v>1</v>
      </c>
      <c r="O285" s="153"/>
    </row>
    <row r="286" spans="1:15" ht="11.1" customHeight="1" x14ac:dyDescent="0.2">
      <c r="A286" s="150" t="s">
        <v>924</v>
      </c>
      <c r="B286" s="150" t="s">
        <v>1061</v>
      </c>
      <c r="C286" s="151">
        <v>5</v>
      </c>
      <c r="D286" s="150" t="s">
        <v>660</v>
      </c>
      <c r="E286" s="150"/>
      <c r="F286" s="150" t="s">
        <v>1067</v>
      </c>
      <c r="G286" s="150" t="s">
        <v>1063</v>
      </c>
      <c r="H286" s="152">
        <v>3094</v>
      </c>
      <c r="I286" s="153"/>
      <c r="J286" s="150" t="s">
        <v>873</v>
      </c>
      <c r="K286" s="150"/>
      <c r="L286" s="150" t="s">
        <v>10</v>
      </c>
      <c r="M286" s="150" t="s">
        <v>10</v>
      </c>
      <c r="N286" s="154">
        <v>1</v>
      </c>
      <c r="O286" s="153"/>
    </row>
    <row r="287" spans="1:15" ht="11.1" customHeight="1" x14ac:dyDescent="0.2">
      <c r="A287" s="150" t="s">
        <v>924</v>
      </c>
      <c r="B287" s="150" t="s">
        <v>1061</v>
      </c>
      <c r="C287" s="151">
        <v>6</v>
      </c>
      <c r="D287" s="150" t="s">
        <v>660</v>
      </c>
      <c r="E287" s="150"/>
      <c r="F287" s="150" t="s">
        <v>1068</v>
      </c>
      <c r="G287" s="150" t="s">
        <v>1063</v>
      </c>
      <c r="H287" s="152">
        <v>1090</v>
      </c>
      <c r="I287" s="153"/>
      <c r="J287" s="150" t="s">
        <v>1069</v>
      </c>
      <c r="K287" s="150"/>
      <c r="L287" s="150" t="s">
        <v>10</v>
      </c>
      <c r="M287" s="150" t="s">
        <v>10</v>
      </c>
      <c r="N287" s="154">
        <v>1</v>
      </c>
      <c r="O287" s="153"/>
    </row>
    <row r="288" spans="1:15" ht="11.1" customHeight="1" x14ac:dyDescent="0.2">
      <c r="A288" s="150" t="s">
        <v>924</v>
      </c>
      <c r="B288" s="150" t="s">
        <v>1070</v>
      </c>
      <c r="C288" s="151">
        <v>1</v>
      </c>
      <c r="D288" s="150" t="s">
        <v>80</v>
      </c>
      <c r="E288" s="150"/>
      <c r="F288" s="150" t="s">
        <v>907</v>
      </c>
      <c r="G288" s="150"/>
      <c r="H288" s="152">
        <v>2340</v>
      </c>
      <c r="I288" s="153"/>
      <c r="J288" s="150" t="s">
        <v>920</v>
      </c>
      <c r="K288" s="150" t="s">
        <v>1071</v>
      </c>
      <c r="L288" s="150" t="s">
        <v>10</v>
      </c>
      <c r="M288" s="150" t="s">
        <v>10</v>
      </c>
      <c r="N288" s="154">
        <v>1</v>
      </c>
      <c r="O288" s="153"/>
    </row>
    <row r="289" spans="1:15" ht="11.1" customHeight="1" x14ac:dyDescent="0.2">
      <c r="A289" s="150" t="s">
        <v>924</v>
      </c>
      <c r="B289" s="150" t="s">
        <v>1070</v>
      </c>
      <c r="C289" s="151">
        <v>2</v>
      </c>
      <c r="D289" s="150" t="s">
        <v>80</v>
      </c>
      <c r="E289" s="150"/>
      <c r="F289" s="150" t="s">
        <v>919</v>
      </c>
      <c r="G289" s="150"/>
      <c r="H289" s="152">
        <v>2670</v>
      </c>
      <c r="I289" s="153"/>
      <c r="J289" s="150" t="s">
        <v>920</v>
      </c>
      <c r="K289" s="150" t="s">
        <v>1071</v>
      </c>
      <c r="L289" s="150" t="s">
        <v>10</v>
      </c>
      <c r="M289" s="150" t="s">
        <v>10</v>
      </c>
      <c r="N289" s="154">
        <v>1</v>
      </c>
      <c r="O289" s="153"/>
    </row>
    <row r="290" spans="1:15" ht="11.1" customHeight="1" x14ac:dyDescent="0.2">
      <c r="A290" s="150" t="s">
        <v>924</v>
      </c>
      <c r="B290" s="150" t="s">
        <v>1072</v>
      </c>
      <c r="C290" s="151">
        <v>1</v>
      </c>
      <c r="D290" s="150" t="s">
        <v>78</v>
      </c>
      <c r="E290" s="150"/>
      <c r="F290" s="150" t="s">
        <v>907</v>
      </c>
      <c r="G290" s="150"/>
      <c r="H290" s="152">
        <v>1780</v>
      </c>
      <c r="I290" s="153"/>
      <c r="J290" s="150" t="s">
        <v>920</v>
      </c>
      <c r="K290" s="150" t="s">
        <v>1073</v>
      </c>
      <c r="L290" s="150" t="s">
        <v>10</v>
      </c>
      <c r="M290" s="150" t="s">
        <v>10</v>
      </c>
      <c r="N290" s="154">
        <v>1</v>
      </c>
      <c r="O290" s="153"/>
    </row>
    <row r="291" spans="1:15" ht="11.1" customHeight="1" x14ac:dyDescent="0.2">
      <c r="A291" s="150" t="s">
        <v>924</v>
      </c>
      <c r="B291" s="150" t="s">
        <v>1072</v>
      </c>
      <c r="C291" s="151">
        <v>2</v>
      </c>
      <c r="D291" s="150" t="s">
        <v>78</v>
      </c>
      <c r="E291" s="150"/>
      <c r="F291" s="150" t="s">
        <v>919</v>
      </c>
      <c r="G291" s="150"/>
      <c r="H291" s="152">
        <v>1960</v>
      </c>
      <c r="I291" s="153"/>
      <c r="J291" s="150" t="s">
        <v>920</v>
      </c>
      <c r="K291" s="150" t="s">
        <v>1073</v>
      </c>
      <c r="L291" s="150" t="s">
        <v>10</v>
      </c>
      <c r="M291" s="150" t="s">
        <v>10</v>
      </c>
      <c r="N291" s="154">
        <v>1</v>
      </c>
      <c r="O291" s="153"/>
    </row>
    <row r="292" spans="1:15" ht="11.1" customHeight="1" x14ac:dyDescent="0.2">
      <c r="A292" s="150" t="s">
        <v>924</v>
      </c>
      <c r="B292" s="150" t="s">
        <v>1074</v>
      </c>
      <c r="C292" s="151">
        <v>1</v>
      </c>
      <c r="D292" s="150" t="s">
        <v>714</v>
      </c>
      <c r="E292" s="150"/>
      <c r="F292" s="150" t="s">
        <v>907</v>
      </c>
      <c r="G292" s="150"/>
      <c r="H292" s="152">
        <v>3620</v>
      </c>
      <c r="I292" s="153"/>
      <c r="J292" s="150" t="s">
        <v>920</v>
      </c>
      <c r="K292" s="150" t="s">
        <v>972</v>
      </c>
      <c r="L292" s="150" t="s">
        <v>10</v>
      </c>
      <c r="M292" s="150" t="s">
        <v>10</v>
      </c>
      <c r="N292" s="154">
        <v>1</v>
      </c>
      <c r="O292" s="153"/>
    </row>
    <row r="293" spans="1:15" ht="11.1" customHeight="1" x14ac:dyDescent="0.2">
      <c r="A293" s="150" t="s">
        <v>924</v>
      </c>
      <c r="B293" s="150" t="s">
        <v>1074</v>
      </c>
      <c r="C293" s="151">
        <v>2</v>
      </c>
      <c r="D293" s="150" t="s">
        <v>714</v>
      </c>
      <c r="E293" s="150"/>
      <c r="F293" s="150" t="s">
        <v>919</v>
      </c>
      <c r="G293" s="150"/>
      <c r="H293" s="152">
        <v>4090</v>
      </c>
      <c r="I293" s="153"/>
      <c r="J293" s="150" t="s">
        <v>920</v>
      </c>
      <c r="K293" s="150" t="s">
        <v>972</v>
      </c>
      <c r="L293" s="150" t="s">
        <v>10</v>
      </c>
      <c r="M293" s="150" t="s">
        <v>10</v>
      </c>
      <c r="N293" s="154">
        <v>1</v>
      </c>
      <c r="O293" s="153"/>
    </row>
    <row r="294" spans="1:15" ht="11.1" customHeight="1" x14ac:dyDescent="0.2">
      <c r="A294" s="150" t="s">
        <v>924</v>
      </c>
      <c r="B294" s="150" t="s">
        <v>1075</v>
      </c>
      <c r="C294" s="151">
        <v>1</v>
      </c>
      <c r="D294" s="150" t="s">
        <v>1076</v>
      </c>
      <c r="E294" s="150"/>
      <c r="F294" s="150" t="s">
        <v>1077</v>
      </c>
      <c r="G294" s="150"/>
      <c r="H294" s="152">
        <v>1900</v>
      </c>
      <c r="I294" s="153"/>
      <c r="J294" s="150" t="s">
        <v>908</v>
      </c>
      <c r="K294" s="150"/>
      <c r="L294" s="150" t="s">
        <v>10</v>
      </c>
      <c r="M294" s="150" t="s">
        <v>10</v>
      </c>
      <c r="N294" s="154">
        <v>1</v>
      </c>
      <c r="O294" s="153"/>
    </row>
    <row r="295" spans="1:15" ht="11.1" customHeight="1" x14ac:dyDescent="0.2">
      <c r="A295" s="150" t="s">
        <v>924</v>
      </c>
      <c r="B295" s="150" t="s">
        <v>1078</v>
      </c>
      <c r="C295" s="151">
        <v>1</v>
      </c>
      <c r="D295" s="150" t="s">
        <v>1079</v>
      </c>
      <c r="E295" s="150"/>
      <c r="F295" s="150" t="s">
        <v>1077</v>
      </c>
      <c r="G295" s="150"/>
      <c r="H295" s="152">
        <v>1900</v>
      </c>
      <c r="I295" s="153"/>
      <c r="J295" s="150" t="s">
        <v>908</v>
      </c>
      <c r="K295" s="150"/>
      <c r="L295" s="150" t="s">
        <v>10</v>
      </c>
      <c r="M295" s="150" t="s">
        <v>10</v>
      </c>
      <c r="N295" s="154">
        <v>1</v>
      </c>
      <c r="O295" s="153"/>
    </row>
    <row r="296" spans="1:15" ht="11.1" customHeight="1" x14ac:dyDescent="0.2">
      <c r="A296" s="150" t="s">
        <v>924</v>
      </c>
      <c r="B296" s="150" t="s">
        <v>1080</v>
      </c>
      <c r="C296" s="151">
        <v>1</v>
      </c>
      <c r="D296" s="150" t="s">
        <v>839</v>
      </c>
      <c r="E296" s="150"/>
      <c r="F296" s="150" t="s">
        <v>907</v>
      </c>
      <c r="G296" s="150"/>
      <c r="H296" s="152">
        <v>3340</v>
      </c>
      <c r="I296" s="153"/>
      <c r="J296" s="150" t="s">
        <v>920</v>
      </c>
      <c r="K296" s="150" t="s">
        <v>918</v>
      </c>
      <c r="L296" s="150" t="s">
        <v>10</v>
      </c>
      <c r="M296" s="150" t="s">
        <v>10</v>
      </c>
      <c r="N296" s="154">
        <v>1</v>
      </c>
      <c r="O296" s="153"/>
    </row>
    <row r="297" spans="1:15" ht="11.1" customHeight="1" x14ac:dyDescent="0.2">
      <c r="A297" s="150" t="s">
        <v>924</v>
      </c>
      <c r="B297" s="150" t="s">
        <v>1080</v>
      </c>
      <c r="C297" s="151">
        <v>2</v>
      </c>
      <c r="D297" s="150" t="s">
        <v>839</v>
      </c>
      <c r="E297" s="150"/>
      <c r="F297" s="150" t="s">
        <v>919</v>
      </c>
      <c r="G297" s="150"/>
      <c r="H297" s="152">
        <v>3830</v>
      </c>
      <c r="I297" s="153"/>
      <c r="J297" s="150" t="s">
        <v>920</v>
      </c>
      <c r="K297" s="150" t="s">
        <v>918</v>
      </c>
      <c r="L297" s="150" t="s">
        <v>10</v>
      </c>
      <c r="M297" s="150" t="s">
        <v>10</v>
      </c>
      <c r="N297" s="154">
        <v>1</v>
      </c>
      <c r="O297" s="153"/>
    </row>
    <row r="298" spans="1:15" ht="11.1" customHeight="1" x14ac:dyDescent="0.2">
      <c r="A298" s="150" t="s">
        <v>924</v>
      </c>
      <c r="B298" s="150" t="s">
        <v>1081</v>
      </c>
      <c r="C298" s="151">
        <v>1</v>
      </c>
      <c r="D298" s="150" t="s">
        <v>840</v>
      </c>
      <c r="E298" s="150"/>
      <c r="F298" s="150" t="s">
        <v>907</v>
      </c>
      <c r="G298" s="150"/>
      <c r="H298" s="152">
        <v>3340</v>
      </c>
      <c r="I298" s="153"/>
      <c r="J298" s="150" t="s">
        <v>920</v>
      </c>
      <c r="K298" s="150" t="s">
        <v>918</v>
      </c>
      <c r="L298" s="150" t="s">
        <v>10</v>
      </c>
      <c r="M298" s="150" t="s">
        <v>10</v>
      </c>
      <c r="N298" s="154">
        <v>1</v>
      </c>
      <c r="O298" s="153"/>
    </row>
    <row r="299" spans="1:15" ht="11.1" customHeight="1" x14ac:dyDescent="0.2">
      <c r="A299" s="150" t="s">
        <v>924</v>
      </c>
      <c r="B299" s="150" t="s">
        <v>1081</v>
      </c>
      <c r="C299" s="151">
        <v>2</v>
      </c>
      <c r="D299" s="150" t="s">
        <v>840</v>
      </c>
      <c r="E299" s="150"/>
      <c r="F299" s="150" t="s">
        <v>919</v>
      </c>
      <c r="G299" s="150"/>
      <c r="H299" s="152">
        <v>3210</v>
      </c>
      <c r="I299" s="153"/>
      <c r="J299" s="150" t="s">
        <v>920</v>
      </c>
      <c r="K299" s="150" t="s">
        <v>918</v>
      </c>
      <c r="L299" s="150" t="s">
        <v>10</v>
      </c>
      <c r="M299" s="150" t="s">
        <v>10</v>
      </c>
      <c r="N299" s="154">
        <v>1</v>
      </c>
      <c r="O299" s="153"/>
    </row>
    <row r="300" spans="1:15" ht="11.1" customHeight="1" x14ac:dyDescent="0.2">
      <c r="A300" s="150" t="s">
        <v>924</v>
      </c>
      <c r="B300" s="150" t="s">
        <v>1082</v>
      </c>
      <c r="C300" s="151">
        <v>1</v>
      </c>
      <c r="D300" s="150" t="s">
        <v>1083</v>
      </c>
      <c r="E300" s="150"/>
      <c r="F300" s="150" t="s">
        <v>907</v>
      </c>
      <c r="G300" s="150"/>
      <c r="H300" s="152">
        <v>7480</v>
      </c>
      <c r="I300" s="153"/>
      <c r="J300" s="150" t="s">
        <v>920</v>
      </c>
      <c r="K300" s="150" t="s">
        <v>909</v>
      </c>
      <c r="L300" s="150" t="s">
        <v>10</v>
      </c>
      <c r="M300" s="150" t="s">
        <v>10</v>
      </c>
      <c r="N300" s="154">
        <v>1</v>
      </c>
      <c r="O300" s="153"/>
    </row>
    <row r="301" spans="1:15" ht="11.1" customHeight="1" x14ac:dyDescent="0.2">
      <c r="A301" s="150" t="s">
        <v>924</v>
      </c>
      <c r="B301" s="150" t="s">
        <v>1082</v>
      </c>
      <c r="C301" s="151">
        <v>2</v>
      </c>
      <c r="D301" s="150" t="s">
        <v>1083</v>
      </c>
      <c r="E301" s="150"/>
      <c r="F301" s="150" t="s">
        <v>919</v>
      </c>
      <c r="G301" s="150"/>
      <c r="H301" s="152">
        <v>8490</v>
      </c>
      <c r="I301" s="153"/>
      <c r="J301" s="150" t="s">
        <v>920</v>
      </c>
      <c r="K301" s="150" t="s">
        <v>909</v>
      </c>
      <c r="L301" s="150" t="s">
        <v>10</v>
      </c>
      <c r="M301" s="150" t="s">
        <v>10</v>
      </c>
      <c r="N301" s="154">
        <v>1</v>
      </c>
      <c r="O301" s="153"/>
    </row>
    <row r="302" spans="1:15" ht="11.1" customHeight="1" x14ac:dyDescent="0.2">
      <c r="A302" s="150" t="s">
        <v>924</v>
      </c>
      <c r="B302" s="150" t="s">
        <v>1084</v>
      </c>
      <c r="C302" s="151">
        <v>1</v>
      </c>
      <c r="D302" s="150" t="s">
        <v>1085</v>
      </c>
      <c r="E302" s="150"/>
      <c r="F302" s="150" t="s">
        <v>907</v>
      </c>
      <c r="G302" s="150"/>
      <c r="H302" s="152">
        <v>7320</v>
      </c>
      <c r="I302" s="153"/>
      <c r="J302" s="150" t="s">
        <v>920</v>
      </c>
      <c r="K302" s="150" t="s">
        <v>909</v>
      </c>
      <c r="L302" s="150" t="s">
        <v>10</v>
      </c>
      <c r="M302" s="150" t="s">
        <v>10</v>
      </c>
      <c r="N302" s="154">
        <v>1</v>
      </c>
      <c r="O302" s="153"/>
    </row>
    <row r="303" spans="1:15" ht="11.1" customHeight="1" x14ac:dyDescent="0.2">
      <c r="A303" s="150" t="s">
        <v>924</v>
      </c>
      <c r="B303" s="150" t="s">
        <v>1084</v>
      </c>
      <c r="C303" s="151">
        <v>2</v>
      </c>
      <c r="D303" s="150" t="s">
        <v>1085</v>
      </c>
      <c r="E303" s="150"/>
      <c r="F303" s="150" t="s">
        <v>919</v>
      </c>
      <c r="G303" s="150"/>
      <c r="H303" s="152">
        <v>8340</v>
      </c>
      <c r="I303" s="153"/>
      <c r="J303" s="150" t="s">
        <v>920</v>
      </c>
      <c r="K303" s="150" t="s">
        <v>909</v>
      </c>
      <c r="L303" s="150" t="s">
        <v>10</v>
      </c>
      <c r="M303" s="150" t="s">
        <v>10</v>
      </c>
      <c r="N303" s="154">
        <v>1</v>
      </c>
      <c r="O303" s="153"/>
    </row>
    <row r="304" spans="1:15" ht="11.1" customHeight="1" x14ac:dyDescent="0.2">
      <c r="A304" s="150" t="s">
        <v>924</v>
      </c>
      <c r="B304" s="150" t="s">
        <v>1086</v>
      </c>
      <c r="C304" s="151">
        <v>1</v>
      </c>
      <c r="D304" s="150" t="s">
        <v>837</v>
      </c>
      <c r="E304" s="150"/>
      <c r="F304" s="150" t="s">
        <v>907</v>
      </c>
      <c r="G304" s="150"/>
      <c r="H304" s="152">
        <v>2530</v>
      </c>
      <c r="I304" s="153"/>
      <c r="J304" s="150" t="s">
        <v>920</v>
      </c>
      <c r="K304" s="150" t="s">
        <v>923</v>
      </c>
      <c r="L304" s="150" t="s">
        <v>10</v>
      </c>
      <c r="M304" s="150" t="s">
        <v>10</v>
      </c>
      <c r="N304" s="154">
        <v>1</v>
      </c>
      <c r="O304" s="153"/>
    </row>
    <row r="305" spans="1:15" ht="11.1" customHeight="1" x14ac:dyDescent="0.2">
      <c r="A305" s="150" t="s">
        <v>924</v>
      </c>
      <c r="B305" s="150" t="s">
        <v>1086</v>
      </c>
      <c r="C305" s="151">
        <v>2</v>
      </c>
      <c r="D305" s="150" t="s">
        <v>837</v>
      </c>
      <c r="E305" s="150"/>
      <c r="F305" s="150" t="s">
        <v>919</v>
      </c>
      <c r="G305" s="150"/>
      <c r="H305" s="152">
        <v>2820</v>
      </c>
      <c r="I305" s="153"/>
      <c r="J305" s="150" t="s">
        <v>920</v>
      </c>
      <c r="K305" s="150" t="s">
        <v>923</v>
      </c>
      <c r="L305" s="150" t="s">
        <v>10</v>
      </c>
      <c r="M305" s="150" t="s">
        <v>10</v>
      </c>
      <c r="N305" s="154">
        <v>1</v>
      </c>
      <c r="O305" s="153"/>
    </row>
    <row r="306" spans="1:15" ht="11.1" customHeight="1" x14ac:dyDescent="0.2">
      <c r="A306" s="150" t="s">
        <v>924</v>
      </c>
      <c r="B306" s="150" t="s">
        <v>1087</v>
      </c>
      <c r="C306" s="151">
        <v>1</v>
      </c>
      <c r="D306" s="150" t="s">
        <v>1088</v>
      </c>
      <c r="E306" s="150"/>
      <c r="F306" s="150" t="s">
        <v>1089</v>
      </c>
      <c r="G306" s="150"/>
      <c r="H306" s="154">
        <v>400</v>
      </c>
      <c r="I306" s="153"/>
      <c r="J306" s="150" t="s">
        <v>908</v>
      </c>
      <c r="K306" s="150"/>
      <c r="L306" s="150" t="s">
        <v>10</v>
      </c>
      <c r="M306" s="150" t="s">
        <v>10</v>
      </c>
      <c r="N306" s="154">
        <v>1</v>
      </c>
      <c r="O306" s="153"/>
    </row>
    <row r="307" spans="1:15" ht="11.1" customHeight="1" x14ac:dyDescent="0.2">
      <c r="A307" s="150" t="s">
        <v>924</v>
      </c>
      <c r="B307" s="150" t="s">
        <v>1090</v>
      </c>
      <c r="C307" s="151">
        <v>1</v>
      </c>
      <c r="D307" s="150" t="s">
        <v>838</v>
      </c>
      <c r="E307" s="150"/>
      <c r="F307" s="150" t="s">
        <v>907</v>
      </c>
      <c r="G307" s="150"/>
      <c r="H307" s="152">
        <v>2530</v>
      </c>
      <c r="I307" s="153"/>
      <c r="J307" s="150" t="s">
        <v>920</v>
      </c>
      <c r="K307" s="150" t="s">
        <v>923</v>
      </c>
      <c r="L307" s="150" t="s">
        <v>10</v>
      </c>
      <c r="M307" s="150" t="s">
        <v>10</v>
      </c>
      <c r="N307" s="154">
        <v>1</v>
      </c>
      <c r="O307" s="153"/>
    </row>
    <row r="308" spans="1:15" ht="11.1" customHeight="1" x14ac:dyDescent="0.2">
      <c r="A308" s="150" t="s">
        <v>924</v>
      </c>
      <c r="B308" s="150" t="s">
        <v>1090</v>
      </c>
      <c r="C308" s="151">
        <v>2</v>
      </c>
      <c r="D308" s="150" t="s">
        <v>838</v>
      </c>
      <c r="E308" s="150"/>
      <c r="F308" s="150" t="s">
        <v>919</v>
      </c>
      <c r="G308" s="150"/>
      <c r="H308" s="152">
        <v>2820</v>
      </c>
      <c r="I308" s="153"/>
      <c r="J308" s="150" t="s">
        <v>920</v>
      </c>
      <c r="K308" s="150" t="s">
        <v>923</v>
      </c>
      <c r="L308" s="150" t="s">
        <v>10</v>
      </c>
      <c r="M308" s="150" t="s">
        <v>10</v>
      </c>
      <c r="N308" s="154">
        <v>1</v>
      </c>
      <c r="O308" s="153"/>
    </row>
    <row r="309" spans="1:15" ht="11.1" customHeight="1" x14ac:dyDescent="0.2">
      <c r="A309" s="150" t="s">
        <v>924</v>
      </c>
      <c r="B309" s="150" t="s">
        <v>1091</v>
      </c>
      <c r="C309" s="151">
        <v>3</v>
      </c>
      <c r="D309" s="150" t="s">
        <v>1092</v>
      </c>
      <c r="E309" s="150"/>
      <c r="F309" s="150" t="s">
        <v>872</v>
      </c>
      <c r="G309" s="150"/>
      <c r="H309" s="152">
        <v>11083.4458</v>
      </c>
      <c r="I309" s="153"/>
      <c r="J309" s="150" t="s">
        <v>873</v>
      </c>
      <c r="K309" s="150"/>
      <c r="L309" s="150" t="s">
        <v>10</v>
      </c>
      <c r="M309" s="150" t="s">
        <v>10</v>
      </c>
      <c r="N309" s="154">
        <v>1</v>
      </c>
      <c r="O309" s="153"/>
    </row>
    <row r="310" spans="1:15" ht="11.1" customHeight="1" x14ac:dyDescent="0.2">
      <c r="A310" s="150" t="s">
        <v>924</v>
      </c>
      <c r="B310" s="150" t="s">
        <v>1091</v>
      </c>
      <c r="C310" s="151">
        <v>17</v>
      </c>
      <c r="D310" s="150" t="s">
        <v>1092</v>
      </c>
      <c r="E310" s="150"/>
      <c r="F310" s="150" t="s">
        <v>874</v>
      </c>
      <c r="G310" s="150"/>
      <c r="H310" s="152">
        <v>13853.3073</v>
      </c>
      <c r="I310" s="153"/>
      <c r="J310" s="150" t="s">
        <v>873</v>
      </c>
      <c r="K310" s="150"/>
      <c r="L310" s="150" t="s">
        <v>10</v>
      </c>
      <c r="M310" s="150" t="s">
        <v>10</v>
      </c>
      <c r="N310" s="154">
        <v>1</v>
      </c>
      <c r="O310" s="153"/>
    </row>
    <row r="311" spans="1:15" ht="11.1" customHeight="1" x14ac:dyDescent="0.2">
      <c r="A311" s="150" t="s">
        <v>924</v>
      </c>
      <c r="B311" s="150" t="s">
        <v>1091</v>
      </c>
      <c r="C311" s="151">
        <v>1</v>
      </c>
      <c r="D311" s="150" t="s">
        <v>1092</v>
      </c>
      <c r="E311" s="150"/>
      <c r="F311" s="150" t="s">
        <v>875</v>
      </c>
      <c r="G311" s="150"/>
      <c r="H311" s="152">
        <v>6465.6767</v>
      </c>
      <c r="I311" s="153"/>
      <c r="J311" s="150" t="s">
        <v>873</v>
      </c>
      <c r="K311" s="150"/>
      <c r="L311" s="150" t="s">
        <v>10</v>
      </c>
      <c r="M311" s="150" t="s">
        <v>10</v>
      </c>
      <c r="N311" s="154">
        <v>1</v>
      </c>
      <c r="O311" s="153"/>
    </row>
    <row r="312" spans="1:15" ht="11.1" customHeight="1" x14ac:dyDescent="0.2">
      <c r="A312" s="150" t="s">
        <v>924</v>
      </c>
      <c r="B312" s="150" t="s">
        <v>1091</v>
      </c>
      <c r="C312" s="151">
        <v>15</v>
      </c>
      <c r="D312" s="150" t="s">
        <v>1092</v>
      </c>
      <c r="E312" s="150"/>
      <c r="F312" s="150" t="s">
        <v>876</v>
      </c>
      <c r="G312" s="150"/>
      <c r="H312" s="152">
        <v>8081.5959000000003</v>
      </c>
      <c r="I312" s="153"/>
      <c r="J312" s="150" t="s">
        <v>873</v>
      </c>
      <c r="K312" s="150"/>
      <c r="L312" s="150" t="s">
        <v>10</v>
      </c>
      <c r="M312" s="150" t="s">
        <v>10</v>
      </c>
      <c r="N312" s="154">
        <v>1</v>
      </c>
      <c r="O312" s="153"/>
    </row>
    <row r="313" spans="1:15" ht="11.1" customHeight="1" x14ac:dyDescent="0.2">
      <c r="A313" s="150" t="s">
        <v>924</v>
      </c>
      <c r="B313" s="150" t="s">
        <v>1091</v>
      </c>
      <c r="C313" s="151">
        <v>2</v>
      </c>
      <c r="D313" s="150" t="s">
        <v>1092</v>
      </c>
      <c r="E313" s="150"/>
      <c r="F313" s="150" t="s">
        <v>877</v>
      </c>
      <c r="G313" s="150"/>
      <c r="H313" s="152">
        <v>9297.5350999999991</v>
      </c>
      <c r="I313" s="153"/>
      <c r="J313" s="150" t="s">
        <v>873</v>
      </c>
      <c r="K313" s="150"/>
      <c r="L313" s="150" t="s">
        <v>10</v>
      </c>
      <c r="M313" s="150" t="s">
        <v>10</v>
      </c>
      <c r="N313" s="154">
        <v>1</v>
      </c>
      <c r="O313" s="153"/>
    </row>
    <row r="314" spans="1:15" ht="11.1" customHeight="1" x14ac:dyDescent="0.2">
      <c r="A314" s="150" t="s">
        <v>924</v>
      </c>
      <c r="B314" s="150" t="s">
        <v>1091</v>
      </c>
      <c r="C314" s="151">
        <v>16</v>
      </c>
      <c r="D314" s="150" t="s">
        <v>1092</v>
      </c>
      <c r="E314" s="150"/>
      <c r="F314" s="150" t="s">
        <v>878</v>
      </c>
      <c r="G314" s="150"/>
      <c r="H314" s="152">
        <v>11619.419</v>
      </c>
      <c r="I314" s="153"/>
      <c r="J314" s="150" t="s">
        <v>873</v>
      </c>
      <c r="K314" s="150"/>
      <c r="L314" s="150" t="s">
        <v>10</v>
      </c>
      <c r="M314" s="150" t="s">
        <v>10</v>
      </c>
      <c r="N314" s="154">
        <v>1</v>
      </c>
      <c r="O314" s="153"/>
    </row>
    <row r="315" spans="1:15" ht="11.1" customHeight="1" x14ac:dyDescent="0.2">
      <c r="A315" s="150" t="s">
        <v>924</v>
      </c>
      <c r="B315" s="150" t="s">
        <v>1091</v>
      </c>
      <c r="C315" s="151">
        <v>4</v>
      </c>
      <c r="D315" s="150" t="s">
        <v>1092</v>
      </c>
      <c r="E315" s="150"/>
      <c r="F315" s="150" t="s">
        <v>879</v>
      </c>
      <c r="G315" s="150"/>
      <c r="H315" s="152">
        <v>7841.6079</v>
      </c>
      <c r="I315" s="153"/>
      <c r="J315" s="150" t="s">
        <v>873</v>
      </c>
      <c r="K315" s="150"/>
      <c r="L315" s="150" t="s">
        <v>10</v>
      </c>
      <c r="M315" s="150" t="s">
        <v>10</v>
      </c>
      <c r="N315" s="154">
        <v>1</v>
      </c>
      <c r="O315" s="153"/>
    </row>
    <row r="316" spans="1:15" ht="11.1" customHeight="1" x14ac:dyDescent="0.2">
      <c r="A316" s="150" t="s">
        <v>924</v>
      </c>
      <c r="B316" s="150" t="s">
        <v>1091</v>
      </c>
      <c r="C316" s="151">
        <v>18</v>
      </c>
      <c r="D316" s="150" t="s">
        <v>1092</v>
      </c>
      <c r="E316" s="150"/>
      <c r="F316" s="150" t="s">
        <v>880</v>
      </c>
      <c r="G316" s="150"/>
      <c r="H316" s="152">
        <v>9799.51</v>
      </c>
      <c r="I316" s="153"/>
      <c r="J316" s="150" t="s">
        <v>873</v>
      </c>
      <c r="K316" s="150"/>
      <c r="L316" s="150" t="s">
        <v>10</v>
      </c>
      <c r="M316" s="150" t="s">
        <v>10</v>
      </c>
      <c r="N316" s="154">
        <v>1</v>
      </c>
      <c r="O316" s="153"/>
    </row>
    <row r="317" spans="1:15" ht="11.1" customHeight="1" x14ac:dyDescent="0.2">
      <c r="A317" s="150" t="s">
        <v>924</v>
      </c>
      <c r="B317" s="150" t="s">
        <v>1091</v>
      </c>
      <c r="C317" s="151">
        <v>5</v>
      </c>
      <c r="D317" s="150" t="s">
        <v>1092</v>
      </c>
      <c r="E317" s="150"/>
      <c r="F317" s="150" t="s">
        <v>881</v>
      </c>
      <c r="G317" s="150"/>
      <c r="H317" s="152">
        <v>11083.4458</v>
      </c>
      <c r="I317" s="153"/>
      <c r="J317" s="150" t="s">
        <v>873</v>
      </c>
      <c r="K317" s="150"/>
      <c r="L317" s="150" t="s">
        <v>10</v>
      </c>
      <c r="M317" s="150" t="s">
        <v>10</v>
      </c>
      <c r="N317" s="154">
        <v>1</v>
      </c>
      <c r="O317" s="153"/>
    </row>
    <row r="318" spans="1:15" ht="11.1" customHeight="1" x14ac:dyDescent="0.2">
      <c r="A318" s="150" t="s">
        <v>924</v>
      </c>
      <c r="B318" s="150" t="s">
        <v>1091</v>
      </c>
      <c r="C318" s="151">
        <v>19</v>
      </c>
      <c r="D318" s="150" t="s">
        <v>1092</v>
      </c>
      <c r="E318" s="150"/>
      <c r="F318" s="150" t="s">
        <v>882</v>
      </c>
      <c r="G318" s="150"/>
      <c r="H318" s="152">
        <v>13853.3073</v>
      </c>
      <c r="I318" s="153"/>
      <c r="J318" s="150" t="s">
        <v>873</v>
      </c>
      <c r="K318" s="150"/>
      <c r="L318" s="150" t="s">
        <v>10</v>
      </c>
      <c r="M318" s="150" t="s">
        <v>10</v>
      </c>
      <c r="N318" s="154">
        <v>1</v>
      </c>
      <c r="O318" s="153"/>
    </row>
    <row r="319" spans="1:15" ht="11.1" customHeight="1" x14ac:dyDescent="0.2">
      <c r="A319" s="150" t="s">
        <v>924</v>
      </c>
      <c r="B319" s="150" t="s">
        <v>1091</v>
      </c>
      <c r="C319" s="151">
        <v>6</v>
      </c>
      <c r="D319" s="150" t="s">
        <v>1092</v>
      </c>
      <c r="E319" s="150"/>
      <c r="F319" s="150" t="s">
        <v>883</v>
      </c>
      <c r="G319" s="150"/>
      <c r="H319" s="152">
        <v>12865.3567</v>
      </c>
      <c r="I319" s="153"/>
      <c r="J319" s="150" t="s">
        <v>873</v>
      </c>
      <c r="K319" s="150"/>
      <c r="L319" s="150" t="s">
        <v>10</v>
      </c>
      <c r="M319" s="150" t="s">
        <v>10</v>
      </c>
      <c r="N319" s="154">
        <v>1</v>
      </c>
      <c r="O319" s="153"/>
    </row>
    <row r="320" spans="1:15" ht="11.1" customHeight="1" x14ac:dyDescent="0.2">
      <c r="A320" s="150" t="s">
        <v>924</v>
      </c>
      <c r="B320" s="150" t="s">
        <v>1091</v>
      </c>
      <c r="C320" s="151">
        <v>20</v>
      </c>
      <c r="D320" s="150" t="s">
        <v>1092</v>
      </c>
      <c r="E320" s="150"/>
      <c r="F320" s="150" t="s">
        <v>884</v>
      </c>
      <c r="G320" s="150"/>
      <c r="H320" s="152">
        <v>16081.195900000001</v>
      </c>
      <c r="I320" s="153"/>
      <c r="J320" s="150" t="s">
        <v>873</v>
      </c>
      <c r="K320" s="150"/>
      <c r="L320" s="150" t="s">
        <v>10</v>
      </c>
      <c r="M320" s="150" t="s">
        <v>10</v>
      </c>
      <c r="N320" s="154">
        <v>1</v>
      </c>
      <c r="O320" s="153"/>
    </row>
    <row r="321" spans="1:15" ht="11.1" customHeight="1" x14ac:dyDescent="0.2">
      <c r="A321" s="150" t="s">
        <v>924</v>
      </c>
      <c r="B321" s="150" t="s">
        <v>1091</v>
      </c>
      <c r="C321" s="151">
        <v>7</v>
      </c>
      <c r="D321" s="150" t="s">
        <v>1092</v>
      </c>
      <c r="E321" s="150"/>
      <c r="F321" s="150" t="s">
        <v>885</v>
      </c>
      <c r="G321" s="150"/>
      <c r="H321" s="152">
        <v>14653.2673</v>
      </c>
      <c r="I321" s="153"/>
      <c r="J321" s="150" t="s">
        <v>873</v>
      </c>
      <c r="K321" s="150"/>
      <c r="L321" s="150" t="s">
        <v>10</v>
      </c>
      <c r="M321" s="150" t="s">
        <v>10</v>
      </c>
      <c r="N321" s="154">
        <v>1</v>
      </c>
      <c r="O321" s="153"/>
    </row>
    <row r="322" spans="1:15" ht="11.1" customHeight="1" x14ac:dyDescent="0.2">
      <c r="A322" s="150" t="s">
        <v>924</v>
      </c>
      <c r="B322" s="150" t="s">
        <v>1091</v>
      </c>
      <c r="C322" s="151">
        <v>21</v>
      </c>
      <c r="D322" s="150" t="s">
        <v>1092</v>
      </c>
      <c r="E322" s="150"/>
      <c r="F322" s="150" t="s">
        <v>886</v>
      </c>
      <c r="G322" s="150"/>
      <c r="H322" s="152">
        <v>18315.084200000001</v>
      </c>
      <c r="I322" s="153"/>
      <c r="J322" s="150" t="s">
        <v>873</v>
      </c>
      <c r="K322" s="150"/>
      <c r="L322" s="150" t="s">
        <v>10</v>
      </c>
      <c r="M322" s="150" t="s">
        <v>10</v>
      </c>
      <c r="N322" s="154">
        <v>1</v>
      </c>
      <c r="O322" s="153"/>
    </row>
    <row r="323" spans="1:15" ht="11.1" customHeight="1" x14ac:dyDescent="0.2">
      <c r="A323" s="150" t="s">
        <v>924</v>
      </c>
      <c r="B323" s="150" t="s">
        <v>1091</v>
      </c>
      <c r="C323" s="151">
        <v>8</v>
      </c>
      <c r="D323" s="150" t="s">
        <v>1092</v>
      </c>
      <c r="E323" s="150"/>
      <c r="F323" s="150" t="s">
        <v>887</v>
      </c>
      <c r="G323" s="150"/>
      <c r="H323" s="152">
        <v>7113.6442999999999</v>
      </c>
      <c r="I323" s="153"/>
      <c r="J323" s="150" t="s">
        <v>873</v>
      </c>
      <c r="K323" s="150"/>
      <c r="L323" s="150" t="s">
        <v>10</v>
      </c>
      <c r="M323" s="150" t="s">
        <v>10</v>
      </c>
      <c r="N323" s="154">
        <v>1</v>
      </c>
      <c r="O323" s="153"/>
    </row>
    <row r="324" spans="1:15" ht="11.1" customHeight="1" x14ac:dyDescent="0.2">
      <c r="A324" s="150" t="s">
        <v>924</v>
      </c>
      <c r="B324" s="150" t="s">
        <v>1091</v>
      </c>
      <c r="C324" s="151">
        <v>22</v>
      </c>
      <c r="D324" s="150" t="s">
        <v>1092</v>
      </c>
      <c r="E324" s="150"/>
      <c r="F324" s="150" t="s">
        <v>888</v>
      </c>
      <c r="G324" s="150"/>
      <c r="H324" s="152">
        <v>8889.5555000000004</v>
      </c>
      <c r="I324" s="153"/>
      <c r="J324" s="150" t="s">
        <v>873</v>
      </c>
      <c r="K324" s="150"/>
      <c r="L324" s="150" t="s">
        <v>10</v>
      </c>
      <c r="M324" s="150" t="s">
        <v>10</v>
      </c>
      <c r="N324" s="154">
        <v>1</v>
      </c>
      <c r="O324" s="153"/>
    </row>
    <row r="325" spans="1:15" ht="11.1" customHeight="1" x14ac:dyDescent="0.2">
      <c r="A325" s="150" t="s">
        <v>924</v>
      </c>
      <c r="B325" s="150" t="s">
        <v>1091</v>
      </c>
      <c r="C325" s="151">
        <v>9</v>
      </c>
      <c r="D325" s="150" t="s">
        <v>1092</v>
      </c>
      <c r="E325" s="150"/>
      <c r="F325" s="150" t="s">
        <v>889</v>
      </c>
      <c r="G325" s="150"/>
      <c r="H325" s="152">
        <v>10225.4887</v>
      </c>
      <c r="I325" s="153"/>
      <c r="J325" s="150" t="s">
        <v>873</v>
      </c>
      <c r="K325" s="150"/>
      <c r="L325" s="150" t="s">
        <v>10</v>
      </c>
      <c r="M325" s="150" t="s">
        <v>10</v>
      </c>
      <c r="N325" s="154">
        <v>1</v>
      </c>
      <c r="O325" s="153"/>
    </row>
    <row r="326" spans="1:15" ht="11.1" customHeight="1" x14ac:dyDescent="0.2">
      <c r="A326" s="150" t="s">
        <v>924</v>
      </c>
      <c r="B326" s="150" t="s">
        <v>1091</v>
      </c>
      <c r="C326" s="151">
        <v>23</v>
      </c>
      <c r="D326" s="150" t="s">
        <v>1092</v>
      </c>
      <c r="E326" s="150"/>
      <c r="F326" s="150" t="s">
        <v>890</v>
      </c>
      <c r="G326" s="150"/>
      <c r="H326" s="152">
        <v>12781.3609</v>
      </c>
      <c r="I326" s="153"/>
      <c r="J326" s="150" t="s">
        <v>873</v>
      </c>
      <c r="K326" s="150"/>
      <c r="L326" s="150" t="s">
        <v>10</v>
      </c>
      <c r="M326" s="150" t="s">
        <v>10</v>
      </c>
      <c r="N326" s="154">
        <v>1</v>
      </c>
      <c r="O326" s="153"/>
    </row>
    <row r="327" spans="1:15" ht="11.1" customHeight="1" x14ac:dyDescent="0.2">
      <c r="A327" s="150" t="s">
        <v>924</v>
      </c>
      <c r="B327" s="150" t="s">
        <v>1091</v>
      </c>
      <c r="C327" s="151">
        <v>10</v>
      </c>
      <c r="D327" s="150" t="s">
        <v>1092</v>
      </c>
      <c r="E327" s="150"/>
      <c r="F327" s="150" t="s">
        <v>891</v>
      </c>
      <c r="G327" s="150"/>
      <c r="H327" s="152">
        <v>12191.3904</v>
      </c>
      <c r="I327" s="153"/>
      <c r="J327" s="150" t="s">
        <v>873</v>
      </c>
      <c r="K327" s="150"/>
      <c r="L327" s="150" t="s">
        <v>10</v>
      </c>
      <c r="M327" s="150" t="s">
        <v>10</v>
      </c>
      <c r="N327" s="154">
        <v>1</v>
      </c>
      <c r="O327" s="153"/>
    </row>
    <row r="328" spans="1:15" ht="11.1" customHeight="1" x14ac:dyDescent="0.2">
      <c r="A328" s="150" t="s">
        <v>924</v>
      </c>
      <c r="B328" s="150" t="s">
        <v>1091</v>
      </c>
      <c r="C328" s="151">
        <v>24</v>
      </c>
      <c r="D328" s="150" t="s">
        <v>1092</v>
      </c>
      <c r="E328" s="150"/>
      <c r="F328" s="150" t="s">
        <v>892</v>
      </c>
      <c r="G328" s="150"/>
      <c r="H328" s="152">
        <v>15241.2379</v>
      </c>
      <c r="I328" s="153"/>
      <c r="J328" s="150" t="s">
        <v>873</v>
      </c>
      <c r="K328" s="150"/>
      <c r="L328" s="150" t="s">
        <v>10</v>
      </c>
      <c r="M328" s="150" t="s">
        <v>10</v>
      </c>
      <c r="N328" s="154">
        <v>1</v>
      </c>
      <c r="O328" s="153"/>
    </row>
    <row r="329" spans="1:15" ht="11.1" customHeight="1" x14ac:dyDescent="0.2">
      <c r="A329" s="150" t="s">
        <v>924</v>
      </c>
      <c r="B329" s="150" t="s">
        <v>1091</v>
      </c>
      <c r="C329" s="151">
        <v>11</v>
      </c>
      <c r="D329" s="150" t="s">
        <v>1092</v>
      </c>
      <c r="E329" s="150"/>
      <c r="F329" s="150" t="s">
        <v>893</v>
      </c>
      <c r="G329" s="150"/>
      <c r="H329" s="152">
        <v>8619.5689999999995</v>
      </c>
      <c r="I329" s="153"/>
      <c r="J329" s="150" t="s">
        <v>873</v>
      </c>
      <c r="K329" s="150"/>
      <c r="L329" s="150" t="s">
        <v>10</v>
      </c>
      <c r="M329" s="150" t="s">
        <v>10</v>
      </c>
      <c r="N329" s="154">
        <v>1</v>
      </c>
      <c r="O329" s="153"/>
    </row>
    <row r="330" spans="1:15" ht="11.1" customHeight="1" x14ac:dyDescent="0.2">
      <c r="A330" s="150" t="s">
        <v>924</v>
      </c>
      <c r="B330" s="150" t="s">
        <v>1091</v>
      </c>
      <c r="C330" s="151">
        <v>25</v>
      </c>
      <c r="D330" s="150" t="s">
        <v>1092</v>
      </c>
      <c r="E330" s="150"/>
      <c r="F330" s="150" t="s">
        <v>894</v>
      </c>
      <c r="G330" s="150"/>
      <c r="H330" s="152">
        <v>10773.461300000001</v>
      </c>
      <c r="I330" s="153"/>
      <c r="J330" s="150" t="s">
        <v>873</v>
      </c>
      <c r="K330" s="150"/>
      <c r="L330" s="150" t="s">
        <v>10</v>
      </c>
      <c r="M330" s="150" t="s">
        <v>10</v>
      </c>
      <c r="N330" s="154">
        <v>1</v>
      </c>
      <c r="O330" s="153"/>
    </row>
    <row r="331" spans="1:15" ht="11.1" customHeight="1" x14ac:dyDescent="0.2">
      <c r="A331" s="150" t="s">
        <v>924</v>
      </c>
      <c r="B331" s="150" t="s">
        <v>1091</v>
      </c>
      <c r="C331" s="151">
        <v>12</v>
      </c>
      <c r="D331" s="150" t="s">
        <v>1092</v>
      </c>
      <c r="E331" s="150"/>
      <c r="F331" s="150" t="s">
        <v>895</v>
      </c>
      <c r="G331" s="150"/>
      <c r="H331" s="152">
        <v>12191.3904</v>
      </c>
      <c r="I331" s="153"/>
      <c r="J331" s="150" t="s">
        <v>873</v>
      </c>
      <c r="K331" s="150"/>
      <c r="L331" s="150" t="s">
        <v>10</v>
      </c>
      <c r="M331" s="150" t="s">
        <v>10</v>
      </c>
      <c r="N331" s="154">
        <v>1</v>
      </c>
      <c r="O331" s="153"/>
    </row>
    <row r="332" spans="1:15" ht="11.1" customHeight="1" x14ac:dyDescent="0.2">
      <c r="A332" s="150" t="s">
        <v>924</v>
      </c>
      <c r="B332" s="150" t="s">
        <v>1091</v>
      </c>
      <c r="C332" s="151">
        <v>26</v>
      </c>
      <c r="D332" s="150" t="s">
        <v>1092</v>
      </c>
      <c r="E332" s="150"/>
      <c r="F332" s="150" t="s">
        <v>896</v>
      </c>
      <c r="G332" s="150"/>
      <c r="H332" s="152">
        <v>15241.2379</v>
      </c>
      <c r="I332" s="153"/>
      <c r="J332" s="150" t="s">
        <v>873</v>
      </c>
      <c r="K332" s="150"/>
      <c r="L332" s="150" t="s">
        <v>10</v>
      </c>
      <c r="M332" s="150" t="s">
        <v>10</v>
      </c>
      <c r="N332" s="154">
        <v>1</v>
      </c>
      <c r="O332" s="153"/>
    </row>
    <row r="333" spans="1:15" ht="11.1" customHeight="1" x14ac:dyDescent="0.2">
      <c r="A333" s="150" t="s">
        <v>924</v>
      </c>
      <c r="B333" s="150" t="s">
        <v>1091</v>
      </c>
      <c r="C333" s="151">
        <v>13</v>
      </c>
      <c r="D333" s="150" t="s">
        <v>1092</v>
      </c>
      <c r="E333" s="150"/>
      <c r="F333" s="150" t="s">
        <v>897</v>
      </c>
      <c r="G333" s="150"/>
      <c r="H333" s="152">
        <v>14155.2922</v>
      </c>
      <c r="I333" s="153"/>
      <c r="J333" s="150" t="s">
        <v>873</v>
      </c>
      <c r="K333" s="150"/>
      <c r="L333" s="150" t="s">
        <v>10</v>
      </c>
      <c r="M333" s="150" t="s">
        <v>10</v>
      </c>
      <c r="N333" s="154">
        <v>1</v>
      </c>
      <c r="O333" s="153"/>
    </row>
    <row r="334" spans="1:15" ht="11.1" customHeight="1" x14ac:dyDescent="0.2">
      <c r="A334" s="150" t="s">
        <v>924</v>
      </c>
      <c r="B334" s="150" t="s">
        <v>1091</v>
      </c>
      <c r="C334" s="151">
        <v>27</v>
      </c>
      <c r="D334" s="150" t="s">
        <v>1092</v>
      </c>
      <c r="E334" s="150"/>
      <c r="F334" s="150" t="s">
        <v>898</v>
      </c>
      <c r="G334" s="150"/>
      <c r="H334" s="152">
        <v>17693.115300000001</v>
      </c>
      <c r="I334" s="153"/>
      <c r="J334" s="150" t="s">
        <v>873</v>
      </c>
      <c r="K334" s="150"/>
      <c r="L334" s="150" t="s">
        <v>10</v>
      </c>
      <c r="M334" s="150" t="s">
        <v>10</v>
      </c>
      <c r="N334" s="154">
        <v>1</v>
      </c>
      <c r="O334" s="153"/>
    </row>
    <row r="335" spans="1:15" ht="11.1" customHeight="1" x14ac:dyDescent="0.2">
      <c r="A335" s="150" t="s">
        <v>924</v>
      </c>
      <c r="B335" s="150" t="s">
        <v>1091</v>
      </c>
      <c r="C335" s="151">
        <v>14</v>
      </c>
      <c r="D335" s="150" t="s">
        <v>1092</v>
      </c>
      <c r="E335" s="150"/>
      <c r="F335" s="150" t="s">
        <v>899</v>
      </c>
      <c r="G335" s="150"/>
      <c r="H335" s="152">
        <v>16119.194</v>
      </c>
      <c r="I335" s="153"/>
      <c r="J335" s="150" t="s">
        <v>873</v>
      </c>
      <c r="K335" s="150"/>
      <c r="L335" s="150" t="s">
        <v>10</v>
      </c>
      <c r="M335" s="150" t="s">
        <v>10</v>
      </c>
      <c r="N335" s="154">
        <v>1</v>
      </c>
      <c r="O335" s="153"/>
    </row>
    <row r="336" spans="1:15" ht="11.1" customHeight="1" x14ac:dyDescent="0.2">
      <c r="A336" s="150" t="s">
        <v>924</v>
      </c>
      <c r="B336" s="150" t="s">
        <v>1091</v>
      </c>
      <c r="C336" s="151">
        <v>28</v>
      </c>
      <c r="D336" s="150" t="s">
        <v>1092</v>
      </c>
      <c r="E336" s="150"/>
      <c r="F336" s="150" t="s">
        <v>900</v>
      </c>
      <c r="G336" s="150"/>
      <c r="H336" s="152">
        <v>20150.992399999999</v>
      </c>
      <c r="I336" s="153"/>
      <c r="J336" s="150" t="s">
        <v>873</v>
      </c>
      <c r="K336" s="150"/>
      <c r="L336" s="150" t="s">
        <v>10</v>
      </c>
      <c r="M336" s="150" t="s">
        <v>10</v>
      </c>
      <c r="N336" s="154">
        <v>1</v>
      </c>
      <c r="O336" s="153"/>
    </row>
  </sheetData>
  <sheetProtection algorithmName="SHA-512" hashValue="pdb7PyYTUjQeD/hI1vm2g1uQBe5fC6OdexpfG2nAz5fkg9ptNeouatX7avcCImZpyakuJCQl321w5IoEQijkGw==" saltValue="PlXgXxMJYR+FTHE9S5P4Rw==" spinCount="100000" sheet="1" objects="1" scenarios="1"/>
  <pageMargins left="0.39370078740157483" right="0.39370078740157483" top="0.39370078740157483" bottom="0.39370078740157483" header="0" footer="0"/>
  <pageSetup pageOrder="overThenDown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2"/>
  <dimension ref="A1:AF28"/>
  <sheetViews>
    <sheetView workbookViewId="0">
      <selection activeCell="C20" sqref="C20"/>
    </sheetView>
  </sheetViews>
  <sheetFormatPr defaultRowHeight="15" x14ac:dyDescent="0.25"/>
  <cols>
    <col min="1" max="1" width="36" bestFit="1" customWidth="1"/>
    <col min="3" max="3" width="24.42578125" bestFit="1" customWidth="1"/>
    <col min="4" max="4" width="12.5703125" bestFit="1" customWidth="1"/>
    <col min="7" max="7" width="17" bestFit="1" customWidth="1"/>
    <col min="8" max="8" width="22.7109375" bestFit="1" customWidth="1"/>
    <col min="10" max="10" width="13.28515625" bestFit="1" customWidth="1"/>
    <col min="13" max="13" width="18" style="1" customWidth="1"/>
    <col min="14" max="14" width="16" style="1" customWidth="1"/>
    <col min="15" max="15" width="19" style="1" customWidth="1"/>
    <col min="18" max="18" width="9.7109375" customWidth="1"/>
    <col min="20" max="20" width="13.7109375" customWidth="1"/>
    <col min="22" max="22" width="18.28515625" customWidth="1"/>
    <col min="24" max="24" width="16.85546875" customWidth="1"/>
    <col min="26" max="26" width="14.42578125" customWidth="1"/>
    <col min="31" max="31" width="26.140625" customWidth="1"/>
    <col min="32" max="32" width="15.5703125" style="1" customWidth="1"/>
  </cols>
  <sheetData>
    <row r="1" spans="1:32" x14ac:dyDescent="0.25">
      <c r="A1" t="s">
        <v>100</v>
      </c>
      <c r="C1" t="s">
        <v>101</v>
      </c>
      <c r="D1" t="s">
        <v>114</v>
      </c>
      <c r="G1" t="s">
        <v>124</v>
      </c>
      <c r="H1" t="s">
        <v>1100</v>
      </c>
      <c r="J1" t="s">
        <v>125</v>
      </c>
      <c r="M1" s="1" t="s">
        <v>835</v>
      </c>
      <c r="O1" s="1" t="s">
        <v>836</v>
      </c>
      <c r="R1" t="s">
        <v>125</v>
      </c>
      <c r="T1" t="s">
        <v>473</v>
      </c>
      <c r="V1" t="s">
        <v>1121</v>
      </c>
      <c r="X1" t="s">
        <v>1124</v>
      </c>
      <c r="Z1" s="186" t="s">
        <v>1126</v>
      </c>
      <c r="AE1" t="s">
        <v>1191</v>
      </c>
      <c r="AF1" s="1" t="s">
        <v>1192</v>
      </c>
    </row>
    <row r="2" spans="1:32" x14ac:dyDescent="0.25">
      <c r="A2" s="19" t="s">
        <v>1234</v>
      </c>
      <c r="C2" s="3" t="s">
        <v>102</v>
      </c>
      <c r="D2" t="s">
        <v>113</v>
      </c>
      <c r="G2" s="3">
        <v>120</v>
      </c>
      <c r="H2" t="s">
        <v>1239</v>
      </c>
      <c r="J2" s="3" t="s">
        <v>126</v>
      </c>
      <c r="M2" s="1">
        <v>116</v>
      </c>
      <c r="O2" s="1">
        <v>146</v>
      </c>
      <c r="R2" s="3" t="s">
        <v>126</v>
      </c>
      <c r="T2" t="s">
        <v>6</v>
      </c>
      <c r="V2" t="s">
        <v>1122</v>
      </c>
      <c r="X2" t="s">
        <v>1125</v>
      </c>
      <c r="Z2" s="184" t="s">
        <v>1127</v>
      </c>
      <c r="AE2" t="s">
        <v>1165</v>
      </c>
      <c r="AF2" s="1" t="s">
        <v>1193</v>
      </c>
    </row>
    <row r="3" spans="1:32" x14ac:dyDescent="0.25">
      <c r="A3" s="19" t="s">
        <v>1302</v>
      </c>
      <c r="C3" s="3" t="s">
        <v>103</v>
      </c>
      <c r="D3" t="s">
        <v>113</v>
      </c>
      <c r="G3" s="3">
        <v>150</v>
      </c>
      <c r="J3" s="3" t="s">
        <v>127</v>
      </c>
      <c r="M3" s="1">
        <v>141</v>
      </c>
      <c r="O3" s="1">
        <v>196</v>
      </c>
      <c r="R3" s="3" t="s">
        <v>127</v>
      </c>
      <c r="T3" t="s">
        <v>7</v>
      </c>
      <c r="V3" t="s">
        <v>1123</v>
      </c>
      <c r="X3" t="s">
        <v>10</v>
      </c>
      <c r="Z3" s="184" t="s">
        <v>1128</v>
      </c>
      <c r="AE3" t="s">
        <v>1166</v>
      </c>
      <c r="AF3" s="1" t="s">
        <v>1194</v>
      </c>
    </row>
    <row r="4" spans="1:32" x14ac:dyDescent="0.25">
      <c r="A4" s="95" t="s">
        <v>1225</v>
      </c>
      <c r="C4" s="3" t="s">
        <v>104</v>
      </c>
      <c r="D4" t="s">
        <v>113</v>
      </c>
      <c r="J4" s="3" t="s">
        <v>660</v>
      </c>
      <c r="M4" s="1">
        <v>176</v>
      </c>
      <c r="O4" s="1">
        <v>296</v>
      </c>
      <c r="R4" s="3" t="s">
        <v>660</v>
      </c>
      <c r="T4" t="s">
        <v>9</v>
      </c>
      <c r="Z4" s="184" t="s">
        <v>92</v>
      </c>
      <c r="AE4" t="s">
        <v>1167</v>
      </c>
      <c r="AF4" s="1" t="s">
        <v>1195</v>
      </c>
    </row>
    <row r="5" spans="1:32" x14ac:dyDescent="0.25">
      <c r="A5" s="19" t="s">
        <v>709</v>
      </c>
      <c r="C5" s="3" t="s">
        <v>105</v>
      </c>
      <c r="D5" t="s">
        <v>113</v>
      </c>
      <c r="J5" s="3" t="s">
        <v>1223</v>
      </c>
      <c r="M5" s="1">
        <v>236</v>
      </c>
      <c r="O5" s="1">
        <v>346</v>
      </c>
      <c r="R5" s="3" t="s">
        <v>1119</v>
      </c>
      <c r="Z5" s="185" t="s">
        <v>95</v>
      </c>
      <c r="AE5" t="s">
        <v>1168</v>
      </c>
      <c r="AF5" s="1" t="s">
        <v>1196</v>
      </c>
    </row>
    <row r="6" spans="1:32" x14ac:dyDescent="0.25">
      <c r="A6" s="96" t="s">
        <v>710</v>
      </c>
      <c r="C6" s="3" t="s">
        <v>106</v>
      </c>
      <c r="D6" t="s">
        <v>113</v>
      </c>
      <c r="J6" s="3" t="s">
        <v>1269</v>
      </c>
      <c r="M6" s="1">
        <v>285</v>
      </c>
      <c r="O6" s="1">
        <v>376</v>
      </c>
      <c r="R6" s="3" t="s">
        <v>1120</v>
      </c>
      <c r="AE6" t="s">
        <v>1169</v>
      </c>
      <c r="AF6" s="1" t="s">
        <v>1197</v>
      </c>
    </row>
    <row r="7" spans="1:32" x14ac:dyDescent="0.25">
      <c r="C7" s="3" t="s">
        <v>107</v>
      </c>
      <c r="D7" t="s">
        <v>113</v>
      </c>
      <c r="M7" s="1">
        <v>356</v>
      </c>
      <c r="O7" s="1">
        <v>396</v>
      </c>
      <c r="R7" s="3" t="s">
        <v>1223</v>
      </c>
      <c r="AE7" t="s">
        <v>1198</v>
      </c>
      <c r="AF7" s="1" t="s">
        <v>1199</v>
      </c>
    </row>
    <row r="8" spans="1:32" x14ac:dyDescent="0.25">
      <c r="C8" s="3" t="s">
        <v>108</v>
      </c>
      <c r="D8" t="s">
        <v>113</v>
      </c>
      <c r="M8" s="1">
        <v>476</v>
      </c>
      <c r="O8" s="1">
        <v>446</v>
      </c>
      <c r="R8" s="3" t="s">
        <v>1269</v>
      </c>
      <c r="AE8" t="s">
        <v>1170</v>
      </c>
      <c r="AF8" s="1" t="s">
        <v>1200</v>
      </c>
    </row>
    <row r="9" spans="1:32" x14ac:dyDescent="0.25">
      <c r="C9" s="3" t="s">
        <v>109</v>
      </c>
      <c r="D9" t="s">
        <v>113</v>
      </c>
      <c r="M9" s="1">
        <v>536</v>
      </c>
      <c r="O9" s="1">
        <v>496</v>
      </c>
      <c r="AE9" t="s">
        <v>1171</v>
      </c>
      <c r="AF9" s="1" t="s">
        <v>1201</v>
      </c>
    </row>
    <row r="10" spans="1:32" x14ac:dyDescent="0.25">
      <c r="C10" s="3" t="s">
        <v>110</v>
      </c>
      <c r="D10" t="s">
        <v>113</v>
      </c>
      <c r="M10" s="1">
        <v>573</v>
      </c>
      <c r="O10" s="1">
        <v>596</v>
      </c>
      <c r="AE10" t="s">
        <v>1172</v>
      </c>
      <c r="AF10" s="1" t="s">
        <v>1200</v>
      </c>
    </row>
    <row r="11" spans="1:32" x14ac:dyDescent="0.25">
      <c r="C11" s="3" t="s">
        <v>112</v>
      </c>
      <c r="D11" t="s">
        <v>115</v>
      </c>
      <c r="M11" s="1">
        <v>596</v>
      </c>
      <c r="O11" s="1">
        <v>696</v>
      </c>
      <c r="AE11" t="s">
        <v>1173</v>
      </c>
      <c r="AF11" s="1" t="s">
        <v>1203</v>
      </c>
    </row>
    <row r="12" spans="1:32" x14ac:dyDescent="0.25">
      <c r="C12" s="3" t="s">
        <v>111</v>
      </c>
      <c r="D12" t="s">
        <v>115</v>
      </c>
      <c r="M12" s="1">
        <v>716</v>
      </c>
      <c r="O12" s="1">
        <v>796</v>
      </c>
      <c r="R12" t="s">
        <v>1129</v>
      </c>
      <c r="T12" s="186" t="s">
        <v>92</v>
      </c>
      <c r="V12" s="189" t="s">
        <v>528</v>
      </c>
      <c r="X12" t="s">
        <v>1134</v>
      </c>
      <c r="AE12" t="s">
        <v>1174</v>
      </c>
      <c r="AF12" s="1" t="s">
        <v>1204</v>
      </c>
    </row>
    <row r="13" spans="1:32" x14ac:dyDescent="0.25">
      <c r="M13" s="1">
        <v>956</v>
      </c>
      <c r="O13" s="1">
        <v>896</v>
      </c>
      <c r="R13">
        <v>120</v>
      </c>
      <c r="T13" s="184" t="s">
        <v>1130</v>
      </c>
      <c r="V13" s="187" t="s">
        <v>1132</v>
      </c>
      <c r="X13" t="s">
        <v>1135</v>
      </c>
      <c r="AE13" t="s">
        <v>1175</v>
      </c>
      <c r="AF13" s="1" t="s">
        <v>1242</v>
      </c>
    </row>
    <row r="14" spans="1:32" x14ac:dyDescent="0.25">
      <c r="M14" s="1">
        <v>1316</v>
      </c>
      <c r="R14">
        <v>150</v>
      </c>
      <c r="T14" s="185" t="s">
        <v>1131</v>
      </c>
      <c r="V14" s="188" t="s">
        <v>1133</v>
      </c>
      <c r="X14" t="s">
        <v>1136</v>
      </c>
      <c r="AE14" t="s">
        <v>1176</v>
      </c>
      <c r="AF14" s="1" t="s">
        <v>1206</v>
      </c>
    </row>
    <row r="15" spans="1:32" x14ac:dyDescent="0.25">
      <c r="R15" t="s">
        <v>10</v>
      </c>
      <c r="T15" s="185" t="s">
        <v>10</v>
      </c>
      <c r="V15" s="190" t="s">
        <v>10</v>
      </c>
      <c r="X15" t="s">
        <v>1137</v>
      </c>
      <c r="AE15" t="s">
        <v>1177</v>
      </c>
      <c r="AF15" s="1" t="s">
        <v>1207</v>
      </c>
    </row>
    <row r="16" spans="1:32" x14ac:dyDescent="0.25">
      <c r="X16" t="s">
        <v>1138</v>
      </c>
      <c r="AE16" t="s">
        <v>1178</v>
      </c>
      <c r="AF16" s="1" t="s">
        <v>1208</v>
      </c>
    </row>
    <row r="17" spans="18:32" x14ac:dyDescent="0.25">
      <c r="X17" t="s">
        <v>1139</v>
      </c>
      <c r="AE17" t="s">
        <v>1179</v>
      </c>
      <c r="AF17" s="1" t="s">
        <v>1209</v>
      </c>
    </row>
    <row r="18" spans="18:32" x14ac:dyDescent="0.25">
      <c r="X18" t="s">
        <v>1140</v>
      </c>
      <c r="AE18" t="s">
        <v>1180</v>
      </c>
      <c r="AF18" s="1" t="s">
        <v>1210</v>
      </c>
    </row>
    <row r="19" spans="18:32" x14ac:dyDescent="0.25">
      <c r="R19" t="s">
        <v>1142</v>
      </c>
      <c r="X19" t="s">
        <v>1141</v>
      </c>
      <c r="AE19" t="s">
        <v>1181</v>
      </c>
      <c r="AF19" s="1" t="s">
        <v>1244</v>
      </c>
    </row>
    <row r="20" spans="18:32" x14ac:dyDescent="0.25">
      <c r="R20" t="s">
        <v>71</v>
      </c>
      <c r="AE20" t="s">
        <v>1182</v>
      </c>
      <c r="AF20" s="1" t="s">
        <v>1245</v>
      </c>
    </row>
    <row r="21" spans="18:32" x14ac:dyDescent="0.25">
      <c r="R21" t="s">
        <v>10</v>
      </c>
      <c r="AE21" t="s">
        <v>1183</v>
      </c>
      <c r="AF21" s="1" t="s">
        <v>1215</v>
      </c>
    </row>
    <row r="22" spans="18:32" x14ac:dyDescent="0.25">
      <c r="AE22" t="s">
        <v>1184</v>
      </c>
      <c r="AF22" s="1" t="s">
        <v>1214</v>
      </c>
    </row>
    <row r="23" spans="18:32" x14ac:dyDescent="0.25">
      <c r="AE23" t="s">
        <v>1185</v>
      </c>
      <c r="AF23" s="1" t="s">
        <v>1216</v>
      </c>
    </row>
    <row r="24" spans="18:32" x14ac:dyDescent="0.25">
      <c r="AE24" t="s">
        <v>1186</v>
      </c>
      <c r="AF24" s="1" t="s">
        <v>1217</v>
      </c>
    </row>
    <row r="25" spans="18:32" x14ac:dyDescent="0.25">
      <c r="AE25" t="s">
        <v>1187</v>
      </c>
      <c r="AF25" s="1" t="s">
        <v>1218</v>
      </c>
    </row>
    <row r="26" spans="18:32" x14ac:dyDescent="0.25">
      <c r="AE26" t="s">
        <v>1188</v>
      </c>
      <c r="AF26" s="1" t="s">
        <v>1219</v>
      </c>
    </row>
    <row r="27" spans="18:32" x14ac:dyDescent="0.25">
      <c r="AE27" t="s">
        <v>1189</v>
      </c>
      <c r="AF27" s="1" t="s">
        <v>1220</v>
      </c>
    </row>
    <row r="28" spans="18:32" x14ac:dyDescent="0.25">
      <c r="AE28" t="s">
        <v>1190</v>
      </c>
      <c r="AF28" s="1" t="s">
        <v>1221</v>
      </c>
    </row>
  </sheetData>
  <sheetProtection algorithmName="SHA-512" hashValue="x8jz+teqmYLx1xzUPUljUcMzSe26YL8fHqAfFFhZSfuf5dwyxBlvVrjE/gWOh+a4DE0M2FxmpZHtKeEKzhTvKA==" saltValue="NsVhqYixwkLGtYXGpjknLQ==" spinCount="100000" sheet="1" objects="1" scenarios="1"/>
  <pageMargins left="0.7" right="0.7" top="0.75" bottom="0.75" header="0.3" footer="0.3"/>
  <pageSetup paperSize="9" orientation="portrait" r:id="rId1"/>
  <tableParts count="17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0"/>
  <dimension ref="A1:M55"/>
  <sheetViews>
    <sheetView showGridLines="0" zoomScaleNormal="100" workbookViewId="0">
      <selection activeCell="O14" sqref="O14"/>
    </sheetView>
  </sheetViews>
  <sheetFormatPr defaultRowHeight="12" x14ac:dyDescent="0.2"/>
  <cols>
    <col min="1" max="1" width="18.7109375" style="191" customWidth="1"/>
    <col min="2" max="2" width="6" style="191" customWidth="1"/>
    <col min="3" max="3" width="6.28515625" style="191" customWidth="1"/>
    <col min="4" max="4" width="12.7109375" style="191" customWidth="1"/>
    <col min="5" max="5" width="6.28515625" style="191" customWidth="1"/>
    <col min="6" max="6" width="7.28515625" style="191" customWidth="1"/>
    <col min="7" max="7" width="6.28515625" style="191" customWidth="1"/>
    <col min="8" max="8" width="9.140625" style="191"/>
    <col min="9" max="9" width="5.28515625" style="191" customWidth="1"/>
    <col min="10" max="10" width="9" style="191" customWidth="1"/>
    <col min="11" max="11" width="9.140625" style="191"/>
    <col min="12" max="12" width="10.140625" style="191" bestFit="1" customWidth="1"/>
    <col min="13" max="16384" width="9.140625" style="191"/>
  </cols>
  <sheetData>
    <row r="1" spans="1:13" ht="30" customHeight="1" x14ac:dyDescent="0.2">
      <c r="A1" s="194" t="s">
        <v>1143</v>
      </c>
      <c r="B1" s="207"/>
      <c r="C1" s="194" t="s">
        <v>858</v>
      </c>
      <c r="D1" s="208"/>
      <c r="E1" s="209" t="s">
        <v>1144</v>
      </c>
      <c r="F1" s="207"/>
      <c r="G1" s="194" t="s">
        <v>1145</v>
      </c>
      <c r="H1" s="207"/>
      <c r="I1" s="194" t="s">
        <v>1146</v>
      </c>
      <c r="J1" s="210"/>
    </row>
    <row r="2" spans="1:13" x14ac:dyDescent="0.2">
      <c r="A2" s="193" t="s">
        <v>1147</v>
      </c>
      <c r="B2" s="349"/>
      <c r="C2" s="349"/>
      <c r="D2" s="349"/>
      <c r="E2" s="349"/>
      <c r="F2" s="349"/>
      <c r="G2" s="349"/>
      <c r="H2" s="349"/>
      <c r="I2" s="349"/>
      <c r="J2" s="349"/>
    </row>
    <row r="3" spans="1:13" x14ac:dyDescent="0.2">
      <c r="A3" s="200" t="s">
        <v>1148</v>
      </c>
      <c r="B3" s="348" t="s">
        <v>1149</v>
      </c>
      <c r="C3" s="348"/>
      <c r="D3" s="348"/>
      <c r="E3" s="348"/>
      <c r="F3" s="348"/>
      <c r="G3" s="348"/>
      <c r="H3" s="348"/>
      <c r="I3" s="348"/>
      <c r="J3" s="348"/>
    </row>
    <row r="4" spans="1:13" ht="16.5" customHeight="1" x14ac:dyDescent="0.2">
      <c r="A4" s="337" t="s">
        <v>1202</v>
      </c>
      <c r="B4" s="337"/>
      <c r="C4" s="337"/>
      <c r="D4" s="337"/>
      <c r="E4" s="337"/>
      <c r="F4" s="337"/>
      <c r="G4" s="337"/>
      <c r="H4" s="337"/>
      <c r="I4" s="337"/>
      <c r="J4" s="337"/>
    </row>
    <row r="5" spans="1:13" ht="15" customHeight="1" x14ac:dyDescent="0.2">
      <c r="A5" s="201" t="s">
        <v>1150</v>
      </c>
      <c r="B5" s="338"/>
      <c r="C5" s="338"/>
      <c r="D5" s="338"/>
      <c r="E5" s="338"/>
      <c r="F5" s="338"/>
      <c r="G5" s="338"/>
      <c r="H5" s="338"/>
      <c r="I5" s="338"/>
      <c r="J5" s="338"/>
    </row>
    <row r="6" spans="1:13" ht="15" customHeight="1" x14ac:dyDescent="0.2">
      <c r="A6" s="201" t="s">
        <v>1243</v>
      </c>
      <c r="B6" s="252"/>
      <c r="C6" s="202"/>
      <c r="D6" s="202"/>
      <c r="E6" s="202"/>
      <c r="F6" s="202"/>
      <c r="G6" s="202"/>
      <c r="H6" s="202"/>
      <c r="I6" s="202"/>
      <c r="J6" s="202"/>
      <c r="M6" s="193"/>
    </row>
    <row r="7" spans="1:13" ht="15" customHeight="1" x14ac:dyDescent="0.2">
      <c r="A7" s="203" t="s">
        <v>1151</v>
      </c>
      <c r="B7" s="206"/>
      <c r="C7" s="193"/>
      <c r="D7" s="193"/>
      <c r="E7" s="193"/>
      <c r="F7" s="193"/>
      <c r="G7" s="193"/>
      <c r="H7" s="193"/>
      <c r="I7" s="193"/>
      <c r="J7" s="193"/>
    </row>
    <row r="8" spans="1:13" ht="15" customHeight="1" x14ac:dyDescent="0.2">
      <c r="A8" s="203" t="s">
        <v>1152</v>
      </c>
      <c r="B8" s="206"/>
      <c r="C8" s="193"/>
      <c r="D8" s="193"/>
      <c r="E8" s="193"/>
      <c r="F8" s="193"/>
      <c r="G8" s="193"/>
      <c r="H8" s="193"/>
      <c r="I8" s="193"/>
      <c r="J8" s="193"/>
    </row>
    <row r="9" spans="1:13" ht="15" customHeight="1" x14ac:dyDescent="0.2">
      <c r="A9" s="203" t="s">
        <v>1153</v>
      </c>
      <c r="B9" s="206"/>
      <c r="C9" s="193"/>
      <c r="D9" s="193"/>
      <c r="E9" s="193"/>
      <c r="F9" s="193"/>
      <c r="G9" s="193"/>
      <c r="H9" s="193"/>
      <c r="I9" s="193"/>
      <c r="J9" s="193"/>
    </row>
    <row r="10" spans="1:13" ht="15.75" customHeight="1" x14ac:dyDescent="0.2">
      <c r="A10" s="193"/>
      <c r="B10" s="193"/>
      <c r="C10" s="193"/>
      <c r="D10" s="193"/>
      <c r="E10" s="193"/>
      <c r="F10" s="193"/>
      <c r="G10" s="193"/>
      <c r="H10" s="193"/>
      <c r="I10" s="193"/>
      <c r="J10" s="193"/>
    </row>
    <row r="11" spans="1:13" x14ac:dyDescent="0.2">
      <c r="A11" s="214" t="s">
        <v>1205</v>
      </c>
      <c r="B11" s="357"/>
      <c r="C11" s="357"/>
      <c r="D11" s="357"/>
      <c r="E11" s="357"/>
      <c r="F11" s="357"/>
      <c r="G11" s="357"/>
      <c r="H11" s="357"/>
      <c r="I11" s="357"/>
      <c r="J11" s="358"/>
    </row>
    <row r="12" spans="1:13" x14ac:dyDescent="0.2">
      <c r="A12" s="215" t="s">
        <v>1124</v>
      </c>
      <c r="B12" s="349"/>
      <c r="C12" s="349"/>
      <c r="D12" s="349"/>
      <c r="E12" s="349"/>
      <c r="F12" s="349"/>
      <c r="G12" s="349"/>
      <c r="H12" s="349"/>
      <c r="I12" s="349"/>
      <c r="J12" s="359"/>
    </row>
    <row r="13" spans="1:13" x14ac:dyDescent="0.2">
      <c r="A13" s="215" t="s">
        <v>1126</v>
      </c>
      <c r="B13" s="349"/>
      <c r="C13" s="349"/>
      <c r="D13" s="349"/>
      <c r="E13" s="349"/>
      <c r="F13" s="349"/>
      <c r="G13" s="349"/>
      <c r="H13" s="349"/>
      <c r="I13" s="349"/>
      <c r="J13" s="359"/>
    </row>
    <row r="14" spans="1:13" x14ac:dyDescent="0.2">
      <c r="A14" s="215" t="s">
        <v>1129</v>
      </c>
      <c r="B14" s="349"/>
      <c r="C14" s="349"/>
      <c r="D14" s="349"/>
      <c r="E14" s="349"/>
      <c r="F14" s="349"/>
      <c r="G14" s="349"/>
      <c r="H14" s="349"/>
      <c r="I14" s="349"/>
      <c r="J14" s="359"/>
    </row>
    <row r="15" spans="1:13" x14ac:dyDescent="0.2">
      <c r="A15" s="216" t="s">
        <v>92</v>
      </c>
      <c r="B15" s="348"/>
      <c r="C15" s="348"/>
      <c r="D15" s="348"/>
      <c r="E15" s="348"/>
      <c r="F15" s="348"/>
      <c r="G15" s="348"/>
      <c r="H15" s="348"/>
      <c r="I15" s="348"/>
      <c r="J15" s="360"/>
      <c r="K15" s="193"/>
    </row>
    <row r="16" spans="1:13" ht="15.75" customHeight="1" thickBot="1" x14ac:dyDescent="0.25">
      <c r="A16" s="211" t="s">
        <v>87</v>
      </c>
      <c r="C16" s="213" t="s">
        <v>123</v>
      </c>
      <c r="D16" s="212"/>
      <c r="E16" s="361" t="s">
        <v>1154</v>
      </c>
      <c r="F16" s="361"/>
      <c r="G16" s="356"/>
      <c r="H16" s="356"/>
      <c r="I16" s="356"/>
      <c r="J16" s="356"/>
    </row>
    <row r="17" spans="1:10" ht="16.5" thickTop="1" x14ac:dyDescent="0.25">
      <c r="A17" s="350" t="s">
        <v>1211</v>
      </c>
      <c r="B17" s="351"/>
      <c r="C17" s="351"/>
      <c r="D17" s="351"/>
      <c r="E17" s="351"/>
      <c r="F17" s="351"/>
      <c r="G17" s="351"/>
      <c r="H17" s="351"/>
      <c r="I17" s="351"/>
      <c r="J17" s="352"/>
    </row>
    <row r="18" spans="1:10" x14ac:dyDescent="0.2">
      <c r="A18" s="204" t="s">
        <v>1155</v>
      </c>
      <c r="B18" s="343"/>
      <c r="C18" s="343"/>
      <c r="D18" s="343"/>
      <c r="E18" s="343"/>
      <c r="F18" s="343"/>
      <c r="G18" s="343"/>
      <c r="H18" s="343"/>
      <c r="I18" s="343"/>
      <c r="J18" s="344"/>
    </row>
    <row r="19" spans="1:10" ht="15.75" customHeight="1" thickBot="1" x14ac:dyDescent="0.25">
      <c r="A19" s="195" t="s">
        <v>1156</v>
      </c>
      <c r="B19" s="345"/>
      <c r="C19" s="345"/>
      <c r="D19" s="345"/>
      <c r="E19" s="345"/>
      <c r="F19" s="345"/>
      <c r="G19" s="345"/>
      <c r="H19" s="345"/>
      <c r="I19" s="345"/>
      <c r="J19" s="346"/>
    </row>
    <row r="20" spans="1:10" ht="16.5" thickTop="1" x14ac:dyDescent="0.25">
      <c r="A20" s="353" t="s">
        <v>1212</v>
      </c>
      <c r="B20" s="354"/>
      <c r="C20" s="354"/>
      <c r="D20" s="354"/>
      <c r="E20" s="354"/>
      <c r="F20" s="354"/>
      <c r="G20" s="354"/>
      <c r="H20" s="354"/>
      <c r="I20" s="354"/>
      <c r="J20" s="355"/>
    </row>
    <row r="21" spans="1:10" ht="15.75" customHeight="1" thickBot="1" x14ac:dyDescent="0.25">
      <c r="A21" s="205" t="s">
        <v>1157</v>
      </c>
      <c r="B21" s="340"/>
      <c r="C21" s="340"/>
      <c r="D21" s="192"/>
      <c r="E21" s="192" t="s">
        <v>1158</v>
      </c>
      <c r="F21" s="192"/>
      <c r="G21" s="212"/>
      <c r="H21" s="192"/>
      <c r="I21" s="192"/>
      <c r="J21" s="196"/>
    </row>
    <row r="22" spans="1:10" ht="12.75" thickTop="1" x14ac:dyDescent="0.2"/>
    <row r="23" spans="1:10" ht="15" customHeight="1" x14ac:dyDescent="0.2">
      <c r="A23" s="191" t="s">
        <v>1159</v>
      </c>
      <c r="E23" s="341"/>
      <c r="F23" s="341"/>
      <c r="G23" s="341"/>
      <c r="H23" s="341"/>
      <c r="I23" s="341"/>
      <c r="J23" s="341"/>
    </row>
    <row r="24" spans="1:10" ht="37.5" customHeight="1" x14ac:dyDescent="0.2">
      <c r="A24" s="198" t="s">
        <v>1160</v>
      </c>
      <c r="B24" s="199"/>
      <c r="C24" s="199"/>
      <c r="D24" s="199"/>
      <c r="E24" s="342"/>
      <c r="F24" s="342"/>
      <c r="G24" s="342"/>
      <c r="H24" s="342"/>
      <c r="I24" s="342"/>
      <c r="J24" s="342"/>
    </row>
    <row r="25" spans="1:10" x14ac:dyDescent="0.2">
      <c r="A25" s="347" t="s">
        <v>1213</v>
      </c>
      <c r="B25" s="347"/>
      <c r="C25" s="347"/>
      <c r="D25" s="347"/>
      <c r="E25" s="347"/>
      <c r="F25" s="347"/>
      <c r="G25" s="347"/>
      <c r="H25" s="347"/>
      <c r="I25" s="347"/>
      <c r="J25" s="347"/>
    </row>
    <row r="26" spans="1:10" x14ac:dyDescent="0.2">
      <c r="A26" s="347"/>
      <c r="B26" s="347"/>
      <c r="C26" s="347"/>
      <c r="D26" s="347"/>
      <c r="E26" s="347"/>
      <c r="F26" s="347"/>
      <c r="G26" s="347"/>
      <c r="H26" s="347"/>
      <c r="I26" s="347"/>
      <c r="J26" s="347"/>
    </row>
    <row r="27" spans="1:10" x14ac:dyDescent="0.2">
      <c r="A27" s="347"/>
      <c r="B27" s="347"/>
      <c r="C27" s="347"/>
      <c r="D27" s="347"/>
      <c r="E27" s="347"/>
      <c r="F27" s="347"/>
      <c r="G27" s="347"/>
      <c r="H27" s="347"/>
      <c r="I27" s="347"/>
      <c r="J27" s="347"/>
    </row>
    <row r="28" spans="1:10" x14ac:dyDescent="0.2">
      <c r="A28" s="347"/>
      <c r="B28" s="347"/>
      <c r="C28" s="347"/>
      <c r="D28" s="347"/>
      <c r="E28" s="347"/>
      <c r="F28" s="347"/>
      <c r="G28" s="347"/>
      <c r="H28" s="347"/>
      <c r="I28" s="347"/>
      <c r="J28" s="347"/>
    </row>
    <row r="29" spans="1:10" x14ac:dyDescent="0.2">
      <c r="A29" s="347"/>
      <c r="B29" s="347"/>
      <c r="C29" s="347"/>
      <c r="D29" s="347"/>
      <c r="E29" s="347"/>
      <c r="F29" s="347"/>
      <c r="G29" s="347"/>
      <c r="H29" s="347"/>
      <c r="I29" s="347"/>
      <c r="J29" s="347"/>
    </row>
    <row r="30" spans="1:10" x14ac:dyDescent="0.2">
      <c r="A30" s="347"/>
      <c r="B30" s="347"/>
      <c r="C30" s="347"/>
      <c r="D30" s="347"/>
      <c r="E30" s="347"/>
      <c r="F30" s="347"/>
      <c r="G30" s="347"/>
      <c r="H30" s="347"/>
      <c r="I30" s="347"/>
      <c r="J30" s="347"/>
    </row>
    <row r="31" spans="1:10" x14ac:dyDescent="0.2">
      <c r="A31" s="347"/>
      <c r="B31" s="347"/>
      <c r="C31" s="347"/>
      <c r="D31" s="347"/>
      <c r="E31" s="347"/>
      <c r="F31" s="347"/>
      <c r="G31" s="347"/>
      <c r="H31" s="347"/>
      <c r="I31" s="347"/>
      <c r="J31" s="347"/>
    </row>
    <row r="32" spans="1:10" x14ac:dyDescent="0.2">
      <c r="A32" s="347"/>
      <c r="B32" s="347"/>
      <c r="C32" s="347"/>
      <c r="D32" s="347"/>
      <c r="E32" s="347"/>
      <c r="F32" s="347"/>
      <c r="G32" s="347"/>
      <c r="H32" s="347"/>
      <c r="I32" s="347"/>
      <c r="J32" s="347"/>
    </row>
    <row r="33" spans="1:10" x14ac:dyDescent="0.2">
      <c r="A33" s="347"/>
      <c r="B33" s="347"/>
      <c r="C33" s="347"/>
      <c r="D33" s="347"/>
      <c r="E33" s="347"/>
      <c r="F33" s="347"/>
      <c r="G33" s="347"/>
      <c r="H33" s="347"/>
      <c r="I33" s="347"/>
      <c r="J33" s="347"/>
    </row>
    <row r="34" spans="1:10" x14ac:dyDescent="0.2">
      <c r="A34" s="347"/>
      <c r="B34" s="347"/>
      <c r="C34" s="347"/>
      <c r="D34" s="347"/>
      <c r="E34" s="347"/>
      <c r="F34" s="347"/>
      <c r="G34" s="347"/>
      <c r="H34" s="347"/>
      <c r="I34" s="347"/>
      <c r="J34" s="347"/>
    </row>
    <row r="35" spans="1:10" x14ac:dyDescent="0.2">
      <c r="A35" s="347"/>
      <c r="B35" s="347"/>
      <c r="C35" s="347"/>
      <c r="D35" s="347"/>
      <c r="E35" s="347"/>
      <c r="F35" s="347"/>
      <c r="G35" s="347"/>
      <c r="H35" s="347"/>
      <c r="I35" s="347"/>
      <c r="J35" s="347"/>
    </row>
    <row r="36" spans="1:10" x14ac:dyDescent="0.2">
      <c r="A36" s="347"/>
      <c r="B36" s="347"/>
      <c r="C36" s="347"/>
      <c r="D36" s="347"/>
      <c r="E36" s="347"/>
      <c r="F36" s="347"/>
      <c r="G36" s="347"/>
      <c r="H36" s="347"/>
      <c r="I36" s="347"/>
      <c r="J36" s="347"/>
    </row>
    <row r="37" spans="1:10" x14ac:dyDescent="0.2">
      <c r="A37" s="347"/>
      <c r="B37" s="347"/>
      <c r="C37" s="347"/>
      <c r="D37" s="347"/>
      <c r="E37" s="347"/>
      <c r="F37" s="347"/>
      <c r="G37" s="347"/>
      <c r="H37" s="347"/>
      <c r="I37" s="347"/>
      <c r="J37" s="347"/>
    </row>
    <row r="38" spans="1:10" x14ac:dyDescent="0.2">
      <c r="A38" s="347"/>
      <c r="B38" s="347"/>
      <c r="C38" s="347"/>
      <c r="D38" s="347"/>
      <c r="E38" s="347"/>
      <c r="F38" s="347"/>
      <c r="G38" s="347"/>
      <c r="H38" s="347"/>
      <c r="I38" s="347"/>
      <c r="J38" s="347"/>
    </row>
    <row r="39" spans="1:10" x14ac:dyDescent="0.2">
      <c r="A39" s="347"/>
      <c r="B39" s="347"/>
      <c r="C39" s="347"/>
      <c r="D39" s="347"/>
      <c r="E39" s="347"/>
      <c r="F39" s="347"/>
      <c r="G39" s="347"/>
      <c r="H39" s="347"/>
      <c r="I39" s="347"/>
      <c r="J39" s="347"/>
    </row>
    <row r="40" spans="1:10" x14ac:dyDescent="0.2">
      <c r="A40" s="347"/>
      <c r="B40" s="347"/>
      <c r="C40" s="347"/>
      <c r="D40" s="347"/>
      <c r="E40" s="347"/>
      <c r="F40" s="347"/>
      <c r="G40" s="347"/>
      <c r="H40" s="347"/>
      <c r="I40" s="347"/>
      <c r="J40" s="347"/>
    </row>
    <row r="41" spans="1:10" x14ac:dyDescent="0.2">
      <c r="A41" s="347"/>
      <c r="B41" s="347"/>
      <c r="C41" s="347"/>
      <c r="D41" s="347"/>
      <c r="E41" s="347"/>
      <c r="F41" s="347"/>
      <c r="G41" s="347"/>
      <c r="H41" s="347"/>
      <c r="I41" s="347"/>
      <c r="J41" s="347"/>
    </row>
    <row r="42" spans="1:10" x14ac:dyDescent="0.2">
      <c r="A42" s="347"/>
      <c r="B42" s="347"/>
      <c r="C42" s="347"/>
      <c r="D42" s="347"/>
      <c r="E42" s="347"/>
      <c r="F42" s="347"/>
      <c r="G42" s="347"/>
      <c r="H42" s="347"/>
      <c r="I42" s="347"/>
      <c r="J42" s="347"/>
    </row>
    <row r="43" spans="1:10" x14ac:dyDescent="0.2">
      <c r="A43" s="347"/>
      <c r="B43" s="347"/>
      <c r="C43" s="347"/>
      <c r="D43" s="347"/>
      <c r="E43" s="347"/>
      <c r="F43" s="347"/>
      <c r="G43" s="347"/>
      <c r="H43" s="347"/>
      <c r="I43" s="347"/>
      <c r="J43" s="347"/>
    </row>
    <row r="44" spans="1:10" x14ac:dyDescent="0.2">
      <c r="A44" s="347"/>
      <c r="B44" s="347"/>
      <c r="C44" s="347"/>
      <c r="D44" s="347"/>
      <c r="E44" s="347"/>
      <c r="F44" s="347"/>
      <c r="G44" s="347"/>
      <c r="H44" s="347"/>
      <c r="I44" s="347"/>
      <c r="J44" s="347"/>
    </row>
    <row r="45" spans="1:10" x14ac:dyDescent="0.2">
      <c r="A45" s="347"/>
      <c r="B45" s="347"/>
      <c r="C45" s="347"/>
      <c r="D45" s="347"/>
      <c r="E45" s="347"/>
      <c r="F45" s="347"/>
      <c r="G45" s="347"/>
      <c r="H45" s="347"/>
      <c r="I45" s="347"/>
      <c r="J45" s="347"/>
    </row>
    <row r="46" spans="1:10" x14ac:dyDescent="0.2">
      <c r="A46" s="347"/>
      <c r="B46" s="347"/>
      <c r="C46" s="347"/>
      <c r="D46" s="347"/>
      <c r="E46" s="347"/>
      <c r="F46" s="347"/>
      <c r="G46" s="347"/>
      <c r="H46" s="347"/>
      <c r="I46" s="347"/>
      <c r="J46" s="347"/>
    </row>
    <row r="47" spans="1:10" x14ac:dyDescent="0.2">
      <c r="A47" s="347"/>
      <c r="B47" s="347"/>
      <c r="C47" s="347"/>
      <c r="D47" s="347"/>
      <c r="E47" s="347"/>
      <c r="F47" s="347"/>
      <c r="G47" s="347"/>
      <c r="H47" s="347"/>
      <c r="I47" s="347"/>
      <c r="J47" s="347"/>
    </row>
    <row r="48" spans="1:10" x14ac:dyDescent="0.2">
      <c r="A48" s="347"/>
      <c r="B48" s="347"/>
      <c r="C48" s="347"/>
      <c r="D48" s="347"/>
      <c r="E48" s="347"/>
      <c r="F48" s="347"/>
      <c r="G48" s="347"/>
      <c r="H48" s="347"/>
      <c r="I48" s="347"/>
      <c r="J48" s="347"/>
    </row>
    <row r="49" spans="1:10" x14ac:dyDescent="0.2">
      <c r="A49" s="347"/>
      <c r="B49" s="347"/>
      <c r="C49" s="347"/>
      <c r="D49" s="347"/>
      <c r="E49" s="347"/>
      <c r="F49" s="347"/>
      <c r="G49" s="347"/>
      <c r="H49" s="347"/>
      <c r="I49" s="347"/>
      <c r="J49" s="347"/>
    </row>
    <row r="50" spans="1:10" x14ac:dyDescent="0.2">
      <c r="A50" s="347"/>
      <c r="B50" s="347"/>
      <c r="C50" s="347"/>
      <c r="D50" s="347"/>
      <c r="E50" s="347"/>
      <c r="F50" s="347"/>
      <c r="G50" s="347"/>
      <c r="H50" s="347"/>
      <c r="I50" s="347"/>
      <c r="J50" s="347"/>
    </row>
    <row r="51" spans="1:10" x14ac:dyDescent="0.2">
      <c r="A51" s="347"/>
      <c r="B51" s="347"/>
      <c r="C51" s="347"/>
      <c r="D51" s="347"/>
      <c r="E51" s="347"/>
      <c r="F51" s="347"/>
      <c r="G51" s="347"/>
      <c r="H51" s="347"/>
      <c r="I51" s="347"/>
      <c r="J51" s="347"/>
    </row>
    <row r="52" spans="1:10" x14ac:dyDescent="0.2">
      <c r="A52" s="191" t="s">
        <v>1161</v>
      </c>
      <c r="B52" s="336" t="s">
        <v>1246</v>
      </c>
      <c r="C52" s="336"/>
      <c r="G52" s="191" t="s">
        <v>1146</v>
      </c>
      <c r="I52" s="339" t="s">
        <v>1241</v>
      </c>
      <c r="J52" s="339"/>
    </row>
    <row r="53" spans="1:10" x14ac:dyDescent="0.2">
      <c r="A53" s="191" t="s">
        <v>1162</v>
      </c>
      <c r="B53" s="336" t="s">
        <v>1149</v>
      </c>
      <c r="C53" s="336"/>
      <c r="G53" s="191" t="s">
        <v>1163</v>
      </c>
      <c r="I53" s="336"/>
      <c r="J53" s="336"/>
    </row>
    <row r="55" spans="1:10" x14ac:dyDescent="0.2">
      <c r="G55" s="197" t="s">
        <v>1164</v>
      </c>
      <c r="H55" s="336"/>
      <c r="I55" s="336"/>
      <c r="J55" s="336"/>
    </row>
  </sheetData>
  <sheetProtection algorithmName="SHA-512" hashValue="O2FQ8ykDhMxxv9C/qBLBrrYWDqO8jNok6tj6pJTmAFELUtrg61U26MDMVMyqRBm4Dh9J8maNnVuMmvSc2/N+kg==" saltValue="1XJEHwEvL5L+9cSDJgvtjA==" spinCount="100000" sheet="1" objects="1" scenarios="1"/>
  <mergeCells count="24">
    <mergeCell ref="B3:J3"/>
    <mergeCell ref="B2:J2"/>
    <mergeCell ref="A17:J17"/>
    <mergeCell ref="A20:J20"/>
    <mergeCell ref="G16:J16"/>
    <mergeCell ref="B11:J11"/>
    <mergeCell ref="B12:J12"/>
    <mergeCell ref="B13:J13"/>
    <mergeCell ref="B14:J14"/>
    <mergeCell ref="B15:J15"/>
    <mergeCell ref="E16:F16"/>
    <mergeCell ref="H55:J55"/>
    <mergeCell ref="A4:J4"/>
    <mergeCell ref="B5:J5"/>
    <mergeCell ref="I52:J52"/>
    <mergeCell ref="I53:J53"/>
    <mergeCell ref="B21:C21"/>
    <mergeCell ref="E23:J23"/>
    <mergeCell ref="E24:J24"/>
    <mergeCell ref="B53:C53"/>
    <mergeCell ref="B52:C52"/>
    <mergeCell ref="B18:J18"/>
    <mergeCell ref="B19:J19"/>
    <mergeCell ref="A25:J5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4</vt:i4>
      </vt:variant>
    </vt:vector>
  </HeadingPairs>
  <TitlesOfParts>
    <vt:vector size="5" baseType="lpstr">
      <vt:lpstr>Расчет</vt:lpstr>
      <vt:lpstr>'комплекты фурнитуры'!КФ_корпуса</vt:lpstr>
      <vt:lpstr>КФ_наполнение</vt:lpstr>
      <vt:lpstr>'комплекты фурнитуры'!КФ_петель_подъемников</vt:lpstr>
      <vt:lpstr>КФ_ящиков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Камынин Василий Алексеевич</cp:lastModifiedBy>
  <cp:lastPrinted>2025-06-23T10:38:38Z</cp:lastPrinted>
  <dcterms:created xsi:type="dcterms:W3CDTF">2024-11-02T05:53:59Z</dcterms:created>
  <dcterms:modified xsi:type="dcterms:W3CDTF">2025-10-23T10:02:03Z</dcterms:modified>
</cp:coreProperties>
</file>