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0ACBD80F-4AC7-46D3-8B17-E4CE5A977FBE}" xr6:coauthVersionLast="45" xr6:coauthVersionMax="47" xr10:uidLastSave="{00000000-0000-0000-0000-000000000000}"/>
  <bookViews>
    <workbookView xWindow="-120" yWindow="-120" windowWidth="29040" windowHeight="15840" tabRatio="589" activeTab="1" xr2:uid="{F87E9273-758C-4CB3-8CA7-04461C90845A}"/>
  </bookViews>
  <sheets>
    <sheet name="Заказ" sheetId="222" r:id="rId1"/>
    <sheet name="Расчет" sheetId="4" r:id="rId2"/>
    <sheet name="Таблица с признаками" sheetId="1" r:id="rId3"/>
    <sheet name="Базовые цены" sheetId="10" r:id="rId4"/>
    <sheet name="комплекты фурнитуры" sheetId="15" r:id="rId5"/>
    <sheet name="Изображения" sheetId="5" r:id="rId6"/>
    <sheet name="Настройки" sheetId="6" r:id="rId7"/>
  </sheets>
  <functionGroups builtInGroupCount="19"/>
  <definedNames>
    <definedName name="КФ_корпуса" localSheetId="4">'комплекты фурнитуры'!$B$9:$D$27</definedName>
    <definedName name="КФ_наполнение">'комплекты фурнитуры'!$B$41:$D$58</definedName>
    <definedName name="КФ_петель_подъемников" localSheetId="4">'комплекты фурнитуры'!$B$59:$D$76</definedName>
    <definedName name="КФ_ящиков">'комплекты фурнитуры'!$B$28:$D$40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9" i="222" l="1"/>
  <c r="AJ9" i="222" s="1"/>
  <c r="AK9" i="222" s="1"/>
  <c r="AG8" i="222"/>
  <c r="AJ8" i="222" s="1"/>
  <c r="AK8" i="222" s="1"/>
  <c r="AG7" i="222"/>
  <c r="AJ7" i="222" s="1"/>
  <c r="AK7" i="222" s="1"/>
  <c r="AG6" i="222"/>
  <c r="AJ6" i="222" s="1"/>
  <c r="AK6" i="222" s="1"/>
  <c r="AG5" i="222"/>
  <c r="AJ5" i="222" s="1"/>
  <c r="AK5" i="222" s="1"/>
  <c r="AG4" i="222"/>
  <c r="AJ4" i="222" s="1"/>
  <c r="AK4" i="222" s="1"/>
  <c r="AG3" i="222"/>
  <c r="AJ3" i="222" s="1"/>
  <c r="AK3" i="222" s="1"/>
  <c r="AG2" i="222"/>
  <c r="AJ2" i="222" s="1"/>
  <c r="AK2" i="222" s="1"/>
  <c r="BJ5" i="222" l="1"/>
  <c r="AB10" i="222"/>
  <c r="J10" i="222"/>
  <c r="AY3" i="10" l="1"/>
  <c r="AY4" i="10"/>
  <c r="AY5" i="10"/>
  <c r="AY6" i="10"/>
  <c r="AY7" i="10"/>
  <c r="AY8" i="10"/>
  <c r="AY9" i="10"/>
  <c r="AY10" i="10"/>
  <c r="AY11" i="10"/>
  <c r="AY12" i="10"/>
  <c r="AY13" i="10"/>
  <c r="AY14" i="10"/>
  <c r="AY15" i="10"/>
  <c r="AY16" i="10"/>
  <c r="AY17" i="10"/>
  <c r="AY18" i="10"/>
  <c r="AY19" i="10"/>
  <c r="AY20" i="10"/>
  <c r="AY21" i="10"/>
  <c r="AY22" i="10"/>
  <c r="AY23" i="10"/>
  <c r="AY24" i="10"/>
  <c r="AY25" i="10"/>
  <c r="AY26" i="10"/>
  <c r="AY27" i="10"/>
  <c r="AY28" i="10"/>
  <c r="AY29" i="10"/>
  <c r="AY30" i="10"/>
  <c r="AY31" i="10"/>
  <c r="AY32" i="10"/>
  <c r="AY2" i="10"/>
  <c r="AN30" i="1" l="1"/>
  <c r="AN29" i="1"/>
  <c r="AN24" i="1"/>
  <c r="AN23" i="1"/>
  <c r="AD33" i="1" l="1"/>
  <c r="AH33" i="1" s="1"/>
  <c r="DH33" i="10" l="1"/>
  <c r="DH34" i="10"/>
  <c r="DH35" i="10"/>
  <c r="DH36" i="10"/>
  <c r="DH37" i="10"/>
  <c r="DH38" i="10"/>
  <c r="DH39" i="10"/>
  <c r="DH40" i="10"/>
  <c r="DH41" i="10"/>
  <c r="DH32" i="10"/>
  <c r="DH4" i="10"/>
  <c r="DH5" i="10"/>
  <c r="DH6" i="10"/>
  <c r="DH7" i="10"/>
  <c r="DH8" i="10"/>
  <c r="DH9" i="10"/>
  <c r="DH10" i="10"/>
  <c r="DH11" i="10"/>
  <c r="DH12" i="10"/>
  <c r="DH13" i="10"/>
  <c r="DH14" i="10"/>
  <c r="DH15" i="10"/>
  <c r="DH16" i="10"/>
  <c r="DH17" i="10"/>
  <c r="DH18" i="10"/>
  <c r="DH19" i="10"/>
  <c r="DH20" i="10"/>
  <c r="DH21" i="10"/>
  <c r="DH22" i="10"/>
  <c r="DH23" i="10"/>
  <c r="DH3" i="10"/>
  <c r="BO58" i="1" l="1"/>
  <c r="V39" i="10" l="1"/>
  <c r="W39" i="10"/>
  <c r="X39" i="10"/>
  <c r="Y39" i="10"/>
  <c r="BB70" i="1" l="1"/>
  <c r="BC71" i="1"/>
  <c r="BC70" i="1"/>
  <c r="CG18" i="1"/>
  <c r="CF18" i="1"/>
  <c r="BC18" i="1"/>
  <c r="AE18" i="1"/>
  <c r="BP18" i="1" l="1"/>
  <c r="BR18" i="1"/>
  <c r="BQ18" i="1"/>
  <c r="AH18" i="1"/>
  <c r="Y2" i="10"/>
  <c r="Y3" i="10"/>
  <c r="Y4" i="10"/>
  <c r="BL6" i="1" l="1"/>
  <c r="C2" i="15"/>
  <c r="AM4" i="1"/>
  <c r="BH16" i="1" l="1"/>
  <c r="AT53" i="1"/>
  <c r="AT52" i="1"/>
  <c r="AS51" i="1"/>
  <c r="AX53" i="1" l="1"/>
  <c r="AX51" i="1"/>
  <c r="AX52" i="1"/>
  <c r="Y44" i="1"/>
  <c r="AW38" i="1"/>
  <c r="BP38" i="1" l="1"/>
  <c r="CJ3" i="10"/>
  <c r="CJ4" i="10"/>
  <c r="CJ33" i="10"/>
  <c r="CJ16" i="10"/>
  <c r="CJ22" i="10"/>
  <c r="CJ19" i="10"/>
  <c r="CJ34" i="10"/>
  <c r="CJ32" i="10"/>
  <c r="CJ24" i="10"/>
  <c r="CJ23" i="10"/>
  <c r="CJ20" i="10"/>
  <c r="CJ54" i="10"/>
  <c r="CJ26" i="10"/>
  <c r="CJ12" i="10"/>
  <c r="CJ39" i="10"/>
  <c r="CJ50" i="10"/>
  <c r="CJ47" i="10"/>
  <c r="CJ17" i="10"/>
  <c r="CJ41" i="10"/>
  <c r="CJ10" i="10"/>
  <c r="CJ9" i="10"/>
  <c r="CJ8" i="10"/>
  <c r="CJ7" i="10"/>
  <c r="CJ6" i="10"/>
  <c r="CJ5" i="10"/>
  <c r="CJ15" i="10"/>
  <c r="CJ14" i="10"/>
  <c r="CJ13" i="10"/>
  <c r="CJ52" i="10"/>
  <c r="CJ28" i="10"/>
  <c r="CJ57" i="10"/>
  <c r="CJ46" i="10"/>
  <c r="CJ38" i="10"/>
  <c r="CJ51" i="10"/>
  <c r="CJ18" i="10"/>
  <c r="CJ31" i="10"/>
  <c r="CJ11" i="10"/>
  <c r="CJ21" i="10"/>
  <c r="CJ53" i="10"/>
  <c r="CJ25" i="10"/>
  <c r="CJ56" i="10"/>
  <c r="CJ40" i="10"/>
  <c r="CJ27" i="10"/>
  <c r="CJ45" i="10"/>
  <c r="CJ43" i="10"/>
  <c r="CJ58" i="10"/>
  <c r="CJ44" i="10"/>
  <c r="CJ37" i="10"/>
  <c r="CJ36" i="10"/>
  <c r="CJ35" i="10"/>
  <c r="CJ30" i="10"/>
  <c r="CJ29" i="10"/>
  <c r="CJ49" i="10"/>
  <c r="CJ48" i="10"/>
  <c r="CJ42" i="10"/>
  <c r="CJ55" i="10"/>
  <c r="CJ59" i="10"/>
  <c r="AQ3" i="10" l="1"/>
  <c r="AQ4" i="10"/>
  <c r="AQ5" i="10"/>
  <c r="AQ6" i="10"/>
  <c r="AQ7" i="10"/>
  <c r="AQ8" i="10"/>
  <c r="AQ9" i="10"/>
  <c r="AQ10" i="10"/>
  <c r="AQ11" i="10"/>
  <c r="AQ12" i="10"/>
  <c r="AQ13" i="10"/>
  <c r="AQ14" i="10"/>
  <c r="AQ15" i="10"/>
  <c r="AQ16" i="10"/>
  <c r="AQ17" i="10"/>
  <c r="AQ18" i="10"/>
  <c r="AQ19" i="10"/>
  <c r="AQ20" i="10"/>
  <c r="AQ21" i="10"/>
  <c r="AQ22" i="10"/>
  <c r="AQ23" i="10"/>
  <c r="AQ24" i="10"/>
  <c r="AQ25" i="10"/>
  <c r="AQ26" i="10"/>
  <c r="AQ27" i="10"/>
  <c r="AQ28" i="10"/>
  <c r="AQ29" i="10"/>
  <c r="AQ30" i="10"/>
  <c r="AQ31" i="10"/>
  <c r="AQ32" i="10"/>
  <c r="AQ2" i="10"/>
  <c r="AP11" i="10" l="1"/>
  <c r="AP13" i="10"/>
  <c r="AP16" i="10"/>
  <c r="AP21" i="10"/>
  <c r="AP2" i="10"/>
  <c r="AP4" i="10"/>
  <c r="AP5" i="10"/>
  <c r="AP8" i="10"/>
  <c r="AP9" i="10"/>
  <c r="AP10" i="10"/>
  <c r="AP12" i="10"/>
  <c r="AP14" i="10"/>
  <c r="AP15" i="10"/>
  <c r="AP17" i="10"/>
  <c r="AP18" i="10"/>
  <c r="AP19" i="10"/>
  <c r="AP20" i="10"/>
  <c r="AP22" i="10"/>
  <c r="AP23" i="10"/>
  <c r="AP24" i="10"/>
  <c r="AP26" i="10"/>
  <c r="AP27" i="10"/>
  <c r="AP28" i="10"/>
  <c r="AP6" i="10"/>
  <c r="AP3" i="10"/>
  <c r="AP25" i="10"/>
  <c r="AP29" i="10"/>
  <c r="AP30" i="10"/>
  <c r="AP31" i="10"/>
  <c r="AP32" i="10"/>
  <c r="AP7" i="10"/>
  <c r="Y106" i="10" l="1"/>
  <c r="X106" i="10"/>
  <c r="W106" i="10"/>
  <c r="V106" i="10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X4" i="10"/>
  <c r="W4" i="10"/>
  <c r="V4" i="10"/>
  <c r="X3" i="10"/>
  <c r="W3" i="10"/>
  <c r="V3" i="10"/>
  <c r="X2" i="10"/>
  <c r="W2" i="10"/>
  <c r="V2" i="10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0" i="1"/>
  <c r="BU39" i="1"/>
  <c r="BU37" i="1"/>
  <c r="BU36" i="1"/>
  <c r="BU35" i="1"/>
  <c r="BU34" i="1"/>
  <c r="BU30" i="1"/>
  <c r="BU29" i="1"/>
  <c r="BU28" i="1"/>
  <c r="BU27" i="1"/>
  <c r="BU26" i="1"/>
  <c r="BU25" i="1"/>
  <c r="BU24" i="1"/>
  <c r="BU23" i="1"/>
  <c r="BU22" i="1"/>
  <c r="BU21" i="1"/>
  <c r="BU19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AI54" i="1" l="1"/>
  <c r="AY79" i="1"/>
  <c r="AM77" i="1"/>
  <c r="AI60" i="1"/>
  <c r="AT46" i="1" l="1"/>
  <c r="BN23" i="1"/>
  <c r="AW53" i="1"/>
  <c r="AF52" i="1"/>
  <c r="BF14" i="1"/>
  <c r="BF71" i="1"/>
  <c r="BF13" i="1"/>
  <c r="BF16" i="1"/>
  <c r="BF17" i="1"/>
  <c r="BF70" i="1"/>
  <c r="BO55" i="1"/>
  <c r="AF55" i="1"/>
  <c r="AF41" i="1"/>
  <c r="AF49" i="1"/>
  <c r="AF53" i="1"/>
  <c r="BF80" i="1"/>
  <c r="BF78" i="1"/>
  <c r="BF19" i="1"/>
  <c r="AF57" i="1"/>
  <c r="BF76" i="1"/>
  <c r="BF77" i="1"/>
  <c r="BF15" i="1"/>
  <c r="BF65" i="1"/>
  <c r="AF50" i="1"/>
  <c r="AF51" i="1"/>
  <c r="AF42" i="1"/>
  <c r="AF36" i="1"/>
  <c r="AF45" i="1"/>
  <c r="AF47" i="1"/>
  <c r="AF46" i="1"/>
  <c r="AF38" i="1"/>
  <c r="AF37" i="1"/>
  <c r="AF48" i="1"/>
  <c r="AF34" i="1"/>
  <c r="AF43" i="1"/>
  <c r="AF56" i="1"/>
  <c r="AF35" i="1"/>
  <c r="AF44" i="1"/>
  <c r="AF40" i="1"/>
  <c r="AF58" i="1"/>
  <c r="AF39" i="1"/>
  <c r="W21" i="1"/>
  <c r="AP9" i="1"/>
  <c r="AP41" i="1"/>
  <c r="AP11" i="1"/>
  <c r="AP22" i="1"/>
  <c r="BR22" i="1" s="1"/>
  <c r="AP12" i="1"/>
  <c r="AP58" i="1"/>
  <c r="BR58" i="1" s="1"/>
  <c r="AP10" i="1"/>
  <c r="AW51" i="1"/>
  <c r="AW37" i="1"/>
  <c r="AW52" i="1"/>
  <c r="BD16" i="1"/>
  <c r="BD13" i="1"/>
  <c r="BD14" i="1"/>
  <c r="BD15" i="1"/>
  <c r="BD70" i="1"/>
  <c r="AA82" i="1"/>
  <c r="AA79" i="1"/>
  <c r="AA58" i="1"/>
  <c r="AA81" i="1"/>
  <c r="AA41" i="1"/>
  <c r="AA80" i="1"/>
  <c r="AM82" i="1"/>
  <c r="AM67" i="1"/>
  <c r="AM75" i="1"/>
  <c r="AM76" i="1"/>
  <c r="BN26" i="1"/>
  <c r="BN31" i="1"/>
  <c r="BN32" i="1"/>
  <c r="AM74" i="1"/>
  <c r="AM79" i="1"/>
  <c r="AM66" i="1"/>
  <c r="AN79" i="1"/>
  <c r="BQ79" i="1" s="1"/>
  <c r="AN70" i="1"/>
  <c r="AN76" i="1"/>
  <c r="AN39" i="1"/>
  <c r="AN37" i="1"/>
  <c r="AN55" i="1"/>
  <c r="BR55" i="1" s="1"/>
  <c r="AN48" i="1"/>
  <c r="AN3" i="1"/>
  <c r="AN64" i="1"/>
  <c r="AN71" i="1"/>
  <c r="AN46" i="1"/>
  <c r="AN13" i="1"/>
  <c r="AN78" i="1"/>
  <c r="AN68" i="1"/>
  <c r="BR68" i="1" s="1"/>
  <c r="AN63" i="1"/>
  <c r="AN43" i="1"/>
  <c r="AN35" i="1"/>
  <c r="AN14" i="1"/>
  <c r="AN4" i="1"/>
  <c r="AN8" i="1"/>
  <c r="AN49" i="1"/>
  <c r="AN38" i="1"/>
  <c r="AN80" i="1"/>
  <c r="AN54" i="1"/>
  <c r="BQ54" i="1" s="1"/>
  <c r="AN77" i="1"/>
  <c r="AN73" i="1"/>
  <c r="AN56" i="1"/>
  <c r="BR56" i="1" s="1"/>
  <c r="AN45" i="1"/>
  <c r="AN42" i="1"/>
  <c r="AN36" i="1"/>
  <c r="AN61" i="1"/>
  <c r="AN82" i="1"/>
  <c r="AN72" i="1"/>
  <c r="AN66" i="1"/>
  <c r="AN47" i="1"/>
  <c r="AN7" i="1"/>
  <c r="AQ20" i="1"/>
  <c r="AQ60" i="1"/>
  <c r="AQ44" i="1"/>
  <c r="AT47" i="1"/>
  <c r="AM47" i="1"/>
  <c r="AM69" i="1"/>
  <c r="AM61" i="1"/>
  <c r="AM71" i="1"/>
  <c r="BJ71" i="1"/>
  <c r="BJ17" i="1"/>
  <c r="BJ70" i="1"/>
  <c r="BJ16" i="1"/>
  <c r="AR20" i="1"/>
  <c r="AR44" i="1"/>
  <c r="AR60" i="1"/>
  <c r="T10" i="1"/>
  <c r="T32" i="1"/>
  <c r="T9" i="1"/>
  <c r="T31" i="1"/>
  <c r="AM64" i="1"/>
  <c r="AM73" i="1"/>
  <c r="AM70" i="1"/>
  <c r="AM7" i="1"/>
  <c r="AM29" i="1"/>
  <c r="AM30" i="1"/>
  <c r="AM39" i="1"/>
  <c r="AM23" i="1"/>
  <c r="AM48" i="1"/>
  <c r="AM46" i="1"/>
  <c r="AM13" i="1"/>
  <c r="AM36" i="1"/>
  <c r="AM43" i="1"/>
  <c r="AM35" i="1"/>
  <c r="AM8" i="1"/>
  <c r="AM42" i="1"/>
  <c r="AM14" i="1"/>
  <c r="AM54" i="1"/>
  <c r="BP54" i="1" s="1"/>
  <c r="AM49" i="1"/>
  <c r="AM24" i="1"/>
  <c r="AM3" i="1"/>
  <c r="AM45" i="1"/>
  <c r="AM62" i="1"/>
  <c r="AM56" i="1"/>
  <c r="AY82" i="1"/>
  <c r="R56" i="1"/>
  <c r="R34" i="1"/>
  <c r="R29" i="1"/>
  <c r="R6" i="1"/>
  <c r="R26" i="1"/>
  <c r="R23" i="1"/>
  <c r="R16" i="1"/>
  <c r="R3" i="1"/>
  <c r="R55" i="1"/>
  <c r="R37" i="1"/>
  <c r="R57" i="1"/>
  <c r="R13" i="1"/>
  <c r="R5" i="1"/>
  <c r="R28" i="1"/>
  <c r="R40" i="1"/>
  <c r="R25" i="1"/>
  <c r="R17" i="1"/>
  <c r="R14" i="1"/>
  <c r="R2" i="1"/>
  <c r="R30" i="1"/>
  <c r="R27" i="1"/>
  <c r="R24" i="1"/>
  <c r="R15" i="1"/>
  <c r="R4" i="1"/>
  <c r="AM68" i="1"/>
  <c r="AM81" i="1"/>
  <c r="AM80" i="1"/>
  <c r="AY38" i="1"/>
  <c r="AY37" i="1"/>
  <c r="AM72" i="1"/>
  <c r="AM55" i="1"/>
  <c r="AM78" i="1"/>
  <c r="AM63" i="1"/>
  <c r="AV49" i="1"/>
  <c r="AB46" i="1"/>
  <c r="AB51" i="1"/>
  <c r="AB47" i="1"/>
  <c r="AB53" i="1"/>
  <c r="AB52" i="1"/>
  <c r="AB48" i="1"/>
  <c r="AB49" i="1"/>
  <c r="AB45" i="1"/>
  <c r="AB50" i="1"/>
  <c r="X54" i="1"/>
  <c r="AJ58" i="1"/>
  <c r="AJ12" i="1"/>
  <c r="AJ32" i="1"/>
  <c r="AJ11" i="1"/>
  <c r="AJ41" i="1"/>
  <c r="AJ9" i="1"/>
  <c r="AJ31" i="1"/>
  <c r="AJ10" i="1"/>
  <c r="S19" i="1"/>
  <c r="S7" i="1"/>
  <c r="S8" i="1"/>
  <c r="AX79" i="1"/>
  <c r="AX37" i="1"/>
  <c r="AU48" i="1"/>
  <c r="U11" i="1"/>
  <c r="U12" i="1"/>
  <c r="AO12" i="1"/>
  <c r="AO9" i="1"/>
  <c r="AO10" i="1"/>
  <c r="AO32" i="1"/>
  <c r="AO58" i="1"/>
  <c r="AO41" i="1"/>
  <c r="AO22" i="1"/>
  <c r="AO31" i="1"/>
  <c r="AO11" i="1"/>
  <c r="BH81" i="1"/>
  <c r="BH80" i="1"/>
  <c r="BH78" i="1"/>
  <c r="BH77" i="1"/>
  <c r="BH71" i="1"/>
  <c r="BH70" i="1"/>
  <c r="BH76" i="1"/>
  <c r="BH17" i="1"/>
  <c r="BA19" i="1"/>
  <c r="BR32" i="1" l="1"/>
  <c r="BQ32" i="1"/>
  <c r="BQ51" i="1"/>
  <c r="BR51" i="1"/>
  <c r="BQ52" i="1"/>
  <c r="BR52" i="1"/>
  <c r="BR54" i="1"/>
  <c r="BR23" i="1"/>
  <c r="BQ23" i="1"/>
  <c r="BR29" i="1"/>
  <c r="BR31" i="1"/>
  <c r="BQ31" i="1"/>
  <c r="BR19" i="1"/>
  <c r="BP19" i="1"/>
  <c r="BQ53" i="1"/>
  <c r="BR53" i="1"/>
  <c r="BR79" i="1"/>
  <c r="BP32" i="1"/>
  <c r="BQ60" i="1"/>
  <c r="BR60" i="1"/>
  <c r="BQ15" i="1"/>
  <c r="BP60" i="1"/>
  <c r="BP68" i="1"/>
  <c r="BQ55" i="1"/>
  <c r="BQ58" i="1"/>
  <c r="BP42" i="1"/>
  <c r="BP7" i="1"/>
  <c r="BP44" i="1"/>
  <c r="BP8" i="1"/>
  <c r="BQ22" i="1"/>
  <c r="BP63" i="1"/>
  <c r="BP35" i="1"/>
  <c r="BP73" i="1"/>
  <c r="BP20" i="1"/>
  <c r="BQ56" i="1"/>
  <c r="BP56" i="1"/>
  <c r="BP43" i="1"/>
  <c r="BP64" i="1"/>
  <c r="BQ68" i="1"/>
  <c r="BP22" i="1"/>
  <c r="BP36" i="1"/>
  <c r="BR17" i="1"/>
  <c r="BP55" i="1"/>
  <c r="BP72" i="1"/>
  <c r="BP3" i="1"/>
  <c r="BP66" i="1"/>
  <c r="BQ37" i="1"/>
  <c r="BP4" i="1"/>
  <c r="BP61" i="1"/>
  <c r="BP37" i="1"/>
  <c r="BP39" i="1"/>
  <c r="BP31" i="1"/>
  <c r="BQ20" i="1"/>
  <c r="BR20" i="1"/>
  <c r="BQ19" i="1"/>
  <c r="BN27" i="1"/>
  <c r="BN29" i="1"/>
  <c r="BQ29" i="1" s="1"/>
  <c r="BP53" i="1"/>
  <c r="BN30" i="1"/>
  <c r="BP30" i="1" s="1"/>
  <c r="BN24" i="1"/>
  <c r="AW82" i="1"/>
  <c r="BN28" i="1"/>
  <c r="BP46" i="1"/>
  <c r="BN25" i="1"/>
  <c r="AW79" i="1"/>
  <c r="AG49" i="1"/>
  <c r="AH49" i="1" s="1"/>
  <c r="AG37" i="1"/>
  <c r="AH37" i="1" s="1"/>
  <c r="AG55" i="1"/>
  <c r="AH55" i="1" s="1"/>
  <c r="AG50" i="1"/>
  <c r="AH50" i="1" s="1"/>
  <c r="AG46" i="1"/>
  <c r="AH46" i="1" s="1"/>
  <c r="AG35" i="1"/>
  <c r="AH35" i="1" s="1"/>
  <c r="AG42" i="1"/>
  <c r="AG51" i="1"/>
  <c r="AH51" i="1" s="1"/>
  <c r="AG53" i="1"/>
  <c r="AH53" i="1" s="1"/>
  <c r="AG38" i="1"/>
  <c r="AG47" i="1"/>
  <c r="AH47" i="1" s="1"/>
  <c r="AG56" i="1"/>
  <c r="AH56" i="1" s="1"/>
  <c r="AG48" i="1"/>
  <c r="AH48" i="1" s="1"/>
  <c r="AG43" i="1"/>
  <c r="AG58" i="1"/>
  <c r="AH58" i="1" s="1"/>
  <c r="AG36" i="1"/>
  <c r="AH36" i="1" s="1"/>
  <c r="AG57" i="1"/>
  <c r="AH57" i="1" s="1"/>
  <c r="AG45" i="1"/>
  <c r="AH45" i="1" s="1"/>
  <c r="AG39" i="1"/>
  <c r="AH39" i="1" s="1"/>
  <c r="AG41" i="1"/>
  <c r="AH41" i="1" s="1"/>
  <c r="AG44" i="1"/>
  <c r="AH44" i="1" s="1"/>
  <c r="AG40" i="1"/>
  <c r="AH40" i="1" s="1"/>
  <c r="AG34" i="1"/>
  <c r="AH34" i="1" s="1"/>
  <c r="AG52" i="1"/>
  <c r="AH52" i="1" s="1"/>
  <c r="BI77" i="1"/>
  <c r="BI80" i="1"/>
  <c r="BR80" i="1" s="1"/>
  <c r="BI16" i="1"/>
  <c r="BI71" i="1"/>
  <c r="BI15" i="1"/>
  <c r="BR15" i="1" s="1"/>
  <c r="BI76" i="1"/>
  <c r="BE70" i="1"/>
  <c r="BQ70" i="1" s="1"/>
  <c r="BE80" i="1"/>
  <c r="BE16" i="1"/>
  <c r="BQ16" i="1" s="1"/>
  <c r="BE76" i="1"/>
  <c r="BE71" i="1"/>
  <c r="BQ71" i="1" s="1"/>
  <c r="BE78" i="1"/>
  <c r="BE77" i="1"/>
  <c r="BE17" i="1"/>
  <c r="BE65" i="1"/>
  <c r="AZ50" i="1"/>
  <c r="AZ57" i="1"/>
  <c r="AZ40" i="1"/>
  <c r="AH54" i="1"/>
  <c r="B23" i="10"/>
  <c r="V22" i="1"/>
  <c r="V60" i="1"/>
  <c r="AH60" i="1" s="1"/>
  <c r="BC16" i="1"/>
  <c r="BC26" i="1"/>
  <c r="BC17" i="1"/>
  <c r="BC76" i="1"/>
  <c r="BP76" i="1" s="1"/>
  <c r="BC81" i="1"/>
  <c r="BC25" i="1"/>
  <c r="BC77" i="1"/>
  <c r="BP77" i="1" s="1"/>
  <c r="BC65" i="1"/>
  <c r="BC80" i="1"/>
  <c r="BC78" i="1"/>
  <c r="BP78" i="1" s="1"/>
  <c r="BG70" i="1"/>
  <c r="BG13" i="1"/>
  <c r="BR13" i="1" s="1"/>
  <c r="BG14" i="1"/>
  <c r="BR14" i="1" s="1"/>
  <c r="BB14" i="1"/>
  <c r="BB26" i="1"/>
  <c r="BB13" i="1"/>
  <c r="BP13" i="1" s="1"/>
  <c r="BB15" i="1"/>
  <c r="BP15" i="1" s="1"/>
  <c r="BB16" i="1"/>
  <c r="BM28" i="1"/>
  <c r="BM6" i="1"/>
  <c r="BM5" i="1"/>
  <c r="Y66" i="1"/>
  <c r="Y38" i="1"/>
  <c r="Y65" i="1"/>
  <c r="Y64" i="1"/>
  <c r="Y20" i="1"/>
  <c r="Y61" i="1"/>
  <c r="Y63" i="1"/>
  <c r="Z76" i="1"/>
  <c r="Z72" i="1"/>
  <c r="Z71" i="1"/>
  <c r="Z78" i="1"/>
  <c r="Z68" i="1"/>
  <c r="Z74" i="1"/>
  <c r="Z73" i="1"/>
  <c r="Z69" i="1"/>
  <c r="Z75" i="1"/>
  <c r="Z77" i="1"/>
  <c r="Z70" i="1"/>
  <c r="AC43" i="1"/>
  <c r="AC42" i="1"/>
  <c r="BQ13" i="1"/>
  <c r="AD59" i="1"/>
  <c r="AH59" i="1" s="1"/>
  <c r="BI70" i="1"/>
  <c r="BO56" i="1"/>
  <c r="BI65" i="1"/>
  <c r="BI78" i="1"/>
  <c r="BP51" i="1"/>
  <c r="BO57" i="1"/>
  <c r="BQ38" i="1"/>
  <c r="AS50" i="1"/>
  <c r="BP49" i="1"/>
  <c r="BQ82" i="1"/>
  <c r="AS45" i="1"/>
  <c r="BQ45" i="1" s="1"/>
  <c r="BR47" i="1"/>
  <c r="BQ47" i="1"/>
  <c r="BR46" i="1"/>
  <c r="BQ46" i="1"/>
  <c r="BP23" i="1"/>
  <c r="BQ66" i="1"/>
  <c r="BR66" i="1"/>
  <c r="BR72" i="1"/>
  <c r="BQ72" i="1"/>
  <c r="BR49" i="1"/>
  <c r="BQ49" i="1"/>
  <c r="BR8" i="1"/>
  <c r="BQ8" i="1"/>
  <c r="BQ64" i="1"/>
  <c r="BR64" i="1"/>
  <c r="BQ61" i="1"/>
  <c r="BR61" i="1"/>
  <c r="BR4" i="1"/>
  <c r="BQ4" i="1"/>
  <c r="BQ3" i="1"/>
  <c r="BR3" i="1"/>
  <c r="BR36" i="1"/>
  <c r="BQ36" i="1"/>
  <c r="BR42" i="1"/>
  <c r="BQ42" i="1"/>
  <c r="BQ35" i="1"/>
  <c r="BR35" i="1"/>
  <c r="BQ43" i="1"/>
  <c r="BR43" i="1"/>
  <c r="BQ14" i="1"/>
  <c r="BP52" i="1"/>
  <c r="BQ7" i="1"/>
  <c r="BR7" i="1"/>
  <c r="BR44" i="1"/>
  <c r="BQ44" i="1"/>
  <c r="BR63" i="1"/>
  <c r="BQ63" i="1"/>
  <c r="BP47" i="1"/>
  <c r="BR73" i="1"/>
  <c r="BQ73" i="1"/>
  <c r="BR39" i="1"/>
  <c r="BQ39" i="1"/>
  <c r="BR10" i="1"/>
  <c r="BQ10" i="1"/>
  <c r="BR9" i="1"/>
  <c r="BQ9" i="1"/>
  <c r="BP11" i="1"/>
  <c r="BR11" i="1"/>
  <c r="BQ11" i="1"/>
  <c r="BK5" i="1"/>
  <c r="BK27" i="1"/>
  <c r="BR12" i="1"/>
  <c r="BQ12" i="1"/>
  <c r="BP12" i="1"/>
  <c r="BP58" i="1"/>
  <c r="BQ48" i="1"/>
  <c r="BR48" i="1"/>
  <c r="BP48" i="1"/>
  <c r="AE82" i="1"/>
  <c r="AH82" i="1" s="1"/>
  <c r="AE78" i="1"/>
  <c r="AE72" i="1"/>
  <c r="AE68" i="1"/>
  <c r="AE65" i="1"/>
  <c r="AE62" i="1"/>
  <c r="AH62" i="1" s="1"/>
  <c r="AE77" i="1"/>
  <c r="AE76" i="1"/>
  <c r="AE69" i="1"/>
  <c r="AE74" i="1"/>
  <c r="AE63" i="1"/>
  <c r="AE67" i="1"/>
  <c r="AH67" i="1" s="1"/>
  <c r="AE81" i="1"/>
  <c r="AH81" i="1" s="1"/>
  <c r="AE79" i="1"/>
  <c r="AH79" i="1" s="1"/>
  <c r="AE31" i="1"/>
  <c r="AH31" i="1" s="1"/>
  <c r="AE10" i="1"/>
  <c r="AH10" i="1" s="1"/>
  <c r="AE6" i="1"/>
  <c r="AH6" i="1" s="1"/>
  <c r="AE19" i="1"/>
  <c r="AH19" i="1" s="1"/>
  <c r="AE3" i="1"/>
  <c r="AH3" i="1" s="1"/>
  <c r="AE66" i="1"/>
  <c r="AE17" i="1"/>
  <c r="AH17" i="1" s="1"/>
  <c r="AE11" i="1"/>
  <c r="AH11" i="1" s="1"/>
  <c r="AH5" i="1"/>
  <c r="AE80" i="1"/>
  <c r="AH80" i="1" s="1"/>
  <c r="AE75" i="1"/>
  <c r="AE29" i="1"/>
  <c r="AH29" i="1" s="1"/>
  <c r="AE26" i="1"/>
  <c r="AH26" i="1" s="1"/>
  <c r="AE61" i="1"/>
  <c r="AE15" i="1"/>
  <c r="AH15" i="1" s="1"/>
  <c r="AE12" i="1"/>
  <c r="AH12" i="1" s="1"/>
  <c r="AE23" i="1"/>
  <c r="AH23" i="1" s="1"/>
  <c r="AE32" i="1"/>
  <c r="AH32" i="1" s="1"/>
  <c r="AE24" i="1"/>
  <c r="AH24" i="1" s="1"/>
  <c r="AE16" i="1"/>
  <c r="AH16" i="1" s="1"/>
  <c r="AE14" i="1"/>
  <c r="AH14" i="1" s="1"/>
  <c r="AE4" i="1"/>
  <c r="AH4" i="1" s="1"/>
  <c r="AE13" i="1"/>
  <c r="AH13" i="1" s="1"/>
  <c r="AE64" i="1"/>
  <c r="AE7" i="1"/>
  <c r="AH7" i="1" s="1"/>
  <c r="AE9" i="1"/>
  <c r="AH9" i="1" s="1"/>
  <c r="AH27" i="1"/>
  <c r="AE20" i="1"/>
  <c r="AE22" i="1"/>
  <c r="AE8" i="1"/>
  <c r="AH8" i="1" s="1"/>
  <c r="AE70" i="1"/>
  <c r="AE30" i="1"/>
  <c r="AH30" i="1" s="1"/>
  <c r="AE2" i="1"/>
  <c r="AH2" i="1" s="1"/>
  <c r="AE21" i="1"/>
  <c r="AH21" i="1" s="1"/>
  <c r="AE71" i="1"/>
  <c r="AE25" i="1"/>
  <c r="AH25" i="1" s="1"/>
  <c r="AE73" i="1"/>
  <c r="AE28" i="1"/>
  <c r="AH28" i="1" s="1"/>
  <c r="BR6" i="1" l="1"/>
  <c r="BQ6" i="1"/>
  <c r="BR26" i="1"/>
  <c r="BQ26" i="1"/>
  <c r="BR25" i="1"/>
  <c r="BQ25" i="1"/>
  <c r="BQ30" i="1"/>
  <c r="BQ5" i="1"/>
  <c r="BR5" i="1"/>
  <c r="BR40" i="1"/>
  <c r="BQ40" i="1"/>
  <c r="BQ50" i="1"/>
  <c r="BR50" i="1"/>
  <c r="BR57" i="1"/>
  <c r="BQ57" i="1"/>
  <c r="BR27" i="1"/>
  <c r="BQ27" i="1"/>
  <c r="BP24" i="1"/>
  <c r="BR24" i="1"/>
  <c r="BQ24" i="1"/>
  <c r="BR30" i="1"/>
  <c r="AH38" i="1"/>
  <c r="BP27" i="1"/>
  <c r="BP14" i="1"/>
  <c r="BP45" i="1"/>
  <c r="AH64" i="1"/>
  <c r="AH43" i="1"/>
  <c r="BP29" i="1"/>
  <c r="AH22" i="1"/>
  <c r="AH78" i="1"/>
  <c r="AH70" i="1"/>
  <c r="BQ77" i="1"/>
  <c r="BQ80" i="1"/>
  <c r="BP16" i="1"/>
  <c r="BR76" i="1"/>
  <c r="AH77" i="1"/>
  <c r="BR65" i="1"/>
  <c r="BR77" i="1"/>
  <c r="BP5" i="1"/>
  <c r="BR70" i="1"/>
  <c r="BP40" i="1"/>
  <c r="BP79" i="1"/>
  <c r="BP57" i="1"/>
  <c r="BQ65" i="1"/>
  <c r="BQ17" i="1"/>
  <c r="BP82" i="1"/>
  <c r="BQ78" i="1"/>
  <c r="BR71" i="1"/>
  <c r="BR78" i="1"/>
  <c r="BQ76" i="1"/>
  <c r="BR16" i="1"/>
  <c r="BP80" i="1"/>
  <c r="BP17" i="1"/>
  <c r="BP71" i="1"/>
  <c r="BP65" i="1"/>
  <c r="BP26" i="1"/>
  <c r="BP25" i="1"/>
  <c r="AH68" i="1"/>
  <c r="AH20" i="1"/>
  <c r="AH73" i="1"/>
  <c r="AH61" i="1"/>
  <c r="AH42" i="1"/>
  <c r="AH74" i="1"/>
  <c r="AH76" i="1"/>
  <c r="BR45" i="1"/>
  <c r="BP50" i="1"/>
  <c r="AH75" i="1"/>
  <c r="AH72" i="1"/>
  <c r="AH63" i="1"/>
  <c r="BP70" i="1"/>
  <c r="AH65" i="1"/>
  <c r="AH69" i="1"/>
  <c r="AH71" i="1"/>
  <c r="BL28" i="1"/>
  <c r="AH66" i="1"/>
  <c r="AL81" i="1"/>
  <c r="AL75" i="1"/>
  <c r="AL62" i="1"/>
  <c r="AL74" i="1"/>
  <c r="AL67" i="1"/>
  <c r="AL69" i="1"/>
  <c r="BR69" i="1" l="1"/>
  <c r="BQ69" i="1"/>
  <c r="BR75" i="1"/>
  <c r="BQ75" i="1"/>
  <c r="BR74" i="1"/>
  <c r="BQ74" i="1"/>
  <c r="BR62" i="1"/>
  <c r="BQ62" i="1"/>
  <c r="BR28" i="1"/>
  <c r="BQ28" i="1"/>
  <c r="BQ67" i="1"/>
  <c r="BR67" i="1"/>
  <c r="BP81" i="1"/>
  <c r="BQ81" i="1"/>
  <c r="BR81" i="1"/>
  <c r="BP69" i="1"/>
  <c r="BP28" i="1"/>
  <c r="BP6" i="1"/>
  <c r="BP74" i="1"/>
  <c r="BP67" i="1"/>
  <c r="BP62" i="1"/>
  <c r="BP75" i="1"/>
  <c r="AK9" i="1" l="1"/>
  <c r="AK10" i="1"/>
  <c r="AK41" i="1"/>
  <c r="BP10" i="1" l="1"/>
  <c r="BP9" i="1"/>
  <c r="BR41" i="1"/>
  <c r="BQ41" i="1"/>
  <c r="BP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 Елена Анатольевна</author>
  </authors>
  <commentList>
    <comment ref="C63" authorId="0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1" authorId="0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<sst xmlns="http://schemas.openxmlformats.org/spreadsheetml/2006/main" count="2409" uniqueCount="910">
  <si>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</si>
  <si>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</si>
  <si>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</si>
  <si>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</si>
  <si>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</si>
  <si>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</si>
  <si>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</si>
  <si>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</si>
  <si>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</si>
  <si>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</si>
  <si>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</si>
  <si>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</si>
  <si>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EWN1D</t>
  </si>
  <si>
    <t>EWN2D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</si>
  <si>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</si>
  <si>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</si>
  <si>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</si>
  <si>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</si>
  <si>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</si>
  <si>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</si>
  <si>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</si>
  <si>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</si>
  <si>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</si>
  <si>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</si>
  <si>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</si>
  <si>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EWG1D</t>
  </si>
  <si>
    <t>EWG2D</t>
  </si>
  <si>
    <t>EZ1F</t>
  </si>
  <si>
    <t>EMV2V</t>
  </si>
  <si>
    <t>EHV1D</t>
  </si>
  <si>
    <t>EHV2D</t>
  </si>
  <si>
    <t>EDV1D</t>
  </si>
  <si>
    <t>ERV1D</t>
  </si>
  <si>
    <t>EVG2D</t>
  </si>
  <si>
    <t>EVG2V</t>
  </si>
  <si>
    <t>ESVX1D</t>
  </si>
  <si>
    <t>EP1D</t>
  </si>
  <si>
    <t>EPG1D</t>
  </si>
  <si>
    <t>EPT1B</t>
  </si>
  <si>
    <t>EP2D</t>
  </si>
  <si>
    <t>EPS2D</t>
  </si>
  <si>
    <t>EPSG2D</t>
  </si>
  <si>
    <t>EP3B1D</t>
  </si>
  <si>
    <t>EP2B1D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</si>
  <si>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</si>
  <si>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</si>
  <si>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</si>
  <si>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</si>
  <si>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</si>
  <si>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</si>
  <si>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</si>
  <si>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</si>
  <si>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</si>
  <si>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</si>
  <si>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</si>
  <si>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</si>
  <si>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</si>
  <si>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</si>
  <si>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</si>
  <si>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</si>
  <si>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</si>
  <si>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</si>
  <si>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</si>
  <si>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</si>
  <si>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</si>
  <si>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</si>
  <si>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</si>
  <si>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</si>
  <si>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</si>
  <si>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</si>
  <si>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</si>
  <si>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</si>
  <si>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</si>
  <si>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</si>
  <si>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</si>
  <si>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</si>
  <si>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</si>
  <si>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EMV1D</t>
  </si>
  <si>
    <t>EMV1DN</t>
  </si>
  <si>
    <t>EMV1V</t>
  </si>
  <si>
    <t>EMV1VN</t>
  </si>
  <si>
    <t>EMV2D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</si>
  <si>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</si>
  <si>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</si>
  <si>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</si>
  <si>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</si>
  <si>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</si>
  <si>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</si>
  <si>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</si>
  <si>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</si>
  <si>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</si>
  <si>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</si>
  <si>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</si>
  <si>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</si>
  <si>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</si>
  <si>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</si>
  <si>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</si>
  <si>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</si>
  <si>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</si>
  <si>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</si>
  <si>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</si>
  <si>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</si>
  <si>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</si>
  <si>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</si>
  <si>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</si>
  <si>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</si>
  <si>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</si>
  <si>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</si>
  <si>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</si>
  <si>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</si>
  <si>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</si>
  <si>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</si>
  <si>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</si>
  <si>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</si>
  <si>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</si>
  <si>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</si>
  <si>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</si>
  <si>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</si>
  <si>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</si>
  <si>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</si>
  <si>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</si>
  <si>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</si>
  <si>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</si>
  <si>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</si>
  <si>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</si>
  <si>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</si>
  <si>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</si>
  <si>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</si>
  <si>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</si>
  <si>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</si>
  <si>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</si>
  <si>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</si>
  <si>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</si>
  <si>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</si>
  <si>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</si>
  <si>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</si>
  <si>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</si>
  <si>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</si>
  <si>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</si>
  <si>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</si>
  <si>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</si>
  <si>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</si>
  <si>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</si>
  <si>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</si>
  <si>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</si>
  <si>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</si>
  <si>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</si>
  <si>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</si>
  <si>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</si>
  <si>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</si>
  <si>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</si>
  <si>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</si>
  <si>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</si>
  <si>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</si>
  <si>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</si>
  <si>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</si>
  <si>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</si>
  <si>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</si>
  <si>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</si>
  <si>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</si>
  <si>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</si>
  <si>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</si>
  <si>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</si>
  <si>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</si>
  <si>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</si>
  <si>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</si>
  <si>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</si>
  <si>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</si>
  <si>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</si>
  <si>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</si>
  <si>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</si>
  <si>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</si>
  <si>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</si>
  <si>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</si>
  <si>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</si>
  <si>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</si>
  <si>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</si>
  <si>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</si>
  <si>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</si>
  <si>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</si>
  <si>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</si>
  <si>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</si>
  <si>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</si>
  <si>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</si>
  <si>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</si>
  <si>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</si>
  <si>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</si>
  <si>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</si>
  <si>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</si>
  <si>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</si>
  <si>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</si>
  <si>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</si>
  <si>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</si>
  <si>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</si>
  <si>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</si>
  <si>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</si>
  <si>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</si>
  <si>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</si>
  <si>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</si>
  <si>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</si>
  <si>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</si>
  <si>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</si>
  <si>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</si>
  <si>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</si>
  <si>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</si>
  <si>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</si>
  <si>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</si>
  <si>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</si>
  <si>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</si>
  <si>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</si>
  <si>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</si>
  <si>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</si>
  <si>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</si>
  <si>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</si>
  <si>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</si>
  <si>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</si>
  <si>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</si>
  <si>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</si>
  <si>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</si>
  <si>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</si>
  <si>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</si>
  <si>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</si>
  <si>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</si>
  <si>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</si>
  <si>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</si>
  <si>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</si>
  <si>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</si>
  <si>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</si>
  <si>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</si>
  <si>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</si>
  <si>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</si>
  <si>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</si>
  <si>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</si>
  <si>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</si>
  <si>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</si>
  <si>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</si>
  <si>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</si>
  <si>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</si>
  <si>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</si>
  <si>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</si>
  <si>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</si>
  <si>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</si>
  <si>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</si>
  <si>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</si>
  <si>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</si>
  <si>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</si>
  <si>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</si>
  <si>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</si>
  <si>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</si>
  <si>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</si>
  <si>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</si>
  <si>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</si>
  <si>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</si>
  <si>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</si>
  <si>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</si>
  <si>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</si>
  <si>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</si>
  <si>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</si>
  <si>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</si>
  <si>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</si>
  <si>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</si>
  <si>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</si>
  <si>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</si>
  <si>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</si>
  <si>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</si>
  <si>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</si>
  <si>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</si>
  <si>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</si>
  <si>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</si>
  <si>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</si>
  <si>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</si>
  <si>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</si>
  <si>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</si>
  <si>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</si>
  <si>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</si>
  <si>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</si>
  <si>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</si>
  <si>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</si>
  <si>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</si>
  <si>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</si>
  <si>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</si>
  <si>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</si>
  <si>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</si>
  <si>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</si>
  <si>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</si>
  <si>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</si>
  <si>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</si>
  <si>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</si>
  <si>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</si>
  <si>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</si>
  <si>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</si>
  <si>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</si>
  <si>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</si>
  <si>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</si>
  <si>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</si>
  <si>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</si>
  <si>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</si>
  <si>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</si>
  <si>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</si>
  <si>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</si>
  <si>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КФ крепежа корпуса 1</t>
  </si>
  <si>
    <t>КФ опора пластиковая 120</t>
  </si>
  <si>
    <t>KFP-SB-N110</t>
  </si>
  <si>
    <t>KFS-SB-BYT_30</t>
  </si>
  <si>
    <t>Корзина с держателем для бутылок 414*500*520 мм</t>
  </si>
  <si>
    <t>КФ евровинт</t>
  </si>
  <si>
    <t>КФ крепежа корпуса 2</t>
  </si>
  <si>
    <t>КФ крепежа корпуса 4</t>
  </si>
  <si>
    <t>KFP-SB-PY94</t>
  </si>
  <si>
    <t>KFPr-SB-SPL</t>
  </si>
  <si>
    <t>КФ крепежа корпуса 6</t>
  </si>
  <si>
    <t>КФ крепежа корпуса 7</t>
  </si>
  <si>
    <t>KFP-SB-N45</t>
  </si>
  <si>
    <t>KFN-SB-M86</t>
  </si>
  <si>
    <t>KFN-SB-MD</t>
  </si>
  <si>
    <t>КФ ящика Matrix (H=89 мм)_450_GR</t>
  </si>
  <si>
    <t>Комплект ящика INNOTECH ATIRA полного выдв. с  PUSH TO OPEN , Н70,NL470,цвет серебристый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</si>
  <si>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</si>
  <si>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</si>
  <si>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</si>
  <si>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</si>
  <si>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</si>
  <si>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</si>
  <si>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</si>
  <si>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</si>
  <si>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</si>
  <si>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</si>
  <si>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</si>
  <si>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</si>
  <si>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</si>
  <si>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</si>
  <si>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KFP-SP-PPGK_71
</t>
  </si>
  <si>
    <t>KFP-SP-PPA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</si>
  <si>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</si>
  <si>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</si>
  <si>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</si>
  <si>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</si>
  <si>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</si>
  <si>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>КФ Сушка AFF 600</t>
  </si>
  <si>
    <t>КФ Сушка AFF 800</t>
  </si>
  <si>
    <t>КФ Сушка AFF 900</t>
  </si>
  <si>
    <t>КФ сушка 45 одноуровневая</t>
  </si>
  <si>
    <t>КФ сушка 60 одноуровневая</t>
  </si>
  <si>
    <t>KFPr-SB-StK</t>
  </si>
  <si>
    <t>КФ крепежа корпуса 10</t>
  </si>
  <si>
    <t>КФ KEKU</t>
  </si>
  <si>
    <t>КФ ящика Matrix (H=175 мм)_450_GR</t>
  </si>
  <si>
    <t>КФ крепежа корпуса 12</t>
  </si>
  <si>
    <t>KFP-SP-PPGK</t>
  </si>
  <si>
    <t>Изделие</t>
  </si>
  <si>
    <t>повышение с 09.01.2024</t>
  </si>
  <si>
    <t>повышение с 11.03.2024</t>
  </si>
  <si>
    <t>кодировка КФ</t>
  </si>
  <si>
    <t>Округлённая цена с рент.25% с НДС</t>
  </si>
  <si>
    <t>цены БЗ от 01.09.2023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</si>
  <si>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</si>
  <si>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</si>
  <si>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</si>
  <si>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</si>
  <si>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</si>
  <si>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</si>
  <si>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компл.№2</t>
  </si>
  <si>
    <t>KFN-SB-DWD95_350</t>
  </si>
  <si>
    <t>компл.№3 или №4</t>
  </si>
  <si>
    <t>компл.№3T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</si>
  <si>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</si>
  <si>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</si>
  <si>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</si>
  <si>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</si>
  <si>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</si>
  <si>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</si>
  <si>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</si>
  <si>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</si>
  <si>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</si>
  <si>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</si>
  <si>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</si>
  <si>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</si>
  <si>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</si>
  <si>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</si>
  <si>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</si>
  <si>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</si>
  <si>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</si>
  <si>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</si>
  <si>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</si>
  <si>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</si>
  <si>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</si>
  <si>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</si>
  <si>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</si>
  <si>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</si>
  <si>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</si>
  <si>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</si>
  <si>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</si>
  <si>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</si>
  <si>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</si>
  <si>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</si>
  <si>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</si>
  <si>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</si>
  <si>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</si>
  <si>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</si>
  <si>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</si>
  <si>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</si>
  <si>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</si>
  <si>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</si>
  <si>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</si>
  <si>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</si>
  <si>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</si>
  <si>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</si>
  <si>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</si>
  <si>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</si>
  <si>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</si>
  <si>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</si>
  <si>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</si>
  <si>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</si>
  <si>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</si>
  <si>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</si>
  <si>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</si>
  <si>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</si>
  <si>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</si>
  <si>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</si>
  <si>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EPT2D_455</t>
  </si>
  <si>
    <t>EPT2D_595</t>
  </si>
  <si>
    <t>EPTG2D_455</t>
  </si>
  <si>
    <t>EPTG2D_595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</si>
  <si>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</si>
  <si>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</si>
  <si>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</si>
  <si>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</si>
  <si>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</si>
  <si>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</si>
  <si>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</si>
  <si>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</si>
  <si>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</si>
  <si>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</si>
  <si>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</si>
  <si>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</si>
  <si>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</si>
  <si>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</si>
  <si>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</si>
  <si>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</si>
  <si>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</si>
  <si>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</si>
  <si>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</si>
  <si>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Тип фасада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</si>
  <si>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</si>
  <si>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</si>
  <si>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</si>
  <si>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</si>
  <si>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</si>
  <si>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</si>
  <si>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</si>
  <si>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</si>
  <si>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</si>
  <si>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</si>
  <si>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</si>
  <si>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</si>
  <si>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</si>
  <si>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</si>
  <si>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</si>
  <si>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</si>
  <si>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</si>
  <si>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</si>
  <si>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</si>
  <si>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</si>
  <si>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</si>
  <si>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</si>
  <si>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</si>
  <si>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</si>
  <si>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</si>
  <si>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</si>
  <si>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</si>
  <si>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</si>
  <si>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</si>
  <si>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</si>
  <si>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</si>
  <si>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</si>
  <si>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</si>
  <si>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</si>
  <si>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</si>
  <si>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</si>
  <si>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</si>
  <si>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</si>
  <si>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</si>
  <si>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*Стоимость чёрного профиля равна цене алюминиевого профиля с коэфф.</t>
  </si>
  <si>
    <t>Цвет</t>
  </si>
  <si>
    <t>Сортировка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</si>
  <si>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</si>
  <si>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</si>
  <si>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</si>
  <si>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</si>
  <si>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</si>
  <si>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</si>
  <si>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</si>
  <si>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</si>
  <si>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</si>
  <si>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</si>
  <si>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</si>
  <si>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</si>
  <si>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</si>
  <si>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</si>
  <si>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</si>
  <si>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</si>
  <si>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</si>
  <si>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</si>
  <si>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</si>
  <si>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</si>
  <si>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</si>
  <si>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</si>
  <si>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</si>
  <si>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</si>
  <si>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</si>
  <si>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</si>
  <si>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</si>
  <si>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</si>
  <si>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</si>
  <si>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</si>
  <si>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2040_1_2041 - 2280_2</t>
  </si>
  <si>
    <t>2100_1_2101 - 2280_2</t>
  </si>
  <si>
    <t>Если модуль &gt;=2101 добавляется еще петля</t>
  </si>
  <si>
    <t>2100_2_2101 - 2280_3</t>
  </si>
  <si>
    <t>EPT1D_455</t>
  </si>
  <si>
    <t>EPT1D_595</t>
  </si>
  <si>
    <t>Или 0 полок или 4 Полки</t>
  </si>
  <si>
    <t>При выборе 2280</t>
  </si>
  <si>
    <t>EWV1V_900</t>
  </si>
  <si>
    <t>480/600/720/960 шаг высоты</t>
  </si>
  <si>
    <t>c 960 идет три полки
с 600 - 1 полка
с 720 - 2 полки
с 480 - 1 полка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</si>
  <si>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</si>
  <si>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</si>
  <si>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</si>
  <si>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</si>
  <si>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</si>
  <si>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720 - 2 полки или без полок 960 - 3 полки</t>
  </si>
  <si>
    <t>720 - 1 полка по умолчанию 440 нет полок 960 -2 полки</t>
  </si>
  <si>
    <t>960 по умолчанию есть полка</t>
  </si>
  <si>
    <t>720 - две полки макс, 0 может быть 960 3 полки 1250 - 3 полки</t>
  </si>
  <si>
    <t>Количество</t>
  </si>
  <si>
    <t>Комплект для ящика Hettich ATIRA Серый с реллингом, NL-470, H-176</t>
  </si>
  <si>
    <t>Комплект для ящика Hettich ATIRA Серый, NL-470, H-70</t>
  </si>
  <si>
    <t>Толкатель врезной сильная пружина (синий)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</si>
  <si>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</si>
  <si>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</si>
  <si>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</si>
  <si>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</si>
  <si>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</si>
  <si>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ПОДИУМ</t>
  </si>
  <si>
    <t>МОЦАРТ КЛАССИК</t>
  </si>
  <si>
    <t>Фасад глухой, фасад под врезную ручку Grosseto    кв.м</t>
  </si>
  <si>
    <t>Ценовая группа</t>
  </si>
  <si>
    <t>АМАДЕУС</t>
  </si>
  <si>
    <t xml:space="preserve"> 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</si>
  <si>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</si>
  <si>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</si>
  <si>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</si>
  <si>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</si>
  <si>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</si>
  <si>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</si>
  <si>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</si>
  <si>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</si>
  <si>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</si>
  <si>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</si>
  <si>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</si>
  <si>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</si>
  <si>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Цена стекла для витрины</t>
  </si>
  <si>
    <t>Полки Стекло</t>
  </si>
  <si>
    <t>&gt;1100 - 2 полки &gt;751 до 1100 - 1 полка 720 - нет полок 601 - нет полок</t>
  </si>
  <si>
    <t>Материал полок</t>
  </si>
  <si>
    <t>Площадь,м2</t>
  </si>
  <si>
    <t>Высота,мм</t>
  </si>
  <si>
    <t>Ширина,мм</t>
  </si>
  <si>
    <t>Наличие решеток</t>
  </si>
  <si>
    <t>КАМПО+</t>
  </si>
  <si>
    <t>Цена Витрин</t>
  </si>
  <si>
    <t>Ручки</t>
  </si>
  <si>
    <t>Название ручки / Артикул ручки</t>
  </si>
  <si>
    <r>
      <t xml:space="preserve">BAVRUS </t>
    </r>
    <r>
      <rPr>
        <sz val="14"/>
        <rFont val="Calibri"/>
        <family val="2"/>
        <charset val="204"/>
      </rPr>
      <t>RK041.064.59</t>
    </r>
  </si>
  <si>
    <t>накладная</t>
  </si>
  <si>
    <t>ПОДИУМ +</t>
  </si>
  <si>
    <r>
      <t xml:space="preserve">NEOCLASSICO </t>
    </r>
    <r>
      <rPr>
        <sz val="14"/>
        <rFont val="Calibri"/>
        <family val="2"/>
        <charset val="204"/>
      </rPr>
      <t>RK001.000.01</t>
    </r>
  </si>
  <si>
    <r>
      <t xml:space="preserve">NEOCLASSICO </t>
    </r>
    <r>
      <rPr>
        <sz val="14"/>
        <rFont val="Calibri"/>
        <family val="2"/>
        <charset val="204"/>
      </rPr>
      <t>RK001.000.03</t>
    </r>
  </si>
  <si>
    <r>
      <t xml:space="preserve">RADICI </t>
    </r>
    <r>
      <rPr>
        <sz val="14"/>
        <rFont val="Calibri"/>
        <family val="2"/>
        <charset val="204"/>
      </rPr>
      <t>RK006.000.09</t>
    </r>
  </si>
  <si>
    <t>кнопка</t>
  </si>
  <si>
    <r>
      <t xml:space="preserve">ELEGANTE </t>
    </r>
    <r>
      <rPr>
        <sz val="14"/>
        <rFont val="Calibri"/>
        <family val="2"/>
        <charset val="204"/>
      </rPr>
      <t>RK 031.128.41</t>
    </r>
  </si>
  <si>
    <t>скоба</t>
  </si>
  <si>
    <t>профильная</t>
  </si>
  <si>
    <t>КЛАССИКА 1</t>
  </si>
  <si>
    <t>КЛАССИКА 2</t>
  </si>
  <si>
    <t>КЛАССИКА 3</t>
  </si>
  <si>
    <t>МОДЕРН 1</t>
  </si>
  <si>
    <t>раковина</t>
  </si>
  <si>
    <t>врезная</t>
  </si>
  <si>
    <t>МОДЕРН 2</t>
  </si>
  <si>
    <t>МОДЕРН 3</t>
  </si>
  <si>
    <t>рейлинг</t>
  </si>
  <si>
    <t>RADICI RK006.000.07</t>
  </si>
  <si>
    <t>RUSTICO RK007.000.03</t>
  </si>
  <si>
    <t>COUNTRY RK008.000.08</t>
  </si>
  <si>
    <t>PROVENZA RK015.000.33</t>
  </si>
  <si>
    <t>VENEZIA RK021.096.70</t>
  </si>
  <si>
    <t>MAROCCO RK023.000.72</t>
  </si>
  <si>
    <r>
      <rPr>
        <sz val="14"/>
        <rFont val="Calibri"/>
        <family val="2"/>
        <charset val="204"/>
      </rPr>
      <t>FERMO RK 032.128.42</t>
    </r>
  </si>
  <si>
    <r>
      <rPr>
        <sz val="14"/>
        <rFont val="Calibri"/>
        <family val="2"/>
        <charset val="204"/>
      </rPr>
      <t>TORRE RK 033.128.43</t>
    </r>
  </si>
  <si>
    <r>
      <rPr>
        <sz val="14"/>
        <rFont val="Calibri"/>
        <family val="2"/>
        <charset val="204"/>
      </rPr>
      <t>LUIGI RK013.000.31</t>
    </r>
  </si>
  <si>
    <t>VIENNA RK001.06.01</t>
  </si>
  <si>
    <t>VIENNA RK002.05.02</t>
  </si>
  <si>
    <t>VIENNA RK003.05.02</t>
  </si>
  <si>
    <t>VIENNA RK003.05.03</t>
  </si>
  <si>
    <t>VIENNA RK004.05.04</t>
  </si>
  <si>
    <t>VIENNA RK004.05.05</t>
  </si>
  <si>
    <t>UNIVERSAL RK 034.096.44</t>
  </si>
  <si>
    <r>
      <t>UNIVERSAL RK 034.096.45</t>
    </r>
    <r>
      <rPr>
        <sz val="11"/>
        <color indexed="8"/>
        <rFont val="Calibri"/>
        <family val="2"/>
        <charset val="204"/>
      </rPr>
      <t/>
    </r>
  </si>
  <si>
    <r>
      <t>UNIVERSAL RK 034.096.46</t>
    </r>
    <r>
      <rPr>
        <sz val="11"/>
        <color indexed="8"/>
        <rFont val="Calibri"/>
        <family val="2"/>
        <charset val="204"/>
      </rPr>
      <t/>
    </r>
  </si>
  <si>
    <t>NEOCLASSICO RK001.000.02</t>
  </si>
  <si>
    <t>UFFICIO RK002.096.01</t>
  </si>
  <si>
    <t>RADICI RK006.128.07</t>
  </si>
  <si>
    <t>RUSTICO RK007.096.03</t>
  </si>
  <si>
    <t>CREMONA RK035.128.31</t>
  </si>
  <si>
    <t>PROVENZA RK014.000.32</t>
  </si>
  <si>
    <t>CLASSICO RK012.000.30</t>
  </si>
  <si>
    <t>FERRARA RK020.096.61</t>
  </si>
  <si>
    <t>MAROCCO RK023.128.72</t>
  </si>
  <si>
    <t>CREMONA RK035.128.64</t>
  </si>
  <si>
    <t>TORINO RK044.128.60</t>
  </si>
  <si>
    <t>NEOCLASSICO RK001.128.03</t>
  </si>
  <si>
    <t>VIAGGIO RK005.096.06</t>
  </si>
  <si>
    <t>RADICI RK006.128.09</t>
  </si>
  <si>
    <t>COUNTRY RK008.096.08</t>
  </si>
  <si>
    <t>PROVENZA RK015.128.33</t>
  </si>
  <si>
    <t>CLASSICO RK012.096.30</t>
  </si>
  <si>
    <t>LUIGI RK013.096.31</t>
  </si>
  <si>
    <t>PROVENZA RK014.128.32</t>
  </si>
  <si>
    <t>FORMULA RK022.192.71</t>
  </si>
  <si>
    <t>GROSSETO RK038.128.48</t>
  </si>
  <si>
    <t>BILD RK018.160.51</t>
  </si>
  <si>
    <t>GROSSETO RK037.128.447</t>
  </si>
  <si>
    <t>MODERNO RK016.128.50</t>
  </si>
  <si>
    <t>MODERNO RK016.192.50</t>
  </si>
  <si>
    <t>MODERNO RK016.256.50</t>
  </si>
  <si>
    <t>OASI RK004.160.05</t>
  </si>
  <si>
    <t>OASI RK004.160.10</t>
  </si>
  <si>
    <t>ESTETICA RK017.160.51</t>
  </si>
  <si>
    <t>ESTETICA RK017.224.51</t>
  </si>
  <si>
    <t>LINEA RK009.256.04</t>
  </si>
  <si>
    <t>CLIP RK 019.160.11</t>
  </si>
  <si>
    <t>NEOCLASSICO</t>
  </si>
  <si>
    <t>BAVRUS</t>
  </si>
  <si>
    <t>Цоколь пластик 120 мм, хлыст 4000 мм, цвет белый,шт.</t>
  </si>
  <si>
    <t>Угол внутренний/внешний 90гр.для цоколя 120 мм, цвет белый,шт.</t>
  </si>
  <si>
    <t>Угол универсальный 90/135гр.для цоколя 120 мм, цвет белый,шт.</t>
  </si>
  <si>
    <t>Соединитель цоколя прямой 120 мм, цвет белый,шт.</t>
  </si>
  <si>
    <t>Заглушка цоколя торцевая 120 мм, цвет белый,шт.</t>
  </si>
  <si>
    <t>Клипса для цоколя,шт.</t>
  </si>
  <si>
    <t>Планка для столешницы металл.торцевая с закр.торцом, 600*40 мм</t>
  </si>
  <si>
    <t>Планка для столешницы металл.Т-образная с откр.торцом, 600*40 мм</t>
  </si>
  <si>
    <t>Планка для столешницы металл.соединит.угловая с закр.торцом, 600*40 мм</t>
  </si>
  <si>
    <t>Профиль для стеновой панели соединит.прямой стык, 600*10 мм</t>
  </si>
  <si>
    <t>Профиль для стеновой панели соединит.внутренний угол, 600*10 мм</t>
  </si>
  <si>
    <t>Профиль для стеновой панели соединит.внешний угол, 600*10 мм</t>
  </si>
  <si>
    <t>Стяжка рабочих плит Maxifix 35 B32-41 мм</t>
  </si>
  <si>
    <t>Стеновая панель из стекла 900*600</t>
  </si>
  <si>
    <t>Пристенные бортики (производство Германия, Resopal)</t>
  </si>
  <si>
    <t>Комплект заглушек к пристенным бортикам</t>
  </si>
  <si>
    <t>Уплотнитель для столешниц 3050 мм, цвет транспарент</t>
  </si>
  <si>
    <t>Балюстрада (код 723), шт.</t>
  </si>
  <si>
    <t>Декоративная пилястра (код 603), пог.м</t>
  </si>
  <si>
    <t>Карниз нижний R240E,R255E, шт.</t>
  </si>
  <si>
    <t>Цоколь, шт.</t>
  </si>
  <si>
    <t>Цоколь R240E, шт.</t>
  </si>
  <si>
    <t>Цоколь</t>
  </si>
  <si>
    <t>Инфо</t>
  </si>
  <si>
    <t>Название товара</t>
  </si>
  <si>
    <t>Балюстрада</t>
  </si>
  <si>
    <t>Декоративная пилястра</t>
  </si>
  <si>
    <t>Карниз</t>
  </si>
  <si>
    <t>ширина 50, 75* Толщина 22</t>
  </si>
  <si>
    <t>Ширина * Глубина * Толщина 410*410 (430*430)*63</t>
  </si>
  <si>
    <t>Ширина * Глубина * Толщина 410*410 (430*430)*42</t>
  </si>
  <si>
    <t>Длина*Высота*Толщина 421 (443)*55*18</t>
  </si>
  <si>
    <t>Длина*Высота*Толщина 2400 (2550)*100*16</t>
  </si>
  <si>
    <t>Длина*Высота*Толщина 421*100 (120) (150)*18</t>
  </si>
  <si>
    <t>Высота*Ширина*Толщина 1410*70*16</t>
  </si>
  <si>
    <t>Длина*Ширина*Толщина 2400 (2550)*80*16</t>
  </si>
  <si>
    <t>Длина*Ширина*Толщина  2400 (2550)*100*22</t>
  </si>
  <si>
    <t>Длина*Ширина*Толщина  2400 (2550)*55*16</t>
  </si>
  <si>
    <t>Цоколь радиусный</t>
  </si>
  <si>
    <t>Погонаж_Original_Select</t>
  </si>
  <si>
    <t>Ценовые_категории_ручек</t>
  </si>
  <si>
    <t>Цены_по_категориям_Acryline</t>
  </si>
  <si>
    <t>Цена за  кв.м</t>
  </si>
  <si>
    <t>Глухой фасад с врезной ручкой Rosberg</t>
  </si>
  <si>
    <t>Глухой фасад под врезную ручку Grosetto</t>
  </si>
  <si>
    <t>Глухой фасад в алюминиевом профиле 810</t>
  </si>
  <si>
    <t>Глухой фасад Модерн</t>
  </si>
  <si>
    <t>Цены_Softline_Marine</t>
  </si>
  <si>
    <t>Цвета_Softline_Marine</t>
  </si>
  <si>
    <t>Цвета</t>
  </si>
  <si>
    <t>БЕЛЫЙ БАЗОВЫЙ SL34</t>
  </si>
  <si>
    <t>ДУБ КЕНДАЛ НАТУРАЛЬНЫЙ SL35</t>
  </si>
  <si>
    <t>ДУБ КЕНДАЛ КОНЬЯК SL36</t>
  </si>
  <si>
    <t>ДУБ СОЛСБЕРИ SL37</t>
  </si>
  <si>
    <t>СВЕТЛО-СЕРЫЙ SL38</t>
  </si>
  <si>
    <t>ОНИКС СЕРЫЙ SL39</t>
  </si>
  <si>
    <t>МАРЕНГО SL40</t>
  </si>
  <si>
    <t>МУССОН SL41</t>
  </si>
  <si>
    <t>БЕТОН ЧИКАГО SL42</t>
  </si>
  <si>
    <t>БЕЛЫЙ ПРЕМИУМ SL43</t>
  </si>
  <si>
    <t>СЕРАЯ ГАЛЬКА SL44</t>
  </si>
  <si>
    <t>Softline Marine</t>
  </si>
  <si>
    <t>RADICI</t>
  </si>
  <si>
    <t>RUSTICO</t>
  </si>
  <si>
    <t>COUNTRY</t>
  </si>
  <si>
    <t>PROVENZA</t>
  </si>
  <si>
    <t>VENEZIA</t>
  </si>
  <si>
    <t>MAROCCO</t>
  </si>
  <si>
    <t>ELEGANTE</t>
  </si>
  <si>
    <t>FERMO</t>
  </si>
  <si>
    <t>TORRE</t>
  </si>
  <si>
    <t>LUIGI</t>
  </si>
  <si>
    <t>VIENNA</t>
  </si>
  <si>
    <t>UNIVERSAL</t>
  </si>
  <si>
    <t>UFFICIO</t>
  </si>
  <si>
    <t>CREMONA</t>
  </si>
  <si>
    <t>CLASSICO</t>
  </si>
  <si>
    <t>FERRARA</t>
  </si>
  <si>
    <t>TORINO</t>
  </si>
  <si>
    <t>VIAGGIO</t>
  </si>
  <si>
    <t>FORMULA</t>
  </si>
  <si>
    <t>GROSSETO</t>
  </si>
  <si>
    <t>BILD</t>
  </si>
  <si>
    <t>MODERNO</t>
  </si>
  <si>
    <t>OASI</t>
  </si>
  <si>
    <t>ESTETICA</t>
  </si>
  <si>
    <t>LINEA</t>
  </si>
  <si>
    <t>CLIP</t>
  </si>
  <si>
    <t>Бленда_Softline Marine</t>
  </si>
  <si>
    <t>Gola</t>
  </si>
  <si>
    <t>Base</t>
  </si>
  <si>
    <t>Furn_for_stol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</si>
  <si>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</si>
  <si>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</si>
  <si>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</si>
  <si>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t>Профиль Gola 8006 горизонтальный верхний, 4200 мм,шт.</t>
  </si>
  <si>
    <t>Толкатель врезной слабая пружина (зеленый)</t>
  </si>
  <si>
    <t>Базовая цена цветной корпус</t>
  </si>
  <si>
    <t>Тип изделия</t>
  </si>
  <si>
    <t>Min Высота</t>
  </si>
  <si>
    <t>Min Ширина</t>
  </si>
  <si>
    <t>МАГНУМ*</t>
  </si>
  <si>
    <t>Max  Высота</t>
  </si>
  <si>
    <t>Разница</t>
  </si>
  <si>
    <t>Цена БЗ</t>
  </si>
  <si>
    <t>Соединенное название</t>
  </si>
  <si>
    <t>ДЛЯ ПЕНАЛА EP3B1D И EP2B1D</t>
  </si>
  <si>
    <t>Тип фрезеровки</t>
  </si>
  <si>
    <t>Скидка на фрезеровку</t>
  </si>
  <si>
    <t>Скидка для фрезеровки</t>
  </si>
  <si>
    <t>№2 - С доводчиками</t>
  </si>
  <si>
    <t>№3 – Без доводчиков</t>
  </si>
  <si>
    <t>№3T – Открывание по нажатию</t>
  </si>
  <si>
    <t>Корзина выдв.посудосуш.600 мм + напр. L450 Hettich (ХРОМ)</t>
  </si>
  <si>
    <t>КФ НСТ19</t>
  </si>
  <si>
    <t>EPTG1B1D_595</t>
  </si>
  <si>
    <t>EPTP1D_595</t>
  </si>
  <si>
    <t>EPT1B1D_595</t>
  </si>
  <si>
    <t>EMN1W1B</t>
  </si>
  <si>
    <t>Цена за м3</t>
  </si>
  <si>
    <t>237 Арктик матовый</t>
  </si>
  <si>
    <t>Кол-во фасадов</t>
  </si>
  <si>
    <t>Кол-во фасадов в модуле</t>
  </si>
  <si>
    <t>ENO Открытый+Полки+Нижний</t>
  </si>
  <si>
    <t>EMN1D 1 дверь+Полки+Нижний</t>
  </si>
  <si>
    <t>EMN2D 2 двери+Полки+Нижний</t>
  </si>
  <si>
    <t>EMN1K_150 1 дверь+Корзина_150</t>
  </si>
  <si>
    <t>EMN1K_450 1 дверь+Корзина_450</t>
  </si>
  <si>
    <t>EWN1D 1 дверь+Мойка</t>
  </si>
  <si>
    <t>EWN2D 2 двери+Мойка</t>
  </si>
  <si>
    <t>EUN1D 1 дверь+Бленда+Полки+Угловой_отступ_250</t>
  </si>
  <si>
    <t>EUN1D_150 1 дверь+Бленда+Полки+Угловой_отступ_150</t>
  </si>
  <si>
    <t>EWU1D 1 дверь+Бленда+Мойка+Угловой_отступ_250</t>
  </si>
  <si>
    <t>EWU1D_150 1 дверь+Бленда+Мойка+Угловой_отступ_150</t>
  </si>
  <si>
    <t>EMN1B1D 1 дверь+1 Ящик+Полки</t>
  </si>
  <si>
    <t>EMN1B2D 2 двери+1 Ящик+Полки</t>
  </si>
  <si>
    <t>EMN4B 4 Ящика</t>
  </si>
  <si>
    <t>EMN3B 3 Ящика</t>
  </si>
  <si>
    <t>EMN2B 2 Ящика</t>
  </si>
  <si>
    <t>EMN1W1B 2 Ящика + Сушилка</t>
  </si>
  <si>
    <t>ETN1B 1 ящик+Духовка</t>
  </si>
  <si>
    <t>ESNX1D 1 дверь+Скошенный+Торцевой+Полки</t>
  </si>
  <si>
    <t>ERN Открытый+Радиус+Торцевой+Полки</t>
  </si>
  <si>
    <t>ERN1D 1 дверь+Радиус+Торцевой+Полки</t>
  </si>
  <si>
    <t>ENG1D Gola+1 дверь</t>
  </si>
  <si>
    <t>ENG2D Gola+2 двери</t>
  </si>
  <si>
    <t>ENG2B Gola+2 Ящика</t>
  </si>
  <si>
    <t>ENG3B Gola+3 Ящика</t>
  </si>
  <si>
    <t>ENG1K_150 Gola+Корзина_150</t>
  </si>
  <si>
    <t>ENG1K_450 Gola+Корзина_450</t>
  </si>
  <si>
    <t>EWG1D Gola+1 дверь+Мойка</t>
  </si>
  <si>
    <t>EWG2D Gola+2 двери+Мойка</t>
  </si>
  <si>
    <t>EUG1D Gola+1 дверь+Бленда+Полки+Угловой_Отступ_250+Низ</t>
  </si>
  <si>
    <t>EUG1D_150 Gola+1 дверь+Бленда+Полки+Угловой_Отступ_150+Низ</t>
  </si>
  <si>
    <t>EVO Открытый+Полки+Верхний</t>
  </si>
  <si>
    <t>EMV1D 1 дверь+Полки+Верхний</t>
  </si>
  <si>
    <t>EMV1DN 1 дверь+Микроволновая печь</t>
  </si>
  <si>
    <t>EMV1V 1 фасад+Подъемник поворотный_h_360</t>
  </si>
  <si>
    <t>EMV1VN 1 дверь+Подъемник поворотный+Микроволновая печь</t>
  </si>
  <si>
    <t>EMV2D 2 двери+Полки+Верхний</t>
  </si>
  <si>
    <t>EMV2V 2 фасада+Подъемник складной</t>
  </si>
  <si>
    <t>EVU1D 1 дверь+Бленда+Полки+Угловой</t>
  </si>
  <si>
    <t>EHV1D 1 дверь+Вытяжка</t>
  </si>
  <si>
    <t>EHV2D 2 двери+Вытяжка</t>
  </si>
  <si>
    <t>EDV1D 1 дверь+Диагональный+Полки</t>
  </si>
  <si>
    <t>EWV1D_450 1 дверь+Сушилка_450</t>
  </si>
  <si>
    <t>EWV1D_600 1 дверь+Сушилка_600</t>
  </si>
  <si>
    <t>EWV2D_600 2 двери+Сушилка_600</t>
  </si>
  <si>
    <t>EWV2D_800 2 двери+Сушилка_800</t>
  </si>
  <si>
    <t>EWV2D_900 2 двери+Сушилка_900</t>
  </si>
  <si>
    <t>EWV2V_450 2 фасада+Подъемник складной+Сушилка_450</t>
  </si>
  <si>
    <t>EWV1V_450 1 фасад+Подъемник поворотный+Сушилка_450</t>
  </si>
  <si>
    <t>EWV1V_600 1 фасад+Подъемник поворотный+Сушилка_600</t>
  </si>
  <si>
    <t>EWV1V_900 1 фасад+Подъемник поворотный+Сушилка_900</t>
  </si>
  <si>
    <t>ERV1D 1 дверь+Радиус+Торцевой+1 Полка+Верхний</t>
  </si>
  <si>
    <t>EVG1D Gola+1 дверь+Полки</t>
  </si>
  <si>
    <t>EVG2D Gola+2 двери+Полки</t>
  </si>
  <si>
    <t>EVG2V Gola+Складной подъемник</t>
  </si>
  <si>
    <t>ESVX1D 1 дверь+Скошенный+Полки h=720</t>
  </si>
  <si>
    <t>EP1D 1 дверь+ Полки + Пенал</t>
  </si>
  <si>
    <t>EPG1D Gola+1 дверь+Полки+Пенал</t>
  </si>
  <si>
    <t>EPT1D_455 1 дверь+1 Ниша под технику_455+Полки</t>
  </si>
  <si>
    <t>EPT1D_595 1 дверь+1 Ниша под технику_595+Полки</t>
  </si>
  <si>
    <t>EPT1B 1 ящик+1 Ниша под технику_380</t>
  </si>
  <si>
    <t>EP2D 2 двери+Полки + Пенал</t>
  </si>
  <si>
    <t>EPG2D_EPG2DM Gola+2 двери+Полки+Пенал</t>
  </si>
  <si>
    <t>EPS2D 2 двери+ Холодильник</t>
  </si>
  <si>
    <t>EPSG2D Gola+2 двери+Холодильник</t>
  </si>
  <si>
    <t>EP3B1D 1 дверь+3 Ящика</t>
  </si>
  <si>
    <t>EP2B1D 1 дверь+2 Ящика</t>
  </si>
  <si>
    <t>EPT2D_455 2 двери + 1 Ниша под технику_455</t>
  </si>
  <si>
    <t>EPT2D_595 2 двери + 1 Ниша под технику_595</t>
  </si>
  <si>
    <t>EPTG2D_455 Gola+2 двери +1 Ниша под технику_455</t>
  </si>
  <si>
    <t>EPTG2D_595 Gola+2 двери +1 Ниша под технику_595</t>
  </si>
  <si>
    <t>EPT2B1D_382 1 дверь+1 ящик+1 Ниша под технику_382</t>
  </si>
  <si>
    <t>EPT2B1D_455 1 дверь+1 ящик+ 1 Ниша под технику_455</t>
  </si>
  <si>
    <t>EPT2B1D_595 1 дверь+1 ящик+ 1 Ниша под технику_595</t>
  </si>
  <si>
    <t>EPTP1D_595 1 подъемник+1 дверь+2 Ниши под технику_382_595</t>
  </si>
  <si>
    <t>EPT1B1D_595 1 дверь + 1 ящик+ 2 Ниши под технику_382_595</t>
  </si>
  <si>
    <t>EPTG1B1D_595 Gola+1 дверь+1 ящик+ 2 Ниши под технику_382_595</t>
  </si>
  <si>
    <t>EPSP2D 1 подъемник+2 двери+Холодильник</t>
  </si>
  <si>
    <t>ALT1UV ЧЁРНЫЙ</t>
  </si>
  <si>
    <t>ALT1MUV ЧЁРНЫЙ МАТОВЫЙ</t>
  </si>
  <si>
    <t>ALT2 КРАСНЫЙ</t>
  </si>
  <si>
    <t>ALT3UV БЕЛЫЙ</t>
  </si>
  <si>
    <t>ALT3MUVAF БЕЛЫЙ МАТОВЫЙ</t>
  </si>
  <si>
    <t>ALT5 КАПУЧИНО</t>
  </si>
  <si>
    <t>ALT5МUVAF КАПУЧИНО МАТОВЫЙ</t>
  </si>
  <si>
    <t>ALT5UV КАПУЧИНО</t>
  </si>
  <si>
    <t>ALT9 АНТРАЦИТ МЕТАЛЛИК</t>
  </si>
  <si>
    <t>AL12 БАКЛАЖАН</t>
  </si>
  <si>
    <t>ALT12UV БАКЛАЖАН</t>
  </si>
  <si>
    <t>AL14 ЖАСМИН</t>
  </si>
  <si>
    <t>ALT14МUVAF ЖАСМИН МАТОВЫЙ</t>
  </si>
  <si>
    <t>ALT14UV ЖАСМИН</t>
  </si>
  <si>
    <t>ALT26UV ЛИМОН</t>
  </si>
  <si>
    <t>ALT27МUVAF ЛАТТЕ МАТОВЫЙ</t>
  </si>
  <si>
    <t>ALT27UV ЛАТТЕ</t>
  </si>
  <si>
    <t>ALT28МUVAF БЕЛЫЙ СНЕЖНЫЙ МАТОВЫЙ</t>
  </si>
  <si>
    <t>ALT28UV БЕЛЫЙ СНЕЖНЫЙ</t>
  </si>
  <si>
    <t>ALT36UV МОРОЗНАЯ ЧЕРНИКА</t>
  </si>
  <si>
    <t>ALT39МUVAF ТАУП МАТОВЫЙ</t>
  </si>
  <si>
    <t>ALT40UV ГОЛУБОЙ МЕТАЛЛИК</t>
  </si>
  <si>
    <t>ALT41МUVAF ГРАФИТ МАТОВЫЙ</t>
  </si>
  <si>
    <t>ALD41МUVAF ГРАФИТ МАТОВЫЙ</t>
  </si>
  <si>
    <t>ALT42МUVAF КАДЕТ МАТОВЫЙ</t>
  </si>
  <si>
    <t>ALT43МUVAF САПФИР МАТОВЫЙ</t>
  </si>
  <si>
    <t>ALT44МUVAF МЕЙСОН МАТОВЫЙ</t>
  </si>
  <si>
    <t>ALD44МUVAF МЕЙСОН МАТОВЫЙ</t>
  </si>
  <si>
    <t>ALD45МUVAF КАШЕМИР МАТОВЫЙ</t>
  </si>
  <si>
    <t>ALD46МUVAF ТЕРРАКОТ МАТОВЫЙ</t>
  </si>
  <si>
    <t>ALD47МUVAF ЭНИГМА МАТОВЫЙ</t>
  </si>
  <si>
    <t>Цена в БЗ</t>
  </si>
  <si>
    <t>разница</t>
  </si>
  <si>
    <t>Столбец1</t>
  </si>
  <si>
    <t>Max Ширина</t>
  </si>
  <si>
    <t>Итог</t>
  </si>
  <si>
    <t>EZ1F 1 фасад+Колонна + Нижний</t>
  </si>
  <si>
    <t>EZ1F 1 фасад+Колонна нижний</t>
  </si>
  <si>
    <t>Карниз верхний N2, шт.</t>
  </si>
  <si>
    <t>Карниз верхний N1, R240E, 255E, шт.</t>
  </si>
  <si>
    <t>Карниз верхний N2, R240E, 255E, шт.</t>
  </si>
  <si>
    <t>Карниз нижний N2, шт.</t>
  </si>
  <si>
    <t>Карниз верхний N1+, N3, шт.</t>
  </si>
  <si>
    <t>Комплектация для вывода на экран</t>
  </si>
  <si>
    <t>EVUG1D</t>
  </si>
  <si>
    <t>EVUG1D Gola+1 дверь+Бленда+Полки+Угловой</t>
  </si>
  <si>
    <t>Продукция</t>
  </si>
  <si>
    <t>TextBoxSkidkaKorp</t>
  </si>
  <si>
    <t>TextBoxSkidkaFas</t>
  </si>
  <si>
    <t>TextBoxSkidkaStol</t>
  </si>
  <si>
    <t>TextBoxSkidkaHandles</t>
  </si>
  <si>
    <t>TextBoxNacenka</t>
  </si>
  <si>
    <t>Прямой глухой</t>
  </si>
  <si>
    <t>№2 – С доводчиками</t>
  </si>
  <si>
    <t>Без стекла</t>
  </si>
  <si>
    <t>Низ</t>
  </si>
  <si>
    <t>ЛДСП</t>
  </si>
  <si>
    <t>N2</t>
  </si>
  <si>
    <t>N3</t>
  </si>
  <si>
    <t>Верх</t>
  </si>
  <si>
    <t>Цена пленки</t>
  </si>
  <si>
    <t>BAVRUS RK041.064.59</t>
  </si>
  <si>
    <t>Высота стандарт</t>
  </si>
  <si>
    <t>Ширина стандарт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</si>
</sst>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00"/>
    <numFmt numFmtId="168" formatCode="0.000000"/>
  </numFmts>
  <fonts count="49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9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Arial Cyr"/>
      <charset val="204"/>
    </font>
    <font>
      <sz val="11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  <font>
      <sz val="11"/>
      <color theme="4" tint="-0.249977111117893"/>
      <name val="Calibri"/>
      <family val="2"/>
      <charset val="204"/>
      <scheme val="minor"/>
    </font>
    <font>
      <i/>
      <sz val="14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8"/>
      <name val="Calibri"/>
      <family val="2"/>
      <charset val="204"/>
      <scheme val="minor"/>
    </font>
    <font>
      <sz val="8"/>
      <name val="Arial"/>
    </font>
    <font>
      <sz val="11"/>
      <name val="Calibri"/>
      <family val="2"/>
      <charset val="204"/>
      <scheme val="minor"/>
    </font>
    <font>
      <b/>
      <sz val="12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1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18" fillId="0" borderId="0"/>
    <xf numFmtId="0" fontId="8" fillId="0" borderId="0"/>
    <xf numFmtId="44" fontId="2" fillId="0" borderId="0" applyFont="0" applyFill="0" applyBorder="0" applyAlignment="0" applyProtection="0"/>
    <xf numFmtId="0" fontId="28" fillId="0" borderId="0"/>
    <xf numFmtId="0" fontId="31" fillId="6" borderId="0" applyNumberFormat="0" applyBorder="0" applyAlignment="0" applyProtection="0"/>
    <xf numFmtId="0" fontId="8" fillId="0" borderId="0"/>
    <xf numFmtId="0" fontId="39" fillId="0" borderId="0"/>
    <xf numFmtId="0" fontId="40" fillId="0" borderId="0"/>
    <xf numFmtId="0" fontId="39" fillId="0" borderId="0"/>
    <xf numFmtId="0" fontId="2" fillId="0" borderId="0"/>
    <xf numFmtId="0" fontId="9" fillId="0" borderId="0"/>
    <xf numFmtId="0" fontId="46" fillId="0" borderId="0"/>
    <xf numFmtId="0" fontId="9" fillId="0" borderId="0"/>
  </cellStyleXfs>
  <cellXfs count="22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2" fillId="0" borderId="0" xfId="5" applyFont="1" applyAlignment="1">
      <alignment horizontal="center" vertical="center"/>
    </xf>
    <xf numFmtId="0" fontId="8" fillId="0" borderId="0" xfId="5" applyAlignment="1">
      <alignment horizontal="left"/>
    </xf>
    <xf numFmtId="0" fontId="11" fillId="0" borderId="0" xfId="5" applyFont="1"/>
    <xf numFmtId="166" fontId="11" fillId="0" borderId="0" xfId="5" applyNumberFormat="1" applyFont="1"/>
    <xf numFmtId="165" fontId="11" fillId="0" borderId="7" xfId="6" applyFont="1" applyFill="1" applyBorder="1" applyAlignment="1">
      <alignment vertical="center"/>
    </xf>
    <xf numFmtId="0" fontId="17" fillId="0" borderId="0" xfId="5" applyFont="1" applyAlignment="1">
      <alignment vertical="center"/>
    </xf>
    <xf numFmtId="2" fontId="11" fillId="0" borderId="7" xfId="5" applyNumberFormat="1" applyFont="1" applyBorder="1" applyAlignment="1">
      <alignment vertical="center" wrapText="1"/>
    </xf>
    <xf numFmtId="0" fontId="19" fillId="0" borderId="0" xfId="5" applyFont="1"/>
    <xf numFmtId="0" fontId="20" fillId="0" borderId="11" xfId="8" applyFont="1" applyBorder="1"/>
    <xf numFmtId="2" fontId="11" fillId="4" borderId="7" xfId="5" applyNumberFormat="1" applyFont="1" applyFill="1" applyBorder="1" applyAlignment="1">
      <alignment vertical="center" wrapText="1"/>
    </xf>
    <xf numFmtId="165" fontId="11" fillId="4" borderId="7" xfId="6" applyFont="1" applyFill="1" applyBorder="1" applyAlignment="1">
      <alignment vertical="center"/>
    </xf>
    <xf numFmtId="2" fontId="11" fillId="5" borderId="16" xfId="5" applyNumberFormat="1" applyFont="1" applyFill="1" applyBorder="1" applyAlignment="1">
      <alignment vertical="center" wrapText="1"/>
    </xf>
    <xf numFmtId="165" fontId="11" fillId="5" borderId="17" xfId="6" applyFont="1" applyFill="1" applyBorder="1" applyAlignment="1">
      <alignment vertical="center"/>
    </xf>
    <xf numFmtId="2" fontId="11" fillId="5" borderId="18" xfId="5" applyNumberFormat="1" applyFont="1" applyFill="1" applyBorder="1" applyAlignment="1">
      <alignment vertical="center" wrapText="1"/>
    </xf>
    <xf numFmtId="165" fontId="11" fillId="5" borderId="19" xfId="6" applyFont="1" applyFill="1" applyBorder="1" applyAlignment="1">
      <alignment vertical="center"/>
    </xf>
    <xf numFmtId="2" fontId="11" fillId="5" borderId="20" xfId="5" applyNumberFormat="1" applyFont="1" applyFill="1" applyBorder="1" applyAlignment="1">
      <alignment vertical="center" wrapText="1"/>
    </xf>
    <xf numFmtId="165" fontId="11" fillId="5" borderId="21" xfId="6" applyFont="1" applyFill="1" applyBorder="1" applyAlignment="1">
      <alignment vertical="center"/>
    </xf>
    <xf numFmtId="165" fontId="19" fillId="5" borderId="19" xfId="6" applyFont="1" applyFill="1" applyBorder="1" applyAlignment="1">
      <alignment vertical="center"/>
    </xf>
    <xf numFmtId="165" fontId="19" fillId="3" borderId="19" xfId="6" applyFont="1" applyFill="1" applyBorder="1" applyAlignment="1">
      <alignment vertical="center"/>
    </xf>
    <xf numFmtId="165" fontId="11" fillId="3" borderId="17" xfId="6" applyFont="1" applyFill="1" applyBorder="1" applyAlignment="1">
      <alignment vertical="center"/>
    </xf>
    <xf numFmtId="165" fontId="11" fillId="3" borderId="19" xfId="6" applyFont="1" applyFill="1" applyBorder="1" applyAlignment="1">
      <alignment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13" fillId="0" borderId="0" xfId="6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2" fillId="0" borderId="0" xfId="0" applyFont="1"/>
    <xf numFmtId="0" fontId="24" fillId="0" borderId="0" xfId="5" applyFont="1" applyAlignment="1">
      <alignment horizontal="center" vertical="center" wrapText="1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0" xfId="0" applyFont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0" fontId="23" fillId="0" borderId="0" xfId="9" applyFont="1" applyAlignment="1">
      <alignment horizontal="center" vertical="center" wrapText="1"/>
    </xf>
    <xf numFmtId="1" fontId="24" fillId="0" borderId="0" xfId="5" applyNumberFormat="1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44" fontId="23" fillId="0" borderId="0" xfId="10" applyFont="1" applyFill="1" applyBorder="1" applyAlignment="1">
      <alignment horizontal="center" vertical="center"/>
    </xf>
    <xf numFmtId="0" fontId="23" fillId="0" borderId="0" xfId="5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8" fillId="0" borderId="25" xfId="11" applyBorder="1" applyAlignment="1">
      <alignment horizontal="left"/>
    </xf>
    <xf numFmtId="1" fontId="28" fillId="0" borderId="25" xfId="11" applyNumberFormat="1" applyBorder="1" applyAlignment="1">
      <alignment horizontal="right"/>
    </xf>
    <xf numFmtId="3" fontId="28" fillId="0" borderId="25" xfId="11" applyNumberFormat="1" applyBorder="1" applyAlignment="1">
      <alignment horizontal="right"/>
    </xf>
    <xf numFmtId="1" fontId="32" fillId="0" borderId="0" xfId="12" applyNumberFormat="1" applyFont="1" applyFill="1" applyBorder="1" applyAlignment="1">
      <alignment horizontal="center" vertical="center" wrapText="1"/>
    </xf>
    <xf numFmtId="1" fontId="32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 wrapText="1"/>
    </xf>
    <xf numFmtId="1" fontId="33" fillId="0" borderId="0" xfId="0" applyNumberFormat="1" applyFont="1" applyAlignment="1">
      <alignment horizontal="center" vertical="center"/>
    </xf>
    <xf numFmtId="0" fontId="32" fillId="0" borderId="0" xfId="12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0" fontId="32" fillId="0" borderId="0" xfId="14" applyFont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vertical="center" wrapText="1"/>
    </xf>
    <xf numFmtId="0" fontId="32" fillId="0" borderId="0" xfId="12" applyFont="1" applyFill="1" applyBorder="1" applyAlignment="1">
      <alignment vertical="center" wrapText="1"/>
    </xf>
    <xf numFmtId="0" fontId="33" fillId="0" borderId="0" xfId="12" applyFont="1" applyFill="1" applyBorder="1" applyAlignment="1">
      <alignment vertical="center" wrapText="1"/>
    </xf>
    <xf numFmtId="0" fontId="34" fillId="0" borderId="0" xfId="12" applyFont="1" applyFill="1" applyBorder="1" applyAlignment="1">
      <alignment vertical="center" wrapText="1"/>
    </xf>
    <xf numFmtId="0" fontId="24" fillId="4" borderId="0" xfId="0" applyFont="1" applyFill="1" applyAlignment="1">
      <alignment horizontal="center" vertical="center" wrapText="1"/>
    </xf>
    <xf numFmtId="0" fontId="24" fillId="5" borderId="0" xfId="5" applyFont="1" applyFill="1" applyAlignment="1">
      <alignment horizontal="center" vertical="center"/>
    </xf>
    <xf numFmtId="44" fontId="41" fillId="4" borderId="0" xfId="10" applyFont="1" applyFill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37" fontId="43" fillId="0" borderId="0" xfId="4" applyNumberFormat="1" applyFont="1" applyFill="1" applyBorder="1" applyAlignment="1">
      <alignment horizontal="center" vertical="center" wrapText="1"/>
    </xf>
    <xf numFmtId="37" fontId="37" fillId="0" borderId="0" xfId="4" applyNumberFormat="1" applyFont="1" applyFill="1" applyBorder="1" applyAlignment="1">
      <alignment vertical="center" wrapText="1"/>
    </xf>
    <xf numFmtId="0" fontId="43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7" fillId="0" borderId="0" xfId="9" applyFont="1" applyAlignment="1">
      <alignment vertical="center" wrapText="1"/>
    </xf>
    <xf numFmtId="0" fontId="35" fillId="0" borderId="0" xfId="9" applyFont="1" applyAlignment="1">
      <alignment horizontal="center" vertical="center" wrapText="1"/>
    </xf>
    <xf numFmtId="0" fontId="37" fillId="0" borderId="0" xfId="0" applyFont="1" applyAlignment="1">
      <alignment horizontal="center" vertical="center"/>
    </xf>
    <xf numFmtId="37" fontId="37" fillId="0" borderId="0" xfId="4" applyNumberFormat="1" applyFont="1" applyFill="1" applyBorder="1" applyAlignment="1">
      <alignment horizontal="center" vertical="center" wrapText="1"/>
    </xf>
    <xf numFmtId="0" fontId="37" fillId="0" borderId="0" xfId="9" applyFont="1" applyAlignment="1">
      <alignment horizontal="center" vertical="center" wrapText="1"/>
    </xf>
    <xf numFmtId="0" fontId="24" fillId="0" borderId="0" xfId="5" applyFont="1" applyAlignment="1">
      <alignment vertical="center"/>
    </xf>
    <xf numFmtId="0" fontId="23" fillId="0" borderId="0" xfId="9" applyFont="1" applyAlignment="1">
      <alignment vertical="center" wrapText="1"/>
    </xf>
    <xf numFmtId="0" fontId="36" fillId="0" borderId="0" xfId="9" applyFont="1" applyAlignment="1">
      <alignment vertical="center" wrapText="1"/>
    </xf>
    <xf numFmtId="0" fontId="32" fillId="0" borderId="0" xfId="9" applyFont="1" applyAlignment="1">
      <alignment horizontal="center" vertical="center" wrapText="1"/>
    </xf>
    <xf numFmtId="0" fontId="32" fillId="0" borderId="0" xfId="9" applyFont="1" applyAlignment="1">
      <alignment vertical="center" wrapText="1"/>
    </xf>
    <xf numFmtId="37" fontId="35" fillId="0" borderId="0" xfId="4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5" fillId="0" borderId="0" xfId="5" applyFont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24" fillId="0" borderId="22" xfId="0" applyNumberFormat="1" applyFont="1" applyBorder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14" fillId="0" borderId="0" xfId="0" applyNumberFormat="1" applyFont="1" applyAlignment="1">
      <alignment horizontal="center" vertical="center"/>
    </xf>
    <xf numFmtId="0" fontId="38" fillId="0" borderId="0" xfId="9" applyFont="1" applyAlignment="1">
      <alignment vertical="center" wrapText="1"/>
    </xf>
    <xf numFmtId="0" fontId="32" fillId="0" borderId="0" xfId="8" applyFont="1" applyAlignment="1">
      <alignment vertical="center" wrapText="1"/>
    </xf>
    <xf numFmtId="1" fontId="35" fillId="0" borderId="0" xfId="9" applyNumberFormat="1" applyFont="1" applyAlignment="1">
      <alignment horizontal="center" vertical="center" wrapText="1"/>
    </xf>
    <xf numFmtId="1" fontId="35" fillId="0" borderId="0" xfId="4" applyNumberFormat="1" applyFont="1" applyFill="1" applyBorder="1" applyAlignment="1">
      <alignment horizontal="center" vertical="center" wrapText="1"/>
    </xf>
    <xf numFmtId="49" fontId="32" fillId="0" borderId="0" xfId="0" applyNumberFormat="1" applyFont="1" applyAlignment="1">
      <alignment vertical="center"/>
    </xf>
    <xf numFmtId="0" fontId="35" fillId="0" borderId="0" xfId="8" applyFont="1" applyAlignment="1">
      <alignment horizontal="center" vertical="center" wrapText="1"/>
    </xf>
    <xf numFmtId="0" fontId="23" fillId="0" borderId="0" xfId="5" applyFont="1" applyAlignment="1">
      <alignment vertical="center"/>
    </xf>
    <xf numFmtId="0" fontId="36" fillId="0" borderId="0" xfId="0" applyFont="1" applyAlignment="1">
      <alignment horizontal="center" vertical="center" wrapText="1"/>
    </xf>
    <xf numFmtId="0" fontId="32" fillId="0" borderId="8" xfId="14" applyFont="1" applyBorder="1" applyAlignment="1">
      <alignment horizontal="left" vertical="center" wrapText="1"/>
    </xf>
    <xf numFmtId="1" fontId="35" fillId="0" borderId="0" xfId="5" applyNumberFormat="1" applyFont="1" applyAlignment="1">
      <alignment horizontal="center" vertical="center"/>
    </xf>
    <xf numFmtId="1" fontId="35" fillId="0" borderId="0" xfId="0" applyNumberFormat="1" applyFont="1" applyAlignment="1">
      <alignment horizontal="center" vertical="center" wrapText="1"/>
    </xf>
    <xf numFmtId="1" fontId="32" fillId="0" borderId="8" xfId="4" applyNumberFormat="1" applyFont="1" applyFill="1" applyBorder="1" applyAlignment="1">
      <alignment horizontal="center" vertical="center" wrapText="1"/>
    </xf>
    <xf numFmtId="1" fontId="32" fillId="0" borderId="15" xfId="4" applyNumberFormat="1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1" fontId="14" fillId="2" borderId="0" xfId="0" applyNumberFormat="1" applyFont="1" applyFill="1" applyAlignment="1">
      <alignment horizontal="center" vertical="center"/>
    </xf>
    <xf numFmtId="0" fontId="24" fillId="0" borderId="0" xfId="9" applyFont="1" applyAlignment="1">
      <alignment horizontal="center" vertical="center" wrapText="1"/>
    </xf>
    <xf numFmtId="0" fontId="24" fillId="2" borderId="0" xfId="9" applyFont="1" applyFill="1" applyAlignment="1">
      <alignment horizontal="center" vertical="center" wrapText="1"/>
    </xf>
    <xf numFmtId="0" fontId="23" fillId="0" borderId="26" xfId="5" applyFont="1" applyBorder="1" applyAlignment="1">
      <alignment horizontal="center" vertical="center"/>
    </xf>
    <xf numFmtId="0" fontId="45" fillId="0" borderId="0" xfId="0" applyFont="1" applyAlignment="1">
      <alignment horizontal="left" vertical="center" wrapText="1"/>
    </xf>
    <xf numFmtId="0" fontId="45" fillId="0" borderId="0" xfId="0" applyFont="1" applyAlignment="1">
      <alignment horizontal="center" vertical="center" wrapText="1"/>
    </xf>
    <xf numFmtId="37" fontId="37" fillId="0" borderId="0" xfId="4" applyNumberFormat="1" applyFont="1" applyFill="1" applyAlignment="1">
      <alignment horizontal="center" vertical="center" wrapText="1"/>
    </xf>
    <xf numFmtId="37" fontId="43" fillId="0" borderId="0" xfId="4" applyNumberFormat="1" applyFont="1" applyFill="1" applyAlignment="1">
      <alignment horizontal="center" vertical="center" wrapText="1"/>
    </xf>
    <xf numFmtId="1" fontId="35" fillId="0" borderId="0" xfId="4" applyNumberFormat="1" applyFont="1" applyFill="1" applyAlignment="1">
      <alignment horizontal="center" vertical="center" wrapText="1"/>
    </xf>
    <xf numFmtId="0" fontId="22" fillId="2" borderId="0" xfId="0" applyFont="1" applyFill="1"/>
    <xf numFmtId="0" fontId="22" fillId="2" borderId="26" xfId="0" applyFont="1" applyFill="1" applyBorder="1"/>
    <xf numFmtId="0" fontId="11" fillId="7" borderId="0" xfId="5" applyFont="1" applyFill="1"/>
    <xf numFmtId="0" fontId="28" fillId="7" borderId="25" xfId="11" applyFill="1" applyBorder="1" applyAlignment="1">
      <alignment horizontal="left"/>
    </xf>
    <xf numFmtId="3" fontId="28" fillId="7" borderId="25" xfId="11" applyNumberFormat="1" applyFill="1" applyBorder="1" applyAlignment="1">
      <alignment horizontal="right"/>
    </xf>
    <xf numFmtId="165" fontId="11" fillId="7" borderId="7" xfId="6" applyFont="1" applyFill="1" applyBorder="1" applyAlignment="1">
      <alignment vertical="center"/>
    </xf>
    <xf numFmtId="165" fontId="21" fillId="0" borderId="0" xfId="6" applyFont="1" applyFill="1" applyBorder="1" applyAlignment="1">
      <alignment horizontal="center" vertical="center"/>
    </xf>
    <xf numFmtId="165" fontId="13" fillId="0" borderId="0" xfId="6" applyFont="1" applyFill="1" applyBorder="1" applyAlignment="1">
      <alignment horizontal="center" vertical="center"/>
    </xf>
    <xf numFmtId="4" fontId="28" fillId="0" borderId="7" xfId="20" applyNumberFormat="1" applyFont="1" applyBorder="1" applyAlignment="1">
      <alignment horizontal="right"/>
    </xf>
    <xf numFmtId="0" fontId="47" fillId="0" borderId="0" xfId="0" applyFont="1" applyAlignment="1">
      <alignment horizontal="center" vertical="center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0" xfId="1" applyNumberFormat="1" applyFont="1" applyAlignment="1">
      <alignment vertical="center" wrapText="1" shrinkToFit="1"/>
    </xf>
    <xf numFmtId="0" fontId="31" fillId="0" borderId="0" xfId="0" applyFont="1"/>
    <xf numFmtId="0" fontId="47" fillId="0" borderId="0" xfId="0" applyFont="1"/>
    <xf numFmtId="0" fontId="25" fillId="0" borderId="0" xfId="16" applyFont="1" applyAlignment="1">
      <alignment horizontal="center" vertical="center"/>
    </xf>
    <xf numFmtId="1" fontId="25" fillId="0" borderId="0" xfId="16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0" fillId="0" borderId="0" xfId="0" applyFill="1"/>
    <xf numFmtId="2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/>
    </xf>
    <xf numFmtId="1" fontId="47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 wrapText="1"/>
    </xf>
    <xf numFmtId="164" fontId="47" fillId="0" borderId="0" xfId="0" applyNumberFormat="1" applyFont="1" applyFill="1" applyAlignment="1">
      <alignment horizontal="center" vertical="center"/>
    </xf>
    <xf numFmtId="2" fontId="47" fillId="0" borderId="0" xfId="0" applyNumberFormat="1" applyFont="1" applyFill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0" fontId="3" fillId="0" borderId="0" xfId="1" applyFont="1" applyFill="1" applyAlignment="1">
      <alignment horizontal="center" vertical="center" wrapText="1" shrinkToFit="1"/>
    </xf>
    <xf numFmtId="164" fontId="10" fillId="0" borderId="0" xfId="0" applyNumberFormat="1" applyFont="1" applyFill="1" applyAlignment="1">
      <alignment horizontal="center" vertical="center"/>
    </xf>
    <xf numFmtId="0" fontId="47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 wrapText="1"/>
    </xf>
    <xf numFmtId="164" fontId="47" fillId="0" borderId="23" xfId="0" applyNumberFormat="1" applyFont="1" applyFill="1" applyBorder="1" applyAlignment="1">
      <alignment horizontal="center" vertical="center"/>
    </xf>
    <xf numFmtId="4" fontId="0" fillId="0" borderId="0" xfId="0" applyNumberFormat="1" applyFill="1" applyAlignment="1">
      <alignment horizontal="center" vertical="center"/>
    </xf>
    <xf numFmtId="49" fontId="3" fillId="0" borderId="0" xfId="1" applyNumberFormat="1" applyFont="1" applyFill="1" applyAlignment="1">
      <alignment horizontal="center" vertical="center" wrapText="1" shrinkToFit="1"/>
    </xf>
    <xf numFmtId="0" fontId="8" fillId="0" borderId="0" xfId="5" applyFill="1" applyAlignment="1">
      <alignment horizontal="center"/>
    </xf>
    <xf numFmtId="49" fontId="3" fillId="0" borderId="0" xfId="1" applyNumberFormat="1" applyFont="1" applyFill="1" applyAlignment="1">
      <alignment horizontal="center" vertical="center"/>
    </xf>
    <xf numFmtId="49" fontId="3" fillId="0" borderId="0" xfId="2" applyNumberFormat="1" applyFont="1" applyFill="1" applyAlignment="1">
      <alignment horizontal="center" vertical="center" wrapText="1" shrinkToFit="1"/>
    </xf>
    <xf numFmtId="0" fontId="3" fillId="0" borderId="0" xfId="2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horizontal="center" vertical="center" wrapText="1" shrinkToFit="1"/>
    </xf>
    <xf numFmtId="0" fontId="0" fillId="0" borderId="0" xfId="0" applyFill="1" applyAlignment="1">
      <alignment wrapText="1"/>
    </xf>
    <xf numFmtId="0" fontId="47" fillId="0" borderId="23" xfId="0" applyFont="1" applyFill="1" applyBorder="1" applyAlignment="1">
      <alignment horizontal="center" vertical="center"/>
    </xf>
    <xf numFmtId="49" fontId="5" fillId="0" borderId="0" xfId="2" applyNumberFormat="1" applyFont="1" applyFill="1" applyAlignment="1">
      <alignment horizontal="center" vertical="center" wrapText="1" shrinkToFit="1"/>
    </xf>
    <xf numFmtId="49" fontId="3" fillId="0" borderId="0" xfId="2" applyNumberFormat="1" applyFont="1" applyFill="1" applyAlignment="1">
      <alignment horizontal="center" vertical="center"/>
    </xf>
    <xf numFmtId="2" fontId="42" fillId="0" borderId="0" xfId="0" applyNumberFormat="1" applyFont="1" applyFill="1" applyAlignment="1">
      <alignment horizontal="center" vertical="center"/>
    </xf>
    <xf numFmtId="0" fontId="42" fillId="0" borderId="0" xfId="0" applyFont="1" applyFill="1" applyAlignment="1">
      <alignment horizontal="center" vertical="center"/>
    </xf>
    <xf numFmtId="0" fontId="47" fillId="0" borderId="24" xfId="0" applyFont="1" applyFill="1" applyBorder="1" applyAlignment="1">
      <alignment horizontal="center" vertical="center"/>
    </xf>
    <xf numFmtId="164" fontId="47" fillId="0" borderId="24" xfId="0" applyNumberFormat="1" applyFont="1" applyFill="1" applyBorder="1" applyAlignment="1">
      <alignment horizontal="center" vertical="center"/>
    </xf>
    <xf numFmtId="0" fontId="23" fillId="0" borderId="0" xfId="5" applyFont="1" applyFill="1" applyAlignment="1">
      <alignment horizontal="center" vertical="center" wrapText="1"/>
    </xf>
    <xf numFmtId="0" fontId="24" fillId="0" borderId="0" xfId="5" applyFont="1" applyFill="1" applyAlignment="1">
      <alignment horizontal="center" vertical="center"/>
    </xf>
    <xf numFmtId="0" fontId="24" fillId="0" borderId="0" xfId="5" applyFont="1" applyFill="1" applyAlignment="1">
      <alignment horizontal="center" vertical="center" wrapText="1"/>
    </xf>
    <xf numFmtId="1" fontId="24" fillId="0" borderId="0" xfId="5" applyNumberFormat="1" applyFont="1" applyFill="1" applyAlignment="1">
      <alignment horizontal="center" vertical="center" wrapText="1"/>
    </xf>
    <xf numFmtId="164" fontId="24" fillId="0" borderId="0" xfId="5" applyNumberFormat="1" applyFont="1" applyFill="1" applyAlignment="1">
      <alignment horizontal="center" vertical="center" wrapText="1"/>
    </xf>
    <xf numFmtId="0" fontId="23" fillId="0" borderId="26" xfId="5" applyFont="1" applyFill="1" applyBorder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0" fontId="35" fillId="0" borderId="0" xfId="0" applyFont="1" applyFill="1" applyAlignment="1">
      <alignment horizontal="center" vertical="center"/>
    </xf>
    <xf numFmtId="0" fontId="24" fillId="0" borderId="0" xfId="5" applyFont="1" applyBorder="1" applyAlignment="1">
      <alignment horizontal="center" vertical="center"/>
    </xf>
    <xf numFmtId="0" fontId="24" fillId="0" borderId="0" xfId="5" applyFont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 wrapText="1"/>
    </xf>
    <xf numFmtId="0" fontId="23" fillId="0" borderId="0" xfId="5" applyFont="1" applyBorder="1" applyAlignment="1">
      <alignment horizontal="center" vertical="center" wrapText="1"/>
    </xf>
    <xf numFmtId="9" fontId="23" fillId="0" borderId="0" xfId="3" applyFont="1" applyFill="1" applyBorder="1" applyAlignment="1">
      <alignment horizontal="center" vertical="center" wrapText="1"/>
    </xf>
    <xf numFmtId="1" fontId="32" fillId="0" borderId="0" xfId="0" applyNumberFormat="1" applyFont="1" applyBorder="1" applyAlignment="1">
      <alignment horizontal="center" vertical="center"/>
    </xf>
    <xf numFmtId="0" fontId="32" fillId="0" borderId="0" xfId="0" applyFont="1" applyFill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37" fontId="32" fillId="0" borderId="0" xfId="4" applyNumberFormat="1" applyFont="1" applyFill="1" applyBorder="1" applyAlignment="1">
      <alignment vertical="center" wrapText="1"/>
    </xf>
    <xf numFmtId="164" fontId="24" fillId="0" borderId="0" xfId="5" applyNumberFormat="1" applyFont="1" applyBorder="1" applyAlignment="1">
      <alignment horizontal="center" vertical="center"/>
    </xf>
    <xf numFmtId="37" fontId="23" fillId="0" borderId="0" xfId="6" applyNumberFormat="1" applyFont="1" applyFill="1" applyBorder="1" applyAlignment="1">
      <alignment horizontal="center" vertical="center" wrapText="1"/>
    </xf>
    <xf numFmtId="0" fontId="24" fillId="0" borderId="0" xfId="16" applyFont="1" applyBorder="1" applyAlignment="1">
      <alignment horizontal="center" vertical="center" wrapText="1"/>
    </xf>
    <xf numFmtId="0" fontId="41" fillId="4" borderId="0" xfId="9" applyFont="1" applyFill="1" applyBorder="1" applyAlignment="1">
      <alignment horizontal="center" vertical="center" wrapText="1"/>
    </xf>
    <xf numFmtId="0" fontId="23" fillId="0" borderId="0" xfId="9" applyFont="1" applyBorder="1" applyAlignment="1">
      <alignment horizontal="center" vertical="center" wrapText="1"/>
    </xf>
    <xf numFmtId="1" fontId="23" fillId="0" borderId="0" xfId="9" applyNumberFormat="1" applyFont="1" applyBorder="1" applyAlignment="1">
      <alignment horizontal="center" vertical="center" wrapText="1"/>
    </xf>
    <xf numFmtId="44" fontId="41" fillId="5" borderId="0" xfId="10" applyFont="1" applyFill="1" applyBorder="1" applyAlignment="1">
      <alignment horizontal="center" vertical="center" wrapText="1"/>
    </xf>
    <xf numFmtId="0" fontId="23" fillId="0" borderId="0" xfId="9" applyFont="1" applyFill="1" applyBorder="1" applyAlignment="1">
      <alignment horizontal="center" vertical="center" wrapText="1"/>
    </xf>
    <xf numFmtId="49" fontId="3" fillId="0" borderId="1" xfId="1" applyNumberFormat="1" applyFont="1" applyFill="1" applyBorder="1" applyAlignment="1">
      <alignment horizontal="center" vertical="center"/>
    </xf>
    <xf numFmtId="49" fontId="3" fillId="0" borderId="1" xfId="1" applyNumberFormat="1" applyFont="1" applyFill="1" applyBorder="1" applyAlignment="1">
      <alignment horizontal="center" vertical="center" wrapText="1" shrinkToFit="1"/>
    </xf>
    <xf numFmtId="49" fontId="3" fillId="0" borderId="2" xfId="1" applyNumberFormat="1" applyFont="1" applyFill="1" applyBorder="1" applyAlignment="1">
      <alignment horizontal="center" vertical="center"/>
    </xf>
    <xf numFmtId="49" fontId="3" fillId="0" borderId="2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 wrapText="1" shrinkToFit="1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 wrapText="1" shrinkToFit="1"/>
    </xf>
    <xf numFmtId="0" fontId="3" fillId="0" borderId="1" xfId="2" applyFont="1" applyFill="1" applyBorder="1" applyAlignment="1">
      <alignment horizontal="center" vertical="center" wrapText="1"/>
    </xf>
    <xf numFmtId="49" fontId="3" fillId="0" borderId="4" xfId="2" applyNumberFormat="1" applyFont="1" applyFill="1" applyBorder="1" applyAlignment="1">
      <alignment horizontal="center" vertical="center" wrapText="1" shrinkToFit="1"/>
    </xf>
    <xf numFmtId="49" fontId="3" fillId="0" borderId="1" xfId="0" applyNumberFormat="1" applyFont="1" applyFill="1" applyBorder="1" applyAlignment="1">
      <alignment horizontal="center" vertical="center" wrapText="1" shrinkToFit="1"/>
    </xf>
    <xf numFmtId="49" fontId="3" fillId="0" borderId="5" xfId="2" applyNumberFormat="1" applyFont="1" applyFill="1" applyBorder="1" applyAlignment="1">
      <alignment horizontal="center" vertical="center" wrapText="1" shrinkToFit="1"/>
    </xf>
    <xf numFmtId="0" fontId="4" fillId="0" borderId="3" xfId="2" applyFont="1" applyFill="1" applyBorder="1" applyAlignment="1">
      <alignment horizontal="center" vertical="center" wrapText="1"/>
    </xf>
    <xf numFmtId="49" fontId="5" fillId="0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Fill="1" applyBorder="1" applyAlignment="1">
      <alignment horizontal="center" vertical="center"/>
    </xf>
    <xf numFmtId="49" fontId="3" fillId="0" borderId="6" xfId="2" applyNumberFormat="1" applyFont="1" applyFill="1" applyBorder="1" applyAlignment="1">
      <alignment horizontal="center" vertical="center" wrapText="1" shrinkToFit="1"/>
    </xf>
    <xf numFmtId="0" fontId="2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5" applyFont="1" applyAlignment="1">
      <alignment horizontal="center" vertical="center"/>
    </xf>
    <xf numFmtId="0" fontId="24" fillId="0" borderId="0" xfId="5" applyFont="1" applyAlignment="1">
      <alignment horizontal="center" vertical="center"/>
    </xf>
    <xf numFmtId="0" fontId="24" fillId="0" borderId="26" xfId="5" applyFont="1" applyBorder="1" applyAlignment="1">
      <alignment horizontal="center" vertical="center"/>
    </xf>
    <xf numFmtId="165" fontId="11" fillId="4" borderId="12" xfId="6" applyFont="1" applyFill="1" applyBorder="1" applyAlignment="1">
      <alignment horizontal="center" vertical="center"/>
    </xf>
    <xf numFmtId="165" fontId="11" fillId="4" borderId="13" xfId="6" applyFont="1" applyFill="1" applyBorder="1" applyAlignment="1">
      <alignment horizontal="center" vertical="center"/>
    </xf>
    <xf numFmtId="165" fontId="11" fillId="4" borderId="14" xfId="6" applyFont="1" applyFill="1" applyBorder="1" applyAlignment="1">
      <alignment horizontal="center" vertical="center"/>
    </xf>
    <xf numFmtId="0" fontId="11" fillId="0" borderId="9" xfId="5" applyFont="1" applyBorder="1" applyAlignment="1">
      <alignment horizontal="center" vertical="center" wrapText="1"/>
    </xf>
    <xf numFmtId="0" fontId="11" fillId="0" borderId="10" xfId="5" applyFont="1" applyBorder="1" applyAlignment="1">
      <alignment horizontal="center" vertical="center" wrapText="1"/>
    </xf>
    <xf numFmtId="0" fontId="11" fillId="0" borderId="7" xfId="5" applyFont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29" fillId="0" borderId="26" xfId="0" applyFont="1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168" fontId="47" fillId="8" borderId="27" xfId="0" applyNumberFormat="1" applyFont="1" applyFill="1" applyBorder="1" applyAlignment="1">
      <alignment horizontal="center" vertical="center"/>
    </xf>
    <xf numFmtId="0" fontId="47" fillId="8" borderId="27" xfId="0" applyFont="1" applyFill="1" applyBorder="1" applyAlignment="1">
      <alignment horizontal="center" vertical="center"/>
    </xf>
    <xf numFmtId="2" fontId="47" fillId="8" borderId="27" xfId="0" applyNumberFormat="1" applyFont="1" applyFill="1" applyBorder="1" applyAlignment="1">
      <alignment horizontal="center" vertical="center"/>
    </xf>
    <xf numFmtId="49" fontId="3" fillId="8" borderId="0" xfId="2" applyNumberFormat="1" applyFont="1" applyFill="1" applyAlignment="1">
      <alignment horizontal="center" vertical="center" wrapText="1" shrinkToFit="1"/>
    </xf>
    <xf numFmtId="0" fontId="47" fillId="8" borderId="0" xfId="0" applyFont="1" applyFill="1" applyAlignment="1">
      <alignment horizontal="center" vertical="center"/>
    </xf>
    <xf numFmtId="1" fontId="47" fillId="8" borderId="0" xfId="0" applyNumberFormat="1" applyFont="1" applyFill="1" applyAlignment="1">
      <alignment horizontal="center" vertical="center"/>
    </xf>
    <xf numFmtId="0" fontId="47" fillId="8" borderId="0" xfId="0" applyFont="1" applyFill="1" applyAlignment="1">
      <alignment horizontal="left" vertical="center"/>
    </xf>
    <xf numFmtId="164" fontId="10" fillId="8" borderId="0" xfId="0" applyNumberFormat="1" applyFont="1" applyFill="1" applyAlignment="1">
      <alignment horizontal="center" vertical="center"/>
    </xf>
    <xf numFmtId="164" fontId="47" fillId="8" borderId="0" xfId="0" applyNumberFormat="1" applyFont="1" applyFill="1" applyAlignment="1">
      <alignment horizontal="center" vertical="center"/>
    </xf>
    <xf numFmtId="2" fontId="47" fillId="8" borderId="0" xfId="0" applyNumberFormat="1" applyFont="1" applyFill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7" fontId="0" fillId="8" borderId="0" xfId="0" applyNumberFormat="1" applyFill="1" applyAlignment="1">
      <alignment horizontal="center" vertical="center"/>
    </xf>
    <xf numFmtId="0" fontId="0" fillId="8" borderId="0" xfId="0" applyFill="1"/>
  </cellXfs>
  <cellStyles count="21">
    <cellStyle name="Акцент2" xfId="12" builtinId="33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3" xr:uid="{8B22946B-322D-4639-9404-8245A3003F1B}"/>
    <cellStyle name="Обычный 3" xfId="11" xr:uid="{45236EC3-DC12-4417-ADFE-FBE33C2A107A}"/>
    <cellStyle name="Обычный 3 2" xfId="15" xr:uid="{0C70071A-CE1C-4758-B953-25B2360E1997}"/>
    <cellStyle name="Обычный 3 3" xfId="2" xr:uid="{E0CA8A71-8E0F-476F-AFD7-F3F57B223954}"/>
    <cellStyle name="Обычный 3 3 2" xfId="16" xr:uid="{F24E42CE-7402-489F-BAE3-BC203553732E}"/>
    <cellStyle name="Обычный 4" xfId="18" xr:uid="{D2FA2283-4D1B-4CBF-A64D-A3378CB455DD}"/>
    <cellStyle name="Обычный 4 2" xfId="9" xr:uid="{B5861F6D-F797-49D1-AB30-C21CFA04772A}"/>
    <cellStyle name="Обычный 5" xfId="1" xr:uid="{4235459B-9582-4D42-8758-847FA99569C1}"/>
    <cellStyle name="Обычный 6" xfId="19" xr:uid="{473D696B-F8C2-4161-A3C5-830AFCD22929}"/>
    <cellStyle name="Обычный 6 2" xfId="14" xr:uid="{12CC042B-0F86-48CD-AEFD-E04D4BED6C76}"/>
    <cellStyle name="Обычный 7 3" xfId="17" xr:uid="{08CA1EC6-2FB4-4420-98CC-0692E3A3181E}"/>
    <cellStyle name="Обычный_комплекты фурнитуры" xfId="20" xr:uid="{43F9CA13-74A4-405C-90FC-9686223E8014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354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2" formatCode="0.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168" formatCode="0.000000"/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2499465926084170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none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  <charset val="204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7" formatCode="0.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26" Type="http://schemas.openxmlformats.org/officeDocument/2006/relationships/image" Target="../media/image39.emf"/><Relationship Id="rId21" Type="http://schemas.openxmlformats.org/officeDocument/2006/relationships/image" Target="../media/image35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63" Type="http://schemas.openxmlformats.org/officeDocument/2006/relationships/image" Target="../media/image74.emf"/><Relationship Id="rId68" Type="http://schemas.openxmlformats.org/officeDocument/2006/relationships/image" Target="../media/image9.emf"/><Relationship Id="rId2" Type="http://schemas.openxmlformats.org/officeDocument/2006/relationships/image" Target="../media/image18.emf"/><Relationship Id="rId16" Type="http://schemas.openxmlformats.org/officeDocument/2006/relationships/image" Target="../media/image30.emf"/><Relationship Id="rId29" Type="http://schemas.openxmlformats.org/officeDocument/2006/relationships/image" Target="../media/image42.emf"/><Relationship Id="rId11" Type="http://schemas.openxmlformats.org/officeDocument/2006/relationships/image" Target="../media/image25.emf"/><Relationship Id="rId24" Type="http://schemas.openxmlformats.org/officeDocument/2006/relationships/image" Target="../media/image38.emf"/><Relationship Id="rId32" Type="http://schemas.openxmlformats.org/officeDocument/2006/relationships/image" Target="../media/image45.emf"/><Relationship Id="rId37" Type="http://schemas.openxmlformats.org/officeDocument/2006/relationships/image" Target="../media/image50.emf"/><Relationship Id="rId40" Type="http://schemas.openxmlformats.org/officeDocument/2006/relationships/image" Target="../media/image51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66" Type="http://schemas.openxmlformats.org/officeDocument/2006/relationships/image" Target="../media/image76.emf"/><Relationship Id="rId74" Type="http://schemas.openxmlformats.org/officeDocument/2006/relationships/image" Target="../media/image3.emf"/><Relationship Id="rId5" Type="http://schemas.openxmlformats.org/officeDocument/2006/relationships/image" Target="../media/image21.emf"/><Relationship Id="rId61" Type="http://schemas.openxmlformats.org/officeDocument/2006/relationships/image" Target="../media/image72.emf"/><Relationship Id="rId19" Type="http://schemas.openxmlformats.org/officeDocument/2006/relationships/image" Target="../media/image33.emf"/><Relationship Id="rId14" Type="http://schemas.openxmlformats.org/officeDocument/2006/relationships/image" Target="../media/image28.emf"/><Relationship Id="rId22" Type="http://schemas.openxmlformats.org/officeDocument/2006/relationships/image" Target="../media/image36.emf"/><Relationship Id="rId27" Type="http://schemas.openxmlformats.org/officeDocument/2006/relationships/image" Target="../media/image40.emf"/><Relationship Id="rId30" Type="http://schemas.openxmlformats.org/officeDocument/2006/relationships/image" Target="../media/image43.emf"/><Relationship Id="rId35" Type="http://schemas.openxmlformats.org/officeDocument/2006/relationships/image" Target="../media/image48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11.emf"/><Relationship Id="rId69" Type="http://schemas.openxmlformats.org/officeDocument/2006/relationships/image" Target="../media/image8.emf"/><Relationship Id="rId8" Type="http://schemas.openxmlformats.org/officeDocument/2006/relationships/image" Target="../media/image15.emf"/><Relationship Id="rId51" Type="http://schemas.openxmlformats.org/officeDocument/2006/relationships/image" Target="../media/image62.emf"/><Relationship Id="rId72" Type="http://schemas.openxmlformats.org/officeDocument/2006/relationships/image" Target="../media/image5.emf"/><Relationship Id="rId3" Type="http://schemas.openxmlformats.org/officeDocument/2006/relationships/image" Target="../media/image19.emf"/><Relationship Id="rId12" Type="http://schemas.openxmlformats.org/officeDocument/2006/relationships/image" Target="../media/image26.emf"/><Relationship Id="rId17" Type="http://schemas.openxmlformats.org/officeDocument/2006/relationships/image" Target="../media/image31.emf"/><Relationship Id="rId25" Type="http://schemas.openxmlformats.org/officeDocument/2006/relationships/image" Target="../media/image14.emf"/><Relationship Id="rId33" Type="http://schemas.openxmlformats.org/officeDocument/2006/relationships/image" Target="../media/image46.emf"/><Relationship Id="rId38" Type="http://schemas.openxmlformats.org/officeDocument/2006/relationships/image" Target="../media/image13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67" Type="http://schemas.openxmlformats.org/officeDocument/2006/relationships/image" Target="../media/image10.emf"/><Relationship Id="rId20" Type="http://schemas.openxmlformats.org/officeDocument/2006/relationships/image" Target="../media/image34.emf"/><Relationship Id="rId41" Type="http://schemas.openxmlformats.org/officeDocument/2006/relationships/image" Target="../media/image5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70" Type="http://schemas.openxmlformats.org/officeDocument/2006/relationships/image" Target="../media/image7.emf"/><Relationship Id="rId75" Type="http://schemas.openxmlformats.org/officeDocument/2006/relationships/image" Target="../media/image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5" Type="http://schemas.openxmlformats.org/officeDocument/2006/relationships/image" Target="../media/image29.emf"/><Relationship Id="rId23" Type="http://schemas.openxmlformats.org/officeDocument/2006/relationships/image" Target="../media/image37.emf"/><Relationship Id="rId28" Type="http://schemas.openxmlformats.org/officeDocument/2006/relationships/image" Target="../media/image41.emf"/><Relationship Id="rId36" Type="http://schemas.openxmlformats.org/officeDocument/2006/relationships/image" Target="../media/image49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4.emf"/><Relationship Id="rId31" Type="http://schemas.openxmlformats.org/officeDocument/2006/relationships/image" Target="../media/image44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65" Type="http://schemas.openxmlformats.org/officeDocument/2006/relationships/image" Target="../media/image75.emf"/><Relationship Id="rId73" Type="http://schemas.openxmlformats.org/officeDocument/2006/relationships/image" Target="../media/image4.emf"/><Relationship Id="rId4" Type="http://schemas.openxmlformats.org/officeDocument/2006/relationships/image" Target="../media/image20.emf"/><Relationship Id="rId9" Type="http://schemas.openxmlformats.org/officeDocument/2006/relationships/image" Target="../media/image23.emf"/><Relationship Id="rId13" Type="http://schemas.openxmlformats.org/officeDocument/2006/relationships/image" Target="../media/image27.emf"/><Relationship Id="rId18" Type="http://schemas.openxmlformats.org/officeDocument/2006/relationships/image" Target="../media/image32.emf"/><Relationship Id="rId39" Type="http://schemas.openxmlformats.org/officeDocument/2006/relationships/image" Target="../media/image12.emf"/><Relationship Id="rId34" Type="http://schemas.openxmlformats.org/officeDocument/2006/relationships/image" Target="../media/image47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76" Type="http://schemas.openxmlformats.org/officeDocument/2006/relationships/image" Target="../media/image1.emf"/><Relationship Id="rId7" Type="http://schemas.openxmlformats.org/officeDocument/2006/relationships/image" Target="../media/image16.emf"/><Relationship Id="rId7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1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0</xdr:col>
          <xdr:colOff>2076450</xdr:colOff>
          <xdr:row>3</xdr:row>
          <xdr:rowOff>19050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3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Не нажимайте эту кнопку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5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5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5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5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5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5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5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5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5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5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5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5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5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5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5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5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5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5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5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5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5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5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5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5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5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5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5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5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5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5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5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VU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5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5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5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5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5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5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5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5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5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5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5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5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_595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_595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5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_595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5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5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5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5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5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5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5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5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5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5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1666875</xdr:colOff>
          <xdr:row>55</xdr:row>
          <xdr:rowOff>57150</xdr:rowOff>
        </xdr:from>
        <xdr:to>
          <xdr:col>2</xdr:col>
          <xdr:colOff>0</xdr:colOff>
          <xdr:row>55</xdr:row>
          <xdr:rowOff>2152650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5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5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5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5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5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5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5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5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5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14" name="EMN1W1B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5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0</xdr:row>
          <xdr:rowOff>2152650</xdr:rowOff>
        </xdr:to>
        <xdr:sp macro="" textlink="">
          <xdr:nvSpPr>
            <xdr:cNvPr id="5215" name="Image1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5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0</xdr:row>
          <xdr:rowOff>2152650</xdr:rowOff>
        </xdr:to>
        <xdr:sp macro="" textlink="">
          <xdr:nvSpPr>
            <xdr:cNvPr id="5216" name="Image2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5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0</xdr:rowOff>
        </xdr:from>
        <xdr:to>
          <xdr:col>9</xdr:col>
          <xdr:colOff>0</xdr:colOff>
          <xdr:row>2</xdr:row>
          <xdr:rowOff>0</xdr:rowOff>
        </xdr:to>
        <xdr:sp macro="" textlink="">
          <xdr:nvSpPr>
            <xdr:cNvPr id="5218" name="Image4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5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5221" name="Image7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5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5223" name="Image9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5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7</xdr:row>
          <xdr:rowOff>419100</xdr:rowOff>
        </xdr:from>
        <xdr:to>
          <xdr:col>26</xdr:col>
          <xdr:colOff>600075</xdr:colOff>
          <xdr:row>7</xdr:row>
          <xdr:rowOff>1390650</xdr:rowOff>
        </xdr:to>
        <xdr:sp macro="" textlink="">
          <xdr:nvSpPr>
            <xdr:cNvPr id="5224" name="Image10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5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5236" name="Image12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5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5237" name="Image13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5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6</xdr:col>
          <xdr:colOff>2705100</xdr:colOff>
          <xdr:row>2</xdr:row>
          <xdr:rowOff>0</xdr:rowOff>
        </xdr:to>
        <xdr:sp macro="" textlink="">
          <xdr:nvSpPr>
            <xdr:cNvPr id="5238" name="Image14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5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2152650</xdr:rowOff>
        </xdr:from>
        <xdr:to>
          <xdr:col>9</xdr:col>
          <xdr:colOff>0</xdr:colOff>
          <xdr:row>2</xdr:row>
          <xdr:rowOff>2152650</xdr:rowOff>
        </xdr:to>
        <xdr:sp macro="" textlink="">
          <xdr:nvSpPr>
            <xdr:cNvPr id="5254" name="Image3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5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799DAF6-E026-4400-94BF-576D8A6E2650}" name="Заказ_Столешницы" displayName="Заказ_Столешницы" ref="AM1:AX2" insertRow="1" totalsRowShown="0" headerRowDxfId="353" dataDxfId="352">
  <autoFilter ref="AM1:AX2" xr:uid="{50882B67-AB0E-4D1D-8D9B-BE8647CCB6FD}"/>
  <tableColumns count="12">
    <tableColumn id="1" xr3:uid="{AB9309C7-916F-4410-927D-65E7F138D39B}" name="Производитель" dataDxfId="351"/>
    <tableColumn id="2" xr3:uid="{4A617402-528F-46E5-A036-41A981B1F9C2}" name="Цвет столешницы" dataDxfId="350"/>
    <tableColumn id="3" xr3:uid="{7E83CC28-4BF8-4821-BD20-3A155D8FBBA0}" name="Толщина столешницы" dataDxfId="349"/>
    <tableColumn id="4" xr3:uid="{23FB6F5B-ABA1-493A-B0F4-F98FB1279AC7}" name="Высота" dataDxfId="348"/>
    <tableColumn id="5" xr3:uid="{9617D37E-E178-4DF8-B4F9-E9F6B35D70F0}" name="Ширина" dataDxfId="347"/>
    <tableColumn id="6" xr3:uid="{F99DEE5C-2A09-4283-A052-751C1D484B98}" name="Кол-во" dataDxfId="346"/>
    <tableColumn id="7" xr3:uid="{7C67B403-402E-4279-8756-5534CE901F71}" name="Стоимость" dataDxfId="345"/>
    <tableColumn id="8" xr3:uid="{DE827B77-C015-4F7C-9561-DC7B7E06C834}" name="Тип изделия" dataDxfId="344"/>
    <tableColumn id="11" xr3:uid="{7D1A4AF0-682E-454E-95FA-F19A038B98AC}" name="Соединенное название" dataDxfId="343">
      <calculatedColumnFormula>CONCATENATE(Заказ_Столешницы[[#This Row],[Цвет столешницы]]," ",Заказ_Столешницы[[#This Row],[Толщина столешницы]]," ",Заказ_Столешницы[[#This Row],[Высота]]," ",Заказ_Столешницы[[#This Row],[Ширина]])</calculatedColumnFormula>
    </tableColumn>
    <tableColumn id="9" xr3:uid="{47593099-BEF0-47F6-833F-77639586EBB9}" name="Цена в БЗ" dataDxfId="342"/>
    <tableColumn id="10" xr3:uid="{FF39069D-8257-44A2-935B-26CCD85A24C5}" name="разница" dataDxfId="341">
      <calculatedColumnFormula>Заказ_Столешницы[[#This Row],[Стоимость]]-Заказ_Столешницы[[#This Row],[Цена в БЗ]]</calculatedColumnFormula>
    </tableColumn>
    <tableColumn id="12" xr3:uid="{CCBFEBC7-3BC8-4BBE-A189-6EEAFB13A19A}" name="Столбец1" dataDxfId="34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C9C08A99-B6E7-4122-BAF4-057674EEA6A0}" name="Корзина" displayName="Корзина" ref="A1:AK10" totalsRowCount="1" headerRowDxfId="339" dataDxfId="338" totalsRowDxfId="337">
  <autoFilter ref="A1:AK9" xr:uid="{D4F3A028-0284-448B-B761-F4C0DA488444}"/>
  <tableColumns count="37">
    <tableColumn id="1" xr3:uid="{F0A3A166-C71E-4793-971B-C7C869A38586}" name="Номенклатура" totalsRowLabel="Итог" dataDxfId="73" totalsRowDxfId="36"/>
    <tableColumn id="2" xr3:uid="{14C56F4F-0BD4-4F7E-A128-4C2F13DB8A91}" name="Высота" dataDxfId="72" totalsRowDxfId="35"/>
    <tableColumn id="3" xr3:uid="{D73426A4-75B1-4C20-A0B4-011D2BCA1401}" name="Ширина" dataDxfId="71" totalsRowDxfId="34"/>
    <tableColumn id="4" xr3:uid="{79CFF19D-8BBC-4F3C-B3E3-817BB88976A9}" name="Глубина" dataDxfId="70" totalsRowDxfId="33"/>
    <tableColumn id="5" xr3:uid="{F410BBC7-11BF-4D28-8EA8-630351096329}" name="Кол-во" dataDxfId="69" totalsRowDxfId="32"/>
    <tableColumn id="6" xr3:uid="{1E965EDE-A5A3-454A-8C51-8038C859CA6B}" name="Цена корпуса" dataDxfId="68" totalsRowDxfId="31"/>
    <tableColumn id="7" xr3:uid="{1D000012-8CFA-4AD8-A139-5055E52408C1}" name="Фасады,м2" dataDxfId="67" totalsRowDxfId="30"/>
    <tableColumn id="8" xr3:uid="{1F99D6E9-8648-4093-AD1E-6AAB21A6A588}" name="Полки,шт." dataDxfId="66" totalsRowDxfId="29"/>
    <tableColumn id="9" xr3:uid="{008842F8-E15F-4628-8665-52915F6B238A}" name="Полки,м2" dataDxfId="65" totalsRowDxfId="28"/>
    <tableColumn id="10" xr3:uid="{72C4C2FE-3783-4EDC-9888-BF40CCC67A74}" name="Цена фасадов" totalsRowFunction="sum" dataDxfId="64" totalsRowDxfId="27"/>
    <tableColumn id="11" xr3:uid="{9542C532-BD13-4262-AC9B-98E5E9190658}" name="Цена полок" dataDxfId="63" totalsRowDxfId="26"/>
    <tableColumn id="12" xr3:uid="{541F47E4-54FF-4B17-9EDB-CE83A8207855}" name="Цена Gola" dataDxfId="62" totalsRowDxfId="25"/>
    <tableColumn id="13" xr3:uid="{E4BF8AF3-5878-4306-9302-1DD74A7281E3}" name="Базовая цена корпуса" dataDxfId="61" totalsRowDxfId="24"/>
    <tableColumn id="14" xr3:uid="{513E0445-CBC6-44F4-B75C-413DC05EA4F6}" name="Базовая ширина" dataDxfId="60" totalsRowDxfId="23"/>
    <tableColumn id="15" xr3:uid="{622F3394-78F4-4AAB-A618-D7708E01A17A}" name="Тип фасада" dataDxfId="59" totalsRowDxfId="22"/>
    <tableColumn id="16" xr3:uid="{E43C7A27-020B-4030-85C3-14A25B76C855}" name="Комплектация" dataDxfId="58" totalsRowDxfId="21"/>
    <tableColumn id="17" xr3:uid="{AAE3D4E5-5335-4441-AABB-A65CDA50A424}" name="Тип модуля" dataDxfId="57" totalsRowDxfId="20"/>
    <tableColumn id="18" xr3:uid="{0A2944F9-6F06-4339-B03F-99A92B2D33AA}" name="Коллекция" dataDxfId="56" totalsRowDxfId="19"/>
    <tableColumn id="19" xr3:uid="{FA556B25-F46D-4047-BFD5-F2A2632786B8}" name="Цвет" dataDxfId="55" totalsRowDxfId="18"/>
    <tableColumn id="20" xr3:uid="{E505D075-77FB-40FA-BEBA-76A54C632A0D}" name="Фрезеровка" dataDxfId="54" totalsRowDxfId="17"/>
    <tableColumn id="21" xr3:uid="{520BD359-FDF6-4D15-8132-71DC84F9D1E1}" name="Толщина" dataDxfId="53" totalsRowDxfId="16"/>
    <tableColumn id="22" xr3:uid="{155175C1-709B-44A5-A87C-731DC707BA78}" name="Уровень модуля" dataDxfId="52" totalsRowDxfId="15"/>
    <tableColumn id="24" xr3:uid="{31EFA54E-0EC2-4CF7-8490-76F9A72947BE}" name="Базовый комплект" dataDxfId="51" totalsRowDxfId="14"/>
    <tableColumn id="25" xr3:uid="{6550ED8A-7CE4-44AB-A2A6-6A59A27EC6F9}" name="Добавочная цена от комплектации" dataDxfId="50" totalsRowDxfId="13"/>
    <tableColumn id="26" xr3:uid="{62BB0178-4E77-45BB-A098-5A9D949E26CB}" name="Цвет стекла для витрины" dataDxfId="49" totalsRowDxfId="12"/>
    <tableColumn id="27" xr3:uid="{47DFB4BE-A8B8-4D08-8CC3-02635B1CF0A2}" name="Цена стекла для витрины" dataDxfId="48" totalsRowDxfId="11"/>
    <tableColumn id="28" xr3:uid="{7B90050A-5771-448A-9A99-D29756B2146E}" name="Материал полок" dataDxfId="47" totalsRowDxfId="10"/>
    <tableColumn id="23" xr3:uid="{57F0F273-8251-4FD0-AD94-F6B8096309B7}" name="Цена корпус + полки" totalsRowFunction="sum" dataDxfId="46" totalsRowDxfId="9"/>
    <tableColumn id="29" xr3:uid="{1DF9111C-1FF4-411F-A95D-B3D320292BB0}" name="Материал корпуса" dataDxfId="45" totalsRowDxfId="8"/>
    <tableColumn id="33" xr3:uid="{7AE51AAC-5CE7-4197-897E-5D68087AF0ED}" name="Тип фрезеровки" dataDxfId="44" totalsRowDxfId="7"/>
    <tableColumn id="34" xr3:uid="{E533F9DE-178F-47CE-9E39-37301A8787EE}" name="Скидка для фрезеровки" dataDxfId="43" totalsRowDxfId="6"/>
    <tableColumn id="36" xr3:uid="{4B09365C-11CD-457A-BA91-B4B666DF8B98}" name="Кол-во фасадов в модуле" dataDxfId="42" totalsRowDxfId="5"/>
    <tableColumn id="30" xr3:uid="{C42A45FA-7AD1-4653-8909-A46904F7D461}" name="Соединенное название" dataDxfId="41" totalsRowDxfId="4">
      <calculatedColumnFormula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calculatedColumnFormula>
    </tableColumn>
    <tableColumn id="35" xr3:uid="{E822A2AC-8DAE-4F98-BE80-F41EB027F067}" name="Комплектация для вывода на экран" dataDxfId="40" totalsRowDxfId="3"/>
    <tableColumn id="37" xr3:uid="{97F555B8-4081-4A22-9AF3-2030B296B95F}" name="Цена пленки" dataDxfId="39" totalsRowDxfId="2"/>
    <tableColumn id="31" xr3:uid="{48BEF4E0-01BD-4DBF-B981-35AEE5F17C2E}" name="Цена БЗ" dataDxfId="38" totalsRowDxfId="1">
      <calculatedColumnFormula>VLOOKUP(Корзина[[#This Row],[Соединенное название]],#REF!,2,0)</calculatedColumnFormula>
    </tableColumn>
    <tableColumn id="32" xr3:uid="{5C5A2FB6-735A-4DC2-BAD7-B525D2667A0F}" name="Разница" dataDxfId="37" totalsRowDxfId="0">
      <calculatedColumnFormula>AB2-AJ2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0297FAD-DA37-44E1-9EF2-F7B8BECDBEAB}" name="Заказ_Отдельные_фасады" displayName="Заказ_Отдельные_фасады" ref="AZ1:BK5" totalsRowCount="1" headerRowDxfId="336" dataDxfId="334" totalsRowDxfId="332" headerRowBorderDxfId="335" tableBorderDxfId="333">
  <autoFilter ref="AZ1:BK4" xr:uid="{57F00D2F-AA0C-4156-915B-B306A91597A5}"/>
  <tableColumns count="12">
    <tableColumn id="1" xr3:uid="{F95FD156-DFE8-4522-9CA7-7ABECF49B20D}" name="Коллекция" totalsRowLabel="Итог" dataDxfId="331" totalsRowDxfId="85"/>
    <tableColumn id="2" xr3:uid="{CDA2EC96-0FC5-4C57-8553-13D56EC0453D}" name="Цвет" dataDxfId="330" totalsRowDxfId="84"/>
    <tableColumn id="3" xr3:uid="{FDE88788-F8B2-454F-BDD6-C8DFDB15FF00}" name="Фрезеровка" dataDxfId="329" totalsRowDxfId="83"/>
    <tableColumn id="4" xr3:uid="{B79E14D1-8539-4103-964E-D6457C13ACD7}" name="Толщина" dataDxfId="328" totalsRowDxfId="82"/>
    <tableColumn id="11" xr3:uid="{05FEAC84-47D6-434C-AD61-26E8DF50D7A4}" name="Высота,мм" dataDxfId="327" totalsRowDxfId="81"/>
    <tableColumn id="10" xr3:uid="{9153B885-903E-48A4-B126-2A431EDA6363}" name="Ширина,мм" dataDxfId="326" totalsRowDxfId="80"/>
    <tableColumn id="9" xr3:uid="{619A7861-1615-4B05-85A1-EFC50BADF083}" name="Площадь,м2" dataDxfId="325" totalsRowDxfId="79"/>
    <tableColumn id="5" xr3:uid="{90F58885-69FC-426F-9D0F-CFA2360C256C}" name="Цвет стекла для витрины" dataDxfId="324" totalsRowDxfId="78"/>
    <tableColumn id="6" xr3:uid="{843E9BA7-244F-47AA-85D1-15E6CEFB0F22}" name="Цена стекла для витрины" dataDxfId="323" totalsRowDxfId="77"/>
    <tableColumn id="7" xr3:uid="{0636D962-C9D4-4BCF-BCAE-9C2DEA77790D}" name="Кол-во" dataDxfId="322" totalsRowDxfId="76"/>
    <tableColumn id="8" xr3:uid="{36A18A66-B49B-48A8-B998-50FA15C4AC03}" name="Стоимость" totalsRowFunction="sum" dataDxfId="321" totalsRowDxfId="75"/>
    <tableColumn id="12" xr3:uid="{B689E37B-D1D4-4CA2-9E63-A2F80A25F0B4}" name="Цена пленки" dataDxfId="96" totalsRowDxfId="7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2654406A-D11A-4EF4-AB2D-E8BE213F614B}" name="Заказ_ручки" displayName="Заказ_ручки" ref="BM1:BR2" totalsRowShown="0" headerRowDxfId="320" dataDxfId="319" tableBorderDxfId="318">
  <autoFilter ref="BM1:BR2" xr:uid="{E7BB3E52-9F23-4BE4-B15A-55E4FC846337}"/>
  <tableColumns count="6">
    <tableColumn id="1" xr3:uid="{1852F670-3845-412B-B477-EF8D6909B6DB}" name="Название ручки / Артикул ручки" dataDxfId="317"/>
    <tableColumn id="2" xr3:uid="{591A68E3-BB45-4C03-8426-24D6694DA27F}" name="Тип" dataDxfId="316"/>
    <tableColumn id="3" xr3:uid="{95405C38-7973-48C6-948D-19DD981E1EE6}" name="Категория" dataDxfId="315"/>
    <tableColumn id="4" xr3:uid="{36CA86FF-04A2-4FA6-83C0-C0780FA01BBB}" name="Коллекция" dataDxfId="314"/>
    <tableColumn id="6" xr3:uid="{AE924542-9AA3-40EC-A45F-DF48DEF28912}" name="Количество" dataDxfId="313"/>
    <tableColumn id="7" xr3:uid="{D47F27C8-087B-42A4-B90C-9742DC0D563D}" name="Цена" dataDxfId="31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9A4B38C-5905-489F-8F3D-A460A64B50F0}" name="Gola_Base_Furn_for_stol_Order" displayName="Gola_Base_Furn_for_stol_Order" ref="BT1:BW2" insertRow="1" totalsRowShown="0" headerRowDxfId="311" dataDxfId="310">
  <autoFilter ref="BT1:BW2" xr:uid="{88751CBF-65EF-43A0-AF99-830B58AB6C77}"/>
  <tableColumns count="4">
    <tableColumn id="1" xr3:uid="{FF148CB8-7133-4213-AD89-93D8241F9EAB}" name="Изделие" dataDxfId="309"/>
    <tableColumn id="2" xr3:uid="{051B915A-D01D-4E35-B4F6-5D424EFAD51C}" name="Количество" dataDxfId="308"/>
    <tableColumn id="3" xr3:uid="{F244EDCF-A29E-4CE9-A93E-1AF2B8C680B1}" name="Цена" dataDxfId="307"/>
    <tableColumn id="4" xr3:uid="{CE850D8F-4E69-4099-8E21-66ABDCEDC01C}" name="Коллекция" dataDxfId="306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D35680C-011E-4ED4-8959-EEA1FAD286FE}" name="Скидки" displayName="Скидки" ref="BY1:BZ6" totalsRowShown="0">
  <autoFilter ref="BY1:BZ6" xr:uid="{8192A68F-0520-4B62-8CA3-36E3743AAEA3}"/>
  <tableColumns count="2">
    <tableColumn id="1" xr3:uid="{0D558F9A-A3DB-4BA9-97C7-DAA49D0BB4BE}" name="Продукция"/>
    <tableColumn id="2" xr3:uid="{C6EB15DD-9ED3-4455-B30A-6C07DA693415}" name="Скидка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H82" totalsRowShown="0" headerRowDxfId="305" dataDxfId="304">
  <autoFilter ref="A1:CH82" xr:uid="{B6A411DD-54E4-4F8A-8614-345EC598C3AB}"/>
  <tableColumns count="86">
    <tableColumn id="1" xr3:uid="{244EF146-2FB2-42B0-89AD-BC68C073628F}" name="Артикул" dataDxfId="303"/>
    <tableColumn id="2" xr3:uid="{E9E197D6-D015-400F-BBF0-C74C736B39E0}" name="Тип" dataDxfId="302"/>
    <tableColumn id="4" xr3:uid="{C373308D-47ED-427E-88F8-A9B3AEC5889F}" name="Варианты наполнения" dataDxfId="301"/>
    <tableColumn id="16" xr3:uid="{3526EDBE-4544-46B2-904E-78713571F802}" name="Вид модуля" dataDxfId="300"/>
    <tableColumn id="15" xr3:uid="{259A8B8F-A346-4065-8898-BE7B616DA4DC}" name="Профиль Gola" dataDxfId="299"/>
    <tableColumn id="3" xr3:uid="{9487BA3B-B8B3-423B-BBA1-A7C3B0201659}" name="Признаки для фильтров" dataDxfId="298"/>
    <tableColumn id="6" xr3:uid="{6657D323-708D-490F-934C-D93CA8D44D3D}" name="Высота min" dataDxfId="297"/>
    <tableColumn id="7" xr3:uid="{2EFED285-F303-4C73-A938-4E18FE85EFAD}" name="Высота max" dataDxfId="296"/>
    <tableColumn id="8" xr3:uid="{B0E436A3-EEA3-4496-822A-D979DCE166F6}" name="Ширина min" dataDxfId="295"/>
    <tableColumn id="9" xr3:uid="{B9B1EF59-46D8-418E-9C90-4AF710E40F22}" name="Ширина max" dataDxfId="294"/>
    <tableColumn id="10" xr3:uid="{DFC2098D-52BC-4A64-8019-99B30228E5C0}" name="Глубина min" dataDxfId="293"/>
    <tableColumn id="11" xr3:uid="{0F631E4C-75A0-4051-8353-40DDE4FB0D0C}" name="Глубина max" dataDxfId="292"/>
    <tableColumn id="14" xr3:uid="{7CEDF3A3-1C3F-4BE6-B422-A3497D28B60F}" name="Количество полок" dataDxfId="291"/>
    <tableColumn id="12" xr3:uid="{CDFC7975-1F4A-4D16-8354-E26DDCD4397C}" name="Комментарий" dataDxfId="290"/>
    <tableColumn id="5" xr3:uid="{491DC64E-1A6E-4844-B503-C2C858B48F8F}" name="Базовая цена" dataDxfId="289"/>
    <tableColumn id="28" xr3:uid="{EBB80AFB-D155-4FEC-AFA8-5CA38369E072}" name="КФ НСТ11" dataDxfId="288"/>
    <tableColumn id="27" xr3:uid="{CBFCC08D-435F-4D14-9237-DBC966484E7C}" name="КФ НСТ1" dataDxfId="287"/>
    <tableColumn id="13" xr3:uid="{ED748688-578F-4B70-BED3-DF69514981F0}" name="КФ крепежа корпуса 1" dataDxfId="286">
      <calculatedColumnFormula>'комплекты фурнитуры'!C9</calculatedColumnFormula>
    </tableColumn>
    <tableColumn id="18" xr3:uid="{C97A5013-CBEE-487D-951B-6C81E4A7AC55}" name="КФ крепежа корпуса 2" dataDxfId="285"/>
    <tableColumn id="19" xr3:uid="{E76E0229-FD99-460D-A6DC-512E0BF4E97A}" name="КФ крепежа корпуса 4" dataDxfId="284"/>
    <tableColumn id="20" xr3:uid="{F25E07D8-C520-4467-8FE7-E89C5DB70B0F}" name="КФ крепежа корпуса 6" dataDxfId="283"/>
    <tableColumn id="21" xr3:uid="{2DAD658B-F7CB-4A20-B265-0005D6437D71}" name="КФ крепежа корпуса 7" dataDxfId="282"/>
    <tableColumn id="23" xr3:uid="{1B2375D3-DCC7-47E9-80B6-2C8B369001C5}" name="КФ крепежа корпуса 9" dataDxfId="281"/>
    <tableColumn id="32" xr3:uid="{5FC4BD95-7026-4728-9321-54AD821DB1D0}" name="КФ крепежа корпуса 10" dataDxfId="280"/>
    <tableColumn id="22" xr3:uid="{D1EED17F-DA10-4FC1-992B-84A2473F1A07}" name="КФ крепежа корпуса 11" dataDxfId="279"/>
    <tableColumn id="33" xr3:uid="{A691C489-3513-434E-B8C3-4D39E2A158AB}" name="КФ крепежа корпуса 12" dataDxfId="278"/>
    <tableColumn id="29" xr3:uid="{76F3AFCC-4E23-405B-89AE-8D6FDFA3FF11}" name="КФ крепежа корпуса 13" dataDxfId="277"/>
    <tableColumn id="31" xr3:uid="{F07D89AA-E635-4965-8AA3-57D02FB91704}" name="КФ НСТ 14" dataDxfId="276"/>
    <tableColumn id="30" xr3:uid="{80FADF67-BF3A-4DAB-913C-EA9BA1C84CD9}" name="КФ крепежа корпуса 15" dataDxfId="275"/>
    <tableColumn id="24" xr3:uid="{87B6078A-6FAD-4498-A328-FD81FC7FD510}" name="КФ крепежа корпуса 16" dataDxfId="274"/>
    <tableColumn id="17" xr3:uid="{5B2E565F-938F-4C78-BB65-1F2802A24FC5}" name="КФ опора пластиковая 120" dataDxfId="273"/>
    <tableColumn id="25" xr3:uid="{6F8FCB9B-78F7-4E72-A350-4BB3A20C8EB3}" name="KFPr-SB-POD" dataDxfId="272"/>
    <tableColumn id="26" xr3:uid="{D5E1C33E-3342-477B-8544-E7A79E3BBC5E}" name="KFPr-SB-ZPG" dataDxfId="271"/>
    <tableColumn id="34" xr3:uid="{290E297F-71F1-4EF2-8A6F-94B834943A03}" name="КФ корпуса" dataDxfId="270">
      <calculatedColumnFormula>SUM(Прайс[[#This Row],[КФ НСТ11]:[KFPr-SB-ZPG]])</calculatedColumnFormula>
    </tableColumn>
    <tableColumn id="65" xr3:uid="{CCE4C4AA-FDC1-4A4C-A6D6-59B6ABF07D40}" name=" KFPr-SB-StK " dataDxfId="269"/>
    <tableColumn id="67" xr3:uid="{F04C1A69-1B5A-450B-8ACD-CF6240A49F46}" name="KFPr-SB-SPL" dataDxfId="268"/>
    <tableColumn id="66" xr3:uid="{8855FBE2-EA1B-412E-967A-04B7EEF0D462}" name="KFPr-SB-SMRZ_16мм" dataDxfId="267"/>
    <tableColumn id="68" xr3:uid="{CD98CCBA-39DF-4E4D-B751-90857AE86D0D}" name="КФ KEKU" dataDxfId="266"/>
    <tableColumn id="38" xr3:uid="{0B3A342F-ACDA-4E8C-A3BB-272F0EAD3983}" name="КФ петли SENS накл.110 гр. с крестообр. Планкой" dataDxfId="265"/>
    <tableColumn id="39" xr3:uid="{D8E42B09-DA91-43E3-88E2-3744E9609331}" name="KFP-SB-N110" dataDxfId="264"/>
    <tableColumn id="43" xr3:uid="{0C08449F-84E9-4D52-9A34-A9E6F062A42B}" name="КФ петли вклад. 95 гр. с крестообр. планкой" dataDxfId="263"/>
    <tableColumn id="44" xr3:uid="{20740129-5689-4ADA-BC82-18601D41BE66}" name="KFP-SB-PY94" dataDxfId="262"/>
    <tableColumn id="45" xr3:uid="{C58A7BD9-7F27-4E2A-8A7D-8993CF9D1B44}" name="КKFP-SB-GT45" dataDxfId="261"/>
    <tableColumn id="46" xr3:uid="{EA47B16B-24E3-4669-BCC6-4D10352115BD}" name="KFP-SB-N45" dataDxfId="260"/>
    <tableColumn id="61" xr3:uid="{77162D3C-DEBF-41ED-8D9C-6B324B0B34D6}" name="KFS-SB-45 (посудосушители)" dataDxfId="259"/>
    <tableColumn id="62" xr3:uid="{60DFC635-EC03-4DA5-9F1F-A274C5F766BE}" name="КФ Сушка AFF 600" dataDxfId="258"/>
    <tableColumn id="64" xr3:uid="{3218371B-081C-4144-9490-2129F71749B7}" name="КФ Сушка AFF 800" dataDxfId="257"/>
    <tableColumn id="63" xr3:uid="{3EA2A3F9-E872-4B9A-A20E-57B5568F095B}" name="КФ Сушка AFF 900" dataDxfId="256"/>
    <tableColumn id="56" xr3:uid="{4E28104D-EF7B-4E2E-8C57-FEB3C8A5F956}" name="KFP-SP-PPGK" dataDxfId="255"/>
    <tableColumn id="57" xr3:uid="{211F9D6D-49D0-464F-88C1-85C7CBE083C0}" name="KFP-SP-PPGK_71_x000a_" dataDxfId="254"/>
    <tableColumn id="58" xr3:uid="{3DCAA265-92DB-4B37-8C89-B111F9805E4C}" name="KFP-SP-PPA" dataDxfId="253"/>
    <tableColumn id="59" xr3:uid="{FE70647D-4BEA-43C9-B3B1-73D6E0E4A61C}" name="KFP-SB-PPHF_W" dataDxfId="252"/>
    <tableColumn id="55" xr3:uid="{81594DF4-0602-442D-AE34-AF4382DF367E}" name="KFN-SB-M54" dataDxfId="251"/>
    <tableColumn id="47" xr3:uid="{5E0D24F4-DA20-452E-825D-868422F8FB68}" name="Комплект для ящика Hettich ATIRA Серый, NL-470, H-70" dataDxfId="250"/>
    <tableColumn id="53" xr3:uid="{A0024684-C217-429E-AEBF-4AA1AAB1B938}" name="Комплект для ящика Hettich ATIRA Серый с реллингом, NL-470, H-176" dataDxfId="249"/>
    <tableColumn id="48" xr3:uid="{236E32BD-08D6-45FD-BF28-6DE93E881417}" name="KFN-SB-M86" dataDxfId="248"/>
    <tableColumn id="54" xr3:uid="{6D92F505-EC53-45E7-9F83-9FC8CF81B4EA}" name="KFN-SB-M15" dataDxfId="247"/>
    <tableColumn id="49" xr3:uid="{0BA15EFC-0C23-4EEF-89A3-788F5A1DA22A}" name="KFN-SB-MD" dataDxfId="246"/>
    <tableColumn id="50" xr3:uid="{B10F5262-24B7-495A-97A3-3715D959BA79}" name="КФ ящика Matrix (H=89 мм)_450_GR" dataDxfId="245"/>
    <tableColumn id="69" xr3:uid="{91FEF492-7357-4261-8FE8-93815647308F}" name="КФ ящика Matrix (H=175 мм)_450_GR" dataDxfId="244"/>
    <tableColumn id="51" xr3:uid="{E039F1AB-9656-4B47-869C-9EFC55626F41}" name="Комплект ящика INNOTECH ATIRA полного выдв. с  PUSH TO OPEN , Н70,NL470,цвет серебристый" dataDxfId="243"/>
    <tableColumn id="52" xr3:uid="{5EDCABD0-79AC-4437-8001-4AFC273FD9E7}" name="Комплект короба INNOTECH ATIRA полного выдв. с Push to open, Н176,NL470,рейлинги, цвет серебристый" dataDxfId="242"/>
    <tableColumn id="40" xr3:uid="{F1A933F2-08F8-4B70-91DB-3D28AB3BE3AF}" name="KFS-SB-BYT" dataDxfId="241"/>
    <tableColumn id="41" xr3:uid="{51C1E380-2E1D-451E-83A2-CBA0D818E63F}" name="Корзина с держателем для бутылок 414*500*520 мм" dataDxfId="240"/>
    <tableColumn id="42" xr3:uid="{D01A7E27-37CF-4158-BCF6-8D8ACC6AB5FA}" name="КФ евровинт" dataDxfId="239"/>
    <tableColumn id="60" xr3:uid="{F2C1507E-22CE-4A77-936E-2CE24901A3C5}" name="КФ  крепления профиля Gola" dataDxfId="238"/>
    <tableColumn id="70" xr3:uid="{1272954A-E182-4AE9-BB28-E27FBBD2F571}" name="Профиль Gola для подвесных шкафов алюм.16 мм" dataDxfId="237"/>
    <tableColumn id="35" xr3:uid="{A5B4233C-7C06-4820-B9A4-FA20195C8570}" name="Комплектация №2" dataDxfId="236"/>
    <tableColumn id="36" xr3:uid="{79D7852F-F7B6-4FE6-8058-4623A193C92E}" name="Комплектация №3" dataDxfId="235"/>
    <tableColumn id="37" xr3:uid="{178FF18E-2D49-4276-86AC-A7734F248861}" name="Комплектация №3Т" dataDxfId="234"/>
    <tableColumn id="72" xr3:uid="{0A128738-86E4-4853-B8A7-DB48EABDA6F3}" name="Базовая ширина" dataDxfId="233"/>
    <tableColumn id="73" xr3:uid="{65C4BD3E-E790-4D49-997C-1E56669D4E98}" name="Базовая высота" dataDxfId="232"/>
    <tableColumn id="71" xr3:uid="{7EC0296C-2955-4E3D-9A5F-10337ACB371C}" name="Базовая глубина" dataDxfId="231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230"/>
    <tableColumn id="78" xr3:uid="{D4F38851-262A-4693-8AD8-0C7FDA55E619}" name="Коэфф.ширина" dataDxfId="229"/>
    <tableColumn id="77" xr3:uid="{26F7B0FF-A98D-4C8D-96D6-9D12D73C3164}" name="Коэфф.глубина" dataDxfId="228"/>
    <tableColumn id="74" xr3:uid="{9C9D74FE-06DD-465B-9EC4-526E0AD42851}" name="Полки min,шт." dataDxfId="227"/>
    <tableColumn id="75" xr3:uid="{F6ACCF36-12D1-4AD7-8C04-71E8A7C3B7A8}" name="Полки max,шт." dataDxfId="226"/>
    <tableColumn id="80" xr3:uid="{43422F97-A6DC-4549-ACB1-3D312C38A5D2}" name="Tip-on" dataDxfId="225"/>
    <tableColumn id="79" xr3:uid="{A330CEAF-C3AA-40D5-86FB-2FEBF5EF4E97}" name="Инфо о комплектации" dataDxfId="224"/>
    <tableColumn id="81" xr3:uid="{B843A559-15F9-440A-8849-081FC64687B8}" name="Полки по умолчанию" dataDxfId="223"/>
    <tableColumn id="82" xr3:uid="{0B1FB40A-CD49-4F2E-817D-0D8EDA07ADEC}" name="Доступ к стеклянным полкам" dataDxfId="222"/>
    <tableColumn id="83" xr3:uid="{F771F382-683B-4AFB-8BD6-4CF199BF211B}" name="Базовая цена цветной корпус" dataDxfId="221"/>
    <tableColumn id="85" xr3:uid="{A97FD681-B265-4751-BA89-F91BDB10A91A}" name="КФ НСТ19" dataDxfId="220"/>
    <tableColumn id="86" xr3:uid="{14BC1293-0DFD-45DD-BDD4-435CD738E1D7}" name="Корзина выдв.посудосуш.600 мм + напр. L450 Hettich (ХРОМ)" dataDxfId="219"/>
    <tableColumn id="84" xr3:uid="{BA482443-7903-4EFC-8868-FB56B606CBD3}" name="Кол-во фасадов" dataDxfId="218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L43" totalsRowShown="0" headerRowDxfId="217" dataDxfId="216">
  <autoFilter ref="AB1:AL43" xr:uid="{810477A9-4C52-48FD-BBD6-CB514CF83F06}"/>
  <sortState xmlns:xlrd2="http://schemas.microsoft.com/office/spreadsheetml/2017/richdata2" ref="AB2:AE43">
    <sortCondition ref="AB1:AB43"/>
  </sortState>
  <tableColumns count="11">
    <tableColumn id="1" xr3:uid="{4CA554CA-7710-42A6-833E-28542880D6F6}" name="Фрезеровка" dataDxfId="215"/>
    <tableColumn id="2" xr3:uid="{CBCBEDBF-B07D-49DC-A647-FE89CED753BC}" name="Тип Фрезеровки" dataDxfId="214"/>
    <tableColumn id="3" xr3:uid="{04779E58-2E79-41D0-993D-E64BBDB80A08}" name="Толщина 1" dataDxfId="213"/>
    <tableColumn id="4" xr3:uid="{AFC3B80D-B2E7-403E-B0DA-CE217404C6BD}" name="Толщина 2" dataDxfId="212"/>
    <tableColumn id="10" xr3:uid="{6B17B2C9-6D21-4078-BE99-77C241E7DC55}" name="Min Высота" dataDxfId="211" dataCellStyle="Обычный 3 3 2"/>
    <tableColumn id="9" xr3:uid="{91E43A86-B770-4455-94D9-491992DB11F2}" name="Max  Высота" dataDxfId="210" dataCellStyle="Обычный 3 3 2"/>
    <tableColumn id="8" xr3:uid="{1E8C328D-3CF7-4E03-BB4F-B7980BB99223}" name="Min Ширина" dataDxfId="209" dataCellStyle="Обычный 3 3 2"/>
    <tableColumn id="6" xr3:uid="{CF8039AA-23E6-418E-A0A5-312D9E2944AB}" name="Max Ширина" dataDxfId="208" dataCellStyle="Обычный 3 3 2"/>
    <tableColumn id="7" xr3:uid="{800E6F5F-1CE0-4D8F-A3B4-140DEB6CCFDC}" name="Наличие витрин" dataDxfId="207"/>
    <tableColumn id="5" xr3:uid="{F4A035AC-4E9A-49DC-B7BF-8FE6F8C235B4}" name="Наличие решеток" dataDxfId="206"/>
    <tableColumn id="11" xr3:uid="{FD207359-7DA0-4E26-AEE1-458FD1D4493A}" name="Скидка на фрезеровку" dataDxfId="205" dataCellStyle="Обычный 3 3 2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6" totalsRowShown="0" headerRowDxfId="204" dataDxfId="203">
  <autoFilter ref="S1:Z106" xr:uid="{CE3ABCD9-BDDA-492C-8977-40561F2525A9}"/>
  <sortState xmlns:xlrd2="http://schemas.microsoft.com/office/spreadsheetml/2017/richdata2" ref="S2:Z106">
    <sortCondition ref="Z1:Z106"/>
  </sortState>
  <tableColumns count="8">
    <tableColumn id="1" xr3:uid="{02159DF2-4672-4E07-9F3B-C9E2EDEFC580}" name="Номер пленки" dataDxfId="202"/>
    <tableColumn id="2" xr3:uid="{73BD45F6-34D0-43B6-98BE-5052519D3482}" name="Коллекция пленок" dataDxfId="201"/>
    <tableColumn id="3" xr3:uid="{70E4A86D-1E11-4D3B-B850-03CC3DC4EA8B}" name="Категория пленки" dataDxfId="200"/>
    <tableColumn id="4" xr3:uid="{0B4C060F-475F-46B8-8CE5-F3C7BC874AFA}" name="Цена 16 мм" dataDxfId="199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98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97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96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95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94" dataDxfId="193">
  <autoFilter ref="K3:P10" xr:uid="{F3C19AC2-AE15-4B07-BE4B-6E76B9B89693}"/>
  <tableColumns count="6">
    <tableColumn id="1" xr3:uid="{8E2A4EC6-52B7-4CF2-92DD-1EF56E80EFBD}" name="Коллекция" dataDxfId="192"/>
    <tableColumn id="2" xr3:uid="{060F59E6-9C05-42D3-BC91-8938AB99CC63}" name="Ценовая категория пленки" dataDxfId="191"/>
    <tableColumn id="3" xr3:uid="{E314DE90-CBD4-4FE9-A2D0-CD6F677BF3DE}" name="МДФ 16 мм" dataDxfId="190"/>
    <tableColumn id="4" xr3:uid="{8AF271A8-AFDB-4F65-BDF2-3DB16886F0C5}" name="МДФ 18/19 мм" dataDxfId="189"/>
    <tableColumn id="5" xr3:uid="{5C5591AE-C1DF-473C-B2DE-E2649E3D3375}" name="МДФ 22+ мм" dataDxfId="188"/>
    <tableColumn id="6" xr3:uid="{11B36507-9711-4DD9-9202-10F6B61EB8A3}" name="Скидка" dataDxfId="187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5" totalsRowShown="0" headerRowDxfId="186" dataDxfId="185" headerRowCellStyle="Обычный 3 3 2" dataCellStyle="Обычный 3 3 2">
  <autoFilter ref="A19:B25" xr:uid="{53653E30-EC34-4C7B-BF44-17DB6FE8398B}"/>
  <tableColumns count="2">
    <tableColumn id="1" xr3:uid="{AA7DD623-9EEE-4BD1-9461-E00559B1FBFC}" name="Изделие" dataDxfId="184" dataCellStyle="Обычный 3 3 2"/>
    <tableColumn id="2" xr3:uid="{0E0EE42C-FE7B-4F0D-A337-37F464CFF87E}" name="Цена,м2" dataDxfId="183" dataCellStyle="Обычный 3 3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CZ2:DH49" totalsRowShown="0" headerRowDxfId="182" dataDxfId="181" headerRowCellStyle="Обычный 3 3 2" dataCellStyle="Обычный 3 3 2">
  <autoFilter ref="CZ2:DH49" xr:uid="{72587AEE-084F-47E0-B5D9-96B21BCCDCAF}"/>
  <tableColumns count="9">
    <tableColumn id="1" xr3:uid="{C1CBEB58-D72D-4E94-9E7C-F9416D019626}" name="Название" dataDxfId="180"/>
    <tableColumn id="2" xr3:uid="{8EA293B5-92F1-4759-ADEF-C848180BDA6F}" name="Производитель" dataDxfId="179" dataCellStyle="Обычный 3 3 2"/>
    <tableColumn id="3" xr3:uid="{739B6914-4D3B-484E-AA74-696EAB757DDE}" name="Толщина" dataDxfId="178" dataCellStyle="Обычный 3 3 2"/>
    <tableColumn id="4" xr3:uid="{F76DA758-DCCA-4505-8475-85C54FB91E82}" name="Макс.длина" dataDxfId="177" dataCellStyle="Обычный 3 3 2"/>
    <tableColumn id="5" xr3:uid="{CC701F50-3C0E-479E-9F3F-DC9E52223198}" name="Макс Ширина" dataDxfId="176" dataCellStyle="Обычный 3 3 2"/>
    <tableColumn id="6" xr3:uid="{4920F4E6-ADAB-4B95-8E58-15D8D9E72C77}" name="600 х 1200" dataDxfId="175" dataCellStyle="Обычный 3 3 2"/>
    <tableColumn id="7" xr3:uid="{04B77FC8-EB4D-4C3E-A8E4-E1895151CB1E}" name="600 х 2100" dataDxfId="174" dataCellStyle="Обычный 3 3 2"/>
    <tableColumn id="8" xr3:uid="{F7AE2FF9-1B2F-4EDC-99A9-EB7CB8551D99}" name="600 х 3000" dataDxfId="173" dataCellStyle="Обычный 3 3 2"/>
    <tableColumn id="9" xr3:uid="{8CBECB23-2811-4DB4-B52F-11824BE49841}" name="600 х 4200" dataDxfId="172" dataCellStyle="Обычный 3 3 2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C54" totalsRowShown="0" headerRowDxfId="171" dataDxfId="170" headerRowCellStyle="Обычный 3 3 2">
  <autoFilter ref="A41:C54" xr:uid="{2EDDD9FE-F82A-4CE3-9033-0059070A82A9}"/>
  <tableColumns count="3">
    <tableColumn id="1" xr3:uid="{FD66DD94-70F7-4270-9602-EC1F380D35D4}" name="Цвет стекла" dataDxfId="169"/>
    <tableColumn id="2" xr3:uid="{9BE30F06-5833-4665-9CB0-2D4DD0173678}" name="Цена за м2" dataDxfId="168"/>
    <tableColumn id="3" xr3:uid="{374E4493-A9D7-44BA-9C64-4BEBF58EC494}" name="Цена за м3" dataDxfId="167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Gola" displayName="Gola" ref="BQ2:BR10" totalsRowShown="0" headerRowDxfId="166" dataDxfId="165" headerRowCellStyle="Обычный 3 3 2">
  <autoFilter ref="BQ2:BR10" xr:uid="{EF6E01D4-F17B-46D6-9C74-1A91633991E6}"/>
  <tableColumns count="2">
    <tableColumn id="1" xr3:uid="{6566BA5A-6251-4507-B4C5-91CA5FB36F9B}" name="Изделие" dataDxfId="164"/>
    <tableColumn id="2" xr3:uid="{7AFC3AD3-8460-444E-B461-2DC3FD886EBF}" name="Цена" dataDxfId="163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N1:AZ32" totalsRowShown="0" headerRowDxfId="162" dataDxfId="160" headerRowBorderDxfId="161" tableBorderDxfId="159" headerRowCellStyle="Обычный 3 3 2">
  <autoFilter ref="AN1:AZ32" xr:uid="{D7E686DA-4141-42EE-B9B3-3C9497EC5CE4}"/>
  <sortState xmlns:xlrd2="http://schemas.microsoft.com/office/spreadsheetml/2017/richdata2" ref="AN2:AZ32">
    <sortCondition ref="AZ1:AZ32"/>
  </sortState>
  <tableColumns count="13">
    <tableColumn id="1" xr3:uid="{DB69E958-7F7B-46BB-A258-DF0C78D0669A}" name="Номер пленки" dataDxfId="158"/>
    <tableColumn id="2" xr3:uid="{3E974E66-E055-415D-BC78-AEBB3835C359}" name="Ценовая группа" dataDxfId="157"/>
    <tableColumn id="5" xr3:uid="{5D17A2A5-506D-4CEC-9605-81E9B46464BB}" name="Цена Глухих" dataDxfId="156">
      <calculatedColumnFormula>VLOOKUP(Пластики_Acryline[[#This Row],[Ценовая группа]],Цены_по_категориям_Acryline[],2,0)</calculatedColumnFormula>
    </tableColumn>
    <tableColumn id="6" xr3:uid="{3F2B969F-2E3A-45E0-8EF4-664F5A56A966}" name="Цена Витрин" dataDxfId="155">
      <calculatedColumnFormula>VLOOKUP(Пластики_Acryline[[#This Row],[Ценовая группа]],Цены_по_категориям_Acryline[],3,0)</calculatedColumnFormula>
    </tableColumn>
    <tableColumn id="4" xr3:uid="{E770E79F-1FF2-4E8A-B301-8B4D550892DC}" name="Тип покрытия" dataDxfId="154"/>
    <tableColumn id="7" xr3:uid="{4CB3D8A8-D90F-40E8-A61F-27018681CD97}" name="Наличие витрин" dataDxfId="153"/>
    <tableColumn id="8" xr3:uid="{EAAAAB93-BF90-43F4-BEDC-0BC0EBD8D051}" name="Наличие решеток" dataDxfId="152"/>
    <tableColumn id="10" xr3:uid="{33005D4A-5898-40ED-98DD-CA0A969F2129}" name="Min Высота" dataDxfId="151"/>
    <tableColumn id="12" xr3:uid="{12F5F717-23F2-4894-A760-7B21E235FE17}" name="Max  Высота" dataDxfId="150"/>
    <tableColumn id="11" xr3:uid="{17D9C563-EE88-4BFA-BFF7-917D04AA2E0F}" name="Min Ширина" dataDxfId="149"/>
    <tableColumn id="9" xr3:uid="{EDC62BF4-8EB8-48B7-9E1A-6145B096640C}" name="Max Ширина" dataDxfId="148"/>
    <tableColumn id="13" xr3:uid="{203B0C4F-9596-48E5-B778-BAD94B029FB6}" name="Скидка" dataDxfId="147">
      <calculatedColumnFormula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calculatedColumnFormula>
    </tableColumn>
    <tableColumn id="3" xr3:uid="{40FACEFC-8654-4602-A05A-9C0032AB18D1}" name="Сортировка" dataDxfId="146" dataCellStyle="Обычный 3 3 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BB2:BF6" totalsRowShown="0" headerRowDxfId="145" dataDxfId="144">
  <autoFilter ref="BB2:BF6" xr:uid="{CDF8988B-80D7-4023-A44A-60A6C121CA19}"/>
  <tableColumns count="5">
    <tableColumn id="1" xr3:uid="{8B7A635E-A92E-4959-9B30-034CA4E495CA}" name="Ценовая группа" dataDxfId="143"/>
    <tableColumn id="3" xr3:uid="{199557CE-0391-4EB5-9FA0-31A44870D2B2}" name="Фасад глухой, фасад под врезную ручку Grosseto    кв.м" dataDxfId="142"/>
    <tableColumn id="4" xr3:uid="{A1682A37-C212-466F-8C8D-2A0D2039CF51}" name="Фасад витрина,   кв.м" dataDxfId="141"/>
    <tableColumn id="2" xr3:uid="{12783B52-1834-4A3C-B278-087F0043C2B7}" name="Наличие витрин" dataDxfId="140"/>
    <tableColumn id="5" xr3:uid="{8E232A17-8503-4545-9DCF-7BA9BCB2F06F}" name="Скидка" dataDxfId="139" dataCellStyle="Процентный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49840E3-90E2-49E1-B0C4-5729B1FB3503}" name="Ценовые_категории_ручек" displayName="Ценовые_категории_ручек" ref="CN2:CO11" totalsRowShown="0" headerRowDxfId="138" dataDxfId="137">
  <autoFilter ref="CN2:CO11" xr:uid="{78F22871-9A7D-4E92-8393-BCC02454D1B5}"/>
  <tableColumns count="2">
    <tableColumn id="1" xr3:uid="{DBC91464-3C3F-4F38-BBAA-89F388048E0F}" name="Ценовая группа" dataDxfId="136"/>
    <tableColumn id="2" xr3:uid="{04C85D3B-608A-4808-89A3-B6E61150D6DB}" name="Цена" dataDxfId="135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10209F9-CC74-45A3-8A4B-4EBB145A1A4B}" name="Ручки" displayName="Ручки" ref="CF2:CJ59" totalsRowShown="0" dataDxfId="134" tableBorderDxfId="133">
  <autoFilter ref="CF2:CJ59" xr:uid="{134E17E4-D678-4152-AB71-67D757249C28}"/>
  <sortState xmlns:xlrd2="http://schemas.microsoft.com/office/spreadsheetml/2017/richdata2" ref="CF3:CJ59">
    <sortCondition descending="1" ref="CF2:CF59"/>
  </sortState>
  <tableColumns count="5">
    <tableColumn id="1" xr3:uid="{2307887A-A9D6-4C9D-9B20-AF66C7589113}" name="Название ручки / Артикул ручки" dataDxfId="132"/>
    <tableColumn id="2" xr3:uid="{FECC5A88-7198-469B-A665-329684C29E9D}" name="Тип" dataDxfId="131"/>
    <tableColumn id="3" xr3:uid="{CC23F91A-F17A-471B-B852-64253E79A7AA}" name="Категория" dataDxfId="130"/>
    <tableColumn id="5" xr3:uid="{ED08E27D-8EAE-40C6-B4DA-59D9CD74F7C1}" name="Коллекция" dataDxfId="129"/>
    <tableColumn id="4" xr3:uid="{3A1E0F89-FF3A-47A2-9E87-DEEBD263D18A}" name="Цена" dataDxfId="128" dataCellStyle="Обычный 3 3 2">
      <calculatedColumnFormula>VLOOKUP(Ручки[[#This Row],[Категория]],Ценовые_категории_ручек[],2,0)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EA2AF85-4825-4413-ABF4-CE5FC30FD4A8}" name="Погонаж_Original_Select" displayName="Погонаж_Original_Select" ref="CR2:CV12" totalsRowShown="0" headerRowDxfId="127" dataDxfId="126" headerRowCellStyle="Обычный 3 3 2">
  <autoFilter ref="CR2:CV12" xr:uid="{2EA2AF85-4825-4413-ABF4-CE5FC30FD4A8}"/>
  <tableColumns count="5">
    <tableColumn id="1" xr3:uid="{7E28429D-9BAD-4FE0-83A6-D475F88B8C7D}" name="Название товара" dataDxfId="125" dataCellStyle="Обычный 4"/>
    <tableColumn id="5" xr3:uid="{071BE9FD-B93E-4BF1-963E-E301C95C2453}" name="Коллекция" dataDxfId="124" dataCellStyle="Обычный 4"/>
    <tableColumn id="2" xr3:uid="{A999F0F8-00BA-486A-B80B-EB2CD4D3ED68}" name="Тип" dataDxfId="123" dataCellStyle="Обычный 4"/>
    <tableColumn id="3" xr3:uid="{6D170368-F687-40B9-ABF6-5FE9A03A10F9}" name="Инфо" dataDxfId="122" dataCellStyle="Обычный 3 3 2"/>
    <tableColumn id="4" xr3:uid="{6EB55A0C-4ED2-49FF-9E3D-2308BCFBD948}" name="Цена" dataDxfId="121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2B2C59-BD16-4E00-99A9-5F2C31B0A6DC}" name="Цены_Softline_Marine" displayName="Цены_Softline_Marine" ref="BH3:BJ7" totalsRowShown="0" headerRowDxfId="120" dataDxfId="119">
  <autoFilter ref="BH3:BJ7" xr:uid="{76766779-25D2-4D9A-92B0-62DD261F7ADE}"/>
  <tableColumns count="3">
    <tableColumn id="1" xr3:uid="{0C363F62-1411-423B-833C-EE4938A39ED8}" name="Ценовая группа" dataDxfId="118"/>
    <tableColumn id="3" xr3:uid="{0FACAF70-9E78-4CB5-9BEB-94CD4E3EA607}" name="Наличие витрин" dataDxfId="117"/>
    <tableColumn id="2" xr3:uid="{915418D3-2926-4D67-BD82-1F8127353EBE}" name="Цена за  кв.м" dataDxfId="116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47B1B75B-1C76-4CB6-BD82-8DE44024B92E}" name="Цвета_Softline_Marine" displayName="Цвета_Softline_Marine" ref="BL2:BL13" totalsRowShown="0" headerRowDxfId="115" dataDxfId="114" tableBorderDxfId="113" headerRowCellStyle="Обычный 3 3 2" dataCellStyle="Процентный 2">
  <autoFilter ref="BL2:BL13" xr:uid="{8AAB42EF-11F0-4BD8-9205-D4F9B3EA3921}"/>
  <tableColumns count="1">
    <tableColumn id="1" xr3:uid="{58EE08F5-71A2-4D39-ACBB-8D000B687206}" name="Цвета" dataDxfId="112" dataCellStyle="Процентный 2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2A2E993-275D-4708-9B78-1C2AC20809A0}" name="Base" displayName="Base" ref="BU2:BV8" totalsRowShown="0" headerRowDxfId="111" headerRowBorderDxfId="110" tableBorderDxfId="109" headerRowCellStyle="Обычный 3 3 2">
  <autoFilter ref="BU2:BV8" xr:uid="{EDAEED31-3CAB-4857-ADC7-481FD3B657B8}"/>
  <tableColumns count="2">
    <tableColumn id="1" xr3:uid="{298F9606-FFF2-4456-AC78-8E0C89E5AEE7}" name="Изделие" dataDxfId="108"/>
    <tableColumn id="2" xr3:uid="{5323DD3B-F076-4C62-B2EB-57BA20ABF983}" name="Цена" dataDxfId="107"/>
  </tableColumns>
  <tableStyleInfo name="TableStyleLight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F0C334A-B66D-4F75-83D8-40A7B7EF9B72}" name="Furn_for_stol" displayName="Furn_for_stol" ref="BX2:BY13" totalsRowShown="0" headerRowDxfId="106" headerRowBorderDxfId="105" tableBorderDxfId="104" headerRowCellStyle="Обычный 3 3 2">
  <autoFilter ref="BX2:BY13" xr:uid="{6DAF1F7A-F654-434A-9FBB-E4C9E52DE4AB}"/>
  <tableColumns count="2">
    <tableColumn id="1" xr3:uid="{F883FD4A-DA26-49CE-8EA7-9AA9FBA21C63}" name="Изделие"/>
    <tableColumn id="2" xr3:uid="{1608316C-43E3-4957-8A2B-19E934D4247C}" name="Цена"/>
  </tableColumns>
  <tableStyleInfo name="TableStyleLight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03">
  <autoFilter ref="A1:A4" xr:uid="{D6CE3A41-D845-41C4-9D58-9BE1908C774D}"/>
  <tableColumns count="1">
    <tableColumn id="1" xr3:uid="{C4E9F6B1-D43E-417B-B9FF-5CDA6B059B32}" name="Комплектация" dataDxfId="102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01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00">
  <autoFilter ref="G1:G3" xr:uid="{83FDAE35-864B-4962-A9CB-879F0B2B8796}"/>
  <tableColumns count="1">
    <tableColumn id="1" xr3:uid="{E3EA7D02-E62E-4097-A7F7-77A82D4916E3}" name="Высота цоколя" dataDxfId="99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4" totalsRowShown="0" dataDxfId="98">
  <autoFilter ref="J1:J4" xr:uid="{8C8E3226-D01B-41FB-863E-7D072F136CE5}"/>
  <tableColumns count="1">
    <tableColumn id="1" xr3:uid="{8DBCAD4C-AAC4-415D-88BE-7F3A179CA026}" name="Коллекция" dataDxfId="97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2A920A-5684-46F2-A2AF-6ECD17FDC51F}" name="Высота_стандарт" displayName="Высота_стандарт" ref="M1:M14" totalsRowShown="0" headerRowDxfId="94" dataDxfId="93">
  <autoFilter ref="M1:M14" xr:uid="{A0548942-E8A9-4E8B-9851-C4C9F7AF3EB3}"/>
  <tableColumns count="1">
    <tableColumn id="1" xr3:uid="{9C646D72-8409-468A-A0E8-E0892C1BBA42}" name="Высота стандарт" dataDxfId="95"/>
  </tableColumns>
  <tableStyleInfo name="TableStyleLight8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3EC970-FA24-4B0A-A577-8BA30182CB13}" name="Ширина_стандарт" displayName="Ширина_стандарт" ref="O1:O13" totalsRowShown="0" headerRowDxfId="91" dataDxfId="90">
  <autoFilter ref="O1:O13" xr:uid="{60F194AF-2927-4A12-B0A2-383037574BAB}"/>
  <tableColumns count="1">
    <tableColumn id="1" xr3:uid="{9A41E97B-B352-47EB-B725-59542A5C3F59}" name="Ширина стандарт" dataDxfId="9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6" Type="http://schemas.openxmlformats.org/officeDocument/2006/relationships/table" Target="../tables/table19.xml"/><Relationship Id="rId20" Type="http://schemas.openxmlformats.org/officeDocument/2006/relationships/table" Target="../tables/table2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19" Type="http://schemas.openxmlformats.org/officeDocument/2006/relationships/table" Target="../tables/table22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4.emf"/><Relationship Id="rId21" Type="http://schemas.openxmlformats.org/officeDocument/2006/relationships/image" Target="../media/image9.emf"/><Relationship Id="rId42" Type="http://schemas.openxmlformats.org/officeDocument/2006/relationships/image" Target="../media/image19.emf"/><Relationship Id="rId63" Type="http://schemas.openxmlformats.org/officeDocument/2006/relationships/control" Target="../activeX/activeX32.xml"/><Relationship Id="rId84" Type="http://schemas.openxmlformats.org/officeDocument/2006/relationships/control" Target="../activeX/activeX43.xml"/><Relationship Id="rId138" Type="http://schemas.openxmlformats.org/officeDocument/2006/relationships/control" Target="../activeX/activeX71.xml"/><Relationship Id="rId159" Type="http://schemas.openxmlformats.org/officeDocument/2006/relationships/control" Target="../activeX/activeX82.xml"/><Relationship Id="rId170" Type="http://schemas.openxmlformats.org/officeDocument/2006/relationships/image" Target="../media/image76.emf"/><Relationship Id="rId107" Type="http://schemas.openxmlformats.org/officeDocument/2006/relationships/image" Target="../media/image50.emf"/><Relationship Id="rId11" Type="http://schemas.openxmlformats.org/officeDocument/2006/relationships/image" Target="../media/image4.emf"/><Relationship Id="rId32" Type="http://schemas.openxmlformats.org/officeDocument/2006/relationships/image" Target="../media/image14.emf"/><Relationship Id="rId53" Type="http://schemas.openxmlformats.org/officeDocument/2006/relationships/control" Target="../activeX/activeX27.xml"/><Relationship Id="rId74" Type="http://schemas.openxmlformats.org/officeDocument/2006/relationships/image" Target="../media/image34.emf"/><Relationship Id="rId128" Type="http://schemas.openxmlformats.org/officeDocument/2006/relationships/control" Target="../activeX/activeX66.xml"/><Relationship Id="rId149" Type="http://schemas.openxmlformats.org/officeDocument/2006/relationships/image" Target="../media/image70.emf"/><Relationship Id="rId5" Type="http://schemas.openxmlformats.org/officeDocument/2006/relationships/image" Target="../media/image1.emf"/><Relationship Id="rId95" Type="http://schemas.openxmlformats.org/officeDocument/2006/relationships/image" Target="../media/image44.emf"/><Relationship Id="rId160" Type="http://schemas.openxmlformats.org/officeDocument/2006/relationships/control" Target="../activeX/activeX83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1.xml"/><Relationship Id="rId64" Type="http://schemas.openxmlformats.org/officeDocument/2006/relationships/image" Target="../media/image29.emf"/><Relationship Id="rId118" Type="http://schemas.openxmlformats.org/officeDocument/2006/relationships/control" Target="../activeX/activeX61.xml"/><Relationship Id="rId139" Type="http://schemas.openxmlformats.org/officeDocument/2006/relationships/image" Target="../media/image65.emf"/><Relationship Id="rId85" Type="http://schemas.openxmlformats.org/officeDocument/2006/relationships/image" Target="../media/image39.emf"/><Relationship Id="rId150" Type="http://schemas.openxmlformats.org/officeDocument/2006/relationships/control" Target="../activeX/activeX77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6.xml"/><Relationship Id="rId108" Type="http://schemas.openxmlformats.org/officeDocument/2006/relationships/control" Target="../activeX/activeX55.xml"/><Relationship Id="rId129" Type="http://schemas.openxmlformats.org/officeDocument/2006/relationships/image" Target="../media/image60.emf"/><Relationship Id="rId54" Type="http://schemas.openxmlformats.org/officeDocument/2006/relationships/image" Target="../media/image24.emf"/><Relationship Id="rId70" Type="http://schemas.openxmlformats.org/officeDocument/2006/relationships/image" Target="../media/image32.emf"/><Relationship Id="rId75" Type="http://schemas.openxmlformats.org/officeDocument/2006/relationships/control" Target="../activeX/activeX38.xml"/><Relationship Id="rId91" Type="http://schemas.openxmlformats.org/officeDocument/2006/relationships/image" Target="../media/image42.emf"/><Relationship Id="rId96" Type="http://schemas.openxmlformats.org/officeDocument/2006/relationships/control" Target="../activeX/activeX49.xml"/><Relationship Id="rId140" Type="http://schemas.openxmlformats.org/officeDocument/2006/relationships/control" Target="../activeX/activeX72.xml"/><Relationship Id="rId145" Type="http://schemas.openxmlformats.org/officeDocument/2006/relationships/image" Target="../media/image68.emf"/><Relationship Id="rId161" Type="http://schemas.openxmlformats.org/officeDocument/2006/relationships/control" Target="../activeX/activeX84.xml"/><Relationship Id="rId166" Type="http://schemas.openxmlformats.org/officeDocument/2006/relationships/control" Target="../activeX/activeX89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control" Target="../activeX/activeX24.xml"/><Relationship Id="rId114" Type="http://schemas.openxmlformats.org/officeDocument/2006/relationships/control" Target="../activeX/activeX59.xml"/><Relationship Id="rId119" Type="http://schemas.openxmlformats.org/officeDocument/2006/relationships/image" Target="../media/image55.emf"/><Relationship Id="rId44" Type="http://schemas.openxmlformats.org/officeDocument/2006/relationships/image" Target="../media/image20.emf"/><Relationship Id="rId60" Type="http://schemas.openxmlformats.org/officeDocument/2006/relationships/image" Target="../media/image27.emf"/><Relationship Id="rId65" Type="http://schemas.openxmlformats.org/officeDocument/2006/relationships/control" Target="../activeX/activeX33.xml"/><Relationship Id="rId81" Type="http://schemas.openxmlformats.org/officeDocument/2006/relationships/control" Target="../activeX/activeX41.xml"/><Relationship Id="rId86" Type="http://schemas.openxmlformats.org/officeDocument/2006/relationships/control" Target="../activeX/activeX44.xml"/><Relationship Id="rId130" Type="http://schemas.openxmlformats.org/officeDocument/2006/relationships/control" Target="../activeX/activeX67.xml"/><Relationship Id="rId135" Type="http://schemas.openxmlformats.org/officeDocument/2006/relationships/image" Target="../media/image63.emf"/><Relationship Id="rId151" Type="http://schemas.openxmlformats.org/officeDocument/2006/relationships/image" Target="../media/image71.emf"/><Relationship Id="rId156" Type="http://schemas.openxmlformats.org/officeDocument/2006/relationships/control" Target="../activeX/activeX80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control" Target="../activeX/activeX19.xml"/><Relationship Id="rId109" Type="http://schemas.openxmlformats.org/officeDocument/2006/relationships/control" Target="../activeX/activeX56.xml"/><Relationship Id="rId34" Type="http://schemas.openxmlformats.org/officeDocument/2006/relationships/image" Target="../media/image15.emf"/><Relationship Id="rId50" Type="http://schemas.openxmlformats.org/officeDocument/2006/relationships/control" Target="../activeX/activeX25.xml"/><Relationship Id="rId55" Type="http://schemas.openxmlformats.org/officeDocument/2006/relationships/control" Target="../activeX/activeX28.xml"/><Relationship Id="rId76" Type="http://schemas.openxmlformats.org/officeDocument/2006/relationships/image" Target="../media/image35.emf"/><Relationship Id="rId97" Type="http://schemas.openxmlformats.org/officeDocument/2006/relationships/image" Target="../media/image45.emf"/><Relationship Id="rId104" Type="http://schemas.openxmlformats.org/officeDocument/2006/relationships/control" Target="../activeX/activeX53.xml"/><Relationship Id="rId120" Type="http://schemas.openxmlformats.org/officeDocument/2006/relationships/control" Target="../activeX/activeX62.xml"/><Relationship Id="rId125" Type="http://schemas.openxmlformats.org/officeDocument/2006/relationships/image" Target="../media/image58.emf"/><Relationship Id="rId141" Type="http://schemas.openxmlformats.org/officeDocument/2006/relationships/image" Target="../media/image66.emf"/><Relationship Id="rId146" Type="http://schemas.openxmlformats.org/officeDocument/2006/relationships/control" Target="../activeX/activeX75.xml"/><Relationship Id="rId167" Type="http://schemas.openxmlformats.org/officeDocument/2006/relationships/image" Target="../media/image75.emf"/><Relationship Id="rId7" Type="http://schemas.openxmlformats.org/officeDocument/2006/relationships/image" Target="../media/image2.emf"/><Relationship Id="rId71" Type="http://schemas.openxmlformats.org/officeDocument/2006/relationships/control" Target="../activeX/activeX36.xml"/><Relationship Id="rId92" Type="http://schemas.openxmlformats.org/officeDocument/2006/relationships/control" Target="../activeX/activeX47.xml"/><Relationship Id="rId162" Type="http://schemas.openxmlformats.org/officeDocument/2006/relationships/control" Target="../activeX/activeX85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14.xml"/><Relationship Id="rId24" Type="http://schemas.openxmlformats.org/officeDocument/2006/relationships/control" Target="../activeX/activeX11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66" Type="http://schemas.openxmlformats.org/officeDocument/2006/relationships/image" Target="../media/image30.emf"/><Relationship Id="rId87" Type="http://schemas.openxmlformats.org/officeDocument/2006/relationships/image" Target="../media/image40.emf"/><Relationship Id="rId110" Type="http://schemas.openxmlformats.org/officeDocument/2006/relationships/control" Target="../activeX/activeX57.xml"/><Relationship Id="rId115" Type="http://schemas.openxmlformats.org/officeDocument/2006/relationships/image" Target="../media/image53.emf"/><Relationship Id="rId131" Type="http://schemas.openxmlformats.org/officeDocument/2006/relationships/image" Target="../media/image61.emf"/><Relationship Id="rId136" Type="http://schemas.openxmlformats.org/officeDocument/2006/relationships/control" Target="../activeX/activeX70.xml"/><Relationship Id="rId157" Type="http://schemas.openxmlformats.org/officeDocument/2006/relationships/image" Target="../media/image74.emf"/><Relationship Id="rId61" Type="http://schemas.openxmlformats.org/officeDocument/2006/relationships/control" Target="../activeX/activeX31.xml"/><Relationship Id="rId82" Type="http://schemas.openxmlformats.org/officeDocument/2006/relationships/image" Target="../media/image38.emf"/><Relationship Id="rId152" Type="http://schemas.openxmlformats.org/officeDocument/2006/relationships/control" Target="../activeX/activeX78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56" Type="http://schemas.openxmlformats.org/officeDocument/2006/relationships/image" Target="../media/image25.emf"/><Relationship Id="rId77" Type="http://schemas.openxmlformats.org/officeDocument/2006/relationships/control" Target="../activeX/activeX39.xml"/><Relationship Id="rId100" Type="http://schemas.openxmlformats.org/officeDocument/2006/relationships/control" Target="../activeX/activeX51.xml"/><Relationship Id="rId105" Type="http://schemas.openxmlformats.org/officeDocument/2006/relationships/image" Target="../media/image49.emf"/><Relationship Id="rId126" Type="http://schemas.openxmlformats.org/officeDocument/2006/relationships/control" Target="../activeX/activeX65.xml"/><Relationship Id="rId147" Type="http://schemas.openxmlformats.org/officeDocument/2006/relationships/image" Target="../media/image69.emf"/><Relationship Id="rId168" Type="http://schemas.openxmlformats.org/officeDocument/2006/relationships/control" Target="../activeX/activeX90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6.xml"/><Relationship Id="rId72" Type="http://schemas.openxmlformats.org/officeDocument/2006/relationships/image" Target="../media/image33.emf"/><Relationship Id="rId93" Type="http://schemas.openxmlformats.org/officeDocument/2006/relationships/image" Target="../media/image43.emf"/><Relationship Id="rId98" Type="http://schemas.openxmlformats.org/officeDocument/2006/relationships/control" Target="../activeX/activeX50.xml"/><Relationship Id="rId121" Type="http://schemas.openxmlformats.org/officeDocument/2006/relationships/image" Target="../media/image56.emf"/><Relationship Id="rId142" Type="http://schemas.openxmlformats.org/officeDocument/2006/relationships/control" Target="../activeX/activeX73.xml"/><Relationship Id="rId163" Type="http://schemas.openxmlformats.org/officeDocument/2006/relationships/control" Target="../activeX/activeX86.xml"/><Relationship Id="rId3" Type="http://schemas.openxmlformats.org/officeDocument/2006/relationships/vmlDrawing" Target="../drawings/vmlDrawing5.vml"/><Relationship Id="rId25" Type="http://schemas.openxmlformats.org/officeDocument/2006/relationships/image" Target="../media/image11.emf"/><Relationship Id="rId46" Type="http://schemas.openxmlformats.org/officeDocument/2006/relationships/image" Target="../media/image21.emf"/><Relationship Id="rId67" Type="http://schemas.openxmlformats.org/officeDocument/2006/relationships/control" Target="../activeX/activeX34.xml"/><Relationship Id="rId116" Type="http://schemas.openxmlformats.org/officeDocument/2006/relationships/control" Target="../activeX/activeX60.xml"/><Relationship Id="rId137" Type="http://schemas.openxmlformats.org/officeDocument/2006/relationships/image" Target="../media/image64.emf"/><Relationship Id="rId158" Type="http://schemas.openxmlformats.org/officeDocument/2006/relationships/control" Target="../activeX/activeX81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0.xml"/><Relationship Id="rId62" Type="http://schemas.openxmlformats.org/officeDocument/2006/relationships/image" Target="../media/image28.emf"/><Relationship Id="rId83" Type="http://schemas.openxmlformats.org/officeDocument/2006/relationships/control" Target="../activeX/activeX42.xml"/><Relationship Id="rId88" Type="http://schemas.openxmlformats.org/officeDocument/2006/relationships/control" Target="../activeX/activeX45.xml"/><Relationship Id="rId111" Type="http://schemas.openxmlformats.org/officeDocument/2006/relationships/image" Target="../media/image51.emf"/><Relationship Id="rId132" Type="http://schemas.openxmlformats.org/officeDocument/2006/relationships/control" Target="../activeX/activeX68.xml"/><Relationship Id="rId153" Type="http://schemas.openxmlformats.org/officeDocument/2006/relationships/image" Target="../media/image72.emf"/><Relationship Id="rId15" Type="http://schemas.openxmlformats.org/officeDocument/2006/relationships/image" Target="../media/image6.emf"/><Relationship Id="rId36" Type="http://schemas.openxmlformats.org/officeDocument/2006/relationships/image" Target="../media/image16.emf"/><Relationship Id="rId57" Type="http://schemas.openxmlformats.org/officeDocument/2006/relationships/control" Target="../activeX/activeX29.xml"/><Relationship Id="rId106" Type="http://schemas.openxmlformats.org/officeDocument/2006/relationships/control" Target="../activeX/activeX54.xml"/><Relationship Id="rId127" Type="http://schemas.openxmlformats.org/officeDocument/2006/relationships/image" Target="../media/image59.emf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5.xml"/><Relationship Id="rId52" Type="http://schemas.openxmlformats.org/officeDocument/2006/relationships/image" Target="../media/image23.emf"/><Relationship Id="rId73" Type="http://schemas.openxmlformats.org/officeDocument/2006/relationships/control" Target="../activeX/activeX37.xml"/><Relationship Id="rId78" Type="http://schemas.openxmlformats.org/officeDocument/2006/relationships/image" Target="../media/image36.emf"/><Relationship Id="rId94" Type="http://schemas.openxmlformats.org/officeDocument/2006/relationships/control" Target="../activeX/activeX48.xml"/><Relationship Id="rId99" Type="http://schemas.openxmlformats.org/officeDocument/2006/relationships/image" Target="../media/image46.emf"/><Relationship Id="rId101" Type="http://schemas.openxmlformats.org/officeDocument/2006/relationships/image" Target="../media/image47.emf"/><Relationship Id="rId122" Type="http://schemas.openxmlformats.org/officeDocument/2006/relationships/control" Target="../activeX/activeX63.xml"/><Relationship Id="rId143" Type="http://schemas.openxmlformats.org/officeDocument/2006/relationships/image" Target="../media/image67.emf"/><Relationship Id="rId148" Type="http://schemas.openxmlformats.org/officeDocument/2006/relationships/control" Target="../activeX/activeX76.xml"/><Relationship Id="rId164" Type="http://schemas.openxmlformats.org/officeDocument/2006/relationships/control" Target="../activeX/activeX87.xml"/><Relationship Id="rId169" Type="http://schemas.openxmlformats.org/officeDocument/2006/relationships/control" Target="../activeX/activeX9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control" Target="../activeX/activeX23.xml"/><Relationship Id="rId68" Type="http://schemas.openxmlformats.org/officeDocument/2006/relationships/image" Target="../media/image31.emf"/><Relationship Id="rId89" Type="http://schemas.openxmlformats.org/officeDocument/2006/relationships/image" Target="../media/image41.emf"/><Relationship Id="rId112" Type="http://schemas.openxmlformats.org/officeDocument/2006/relationships/control" Target="../activeX/activeX58.xml"/><Relationship Id="rId133" Type="http://schemas.openxmlformats.org/officeDocument/2006/relationships/image" Target="../media/image62.emf"/><Relationship Id="rId154" Type="http://schemas.openxmlformats.org/officeDocument/2006/relationships/control" Target="../activeX/activeX79.xml"/><Relationship Id="rId16" Type="http://schemas.openxmlformats.org/officeDocument/2006/relationships/control" Target="../activeX/activeX7.xml"/><Relationship Id="rId37" Type="http://schemas.openxmlformats.org/officeDocument/2006/relationships/control" Target="../activeX/activeX18.xml"/><Relationship Id="rId58" Type="http://schemas.openxmlformats.org/officeDocument/2006/relationships/image" Target="../media/image26.emf"/><Relationship Id="rId79" Type="http://schemas.openxmlformats.org/officeDocument/2006/relationships/control" Target="../activeX/activeX40.xml"/><Relationship Id="rId102" Type="http://schemas.openxmlformats.org/officeDocument/2006/relationships/control" Target="../activeX/activeX52.xml"/><Relationship Id="rId123" Type="http://schemas.openxmlformats.org/officeDocument/2006/relationships/image" Target="../media/image57.emf"/><Relationship Id="rId144" Type="http://schemas.openxmlformats.org/officeDocument/2006/relationships/control" Target="../activeX/activeX74.xml"/><Relationship Id="rId90" Type="http://schemas.openxmlformats.org/officeDocument/2006/relationships/control" Target="../activeX/activeX46.xml"/><Relationship Id="rId165" Type="http://schemas.openxmlformats.org/officeDocument/2006/relationships/control" Target="../activeX/activeX88.xml"/><Relationship Id="rId27" Type="http://schemas.openxmlformats.org/officeDocument/2006/relationships/image" Target="../media/image12.emf"/><Relationship Id="rId48" Type="http://schemas.openxmlformats.org/officeDocument/2006/relationships/image" Target="../media/image22.emf"/><Relationship Id="rId69" Type="http://schemas.openxmlformats.org/officeDocument/2006/relationships/control" Target="../activeX/activeX35.xml"/><Relationship Id="rId113" Type="http://schemas.openxmlformats.org/officeDocument/2006/relationships/image" Target="../media/image52.emf"/><Relationship Id="rId134" Type="http://schemas.openxmlformats.org/officeDocument/2006/relationships/control" Target="../activeX/activeX69.xml"/><Relationship Id="rId80" Type="http://schemas.openxmlformats.org/officeDocument/2006/relationships/image" Target="../media/image37.emf"/><Relationship Id="rId155" Type="http://schemas.openxmlformats.org/officeDocument/2006/relationships/image" Target="../media/image73.emf"/><Relationship Id="rId17" Type="http://schemas.openxmlformats.org/officeDocument/2006/relationships/image" Target="../media/image7.emf"/><Relationship Id="rId38" Type="http://schemas.openxmlformats.org/officeDocument/2006/relationships/image" Target="../media/image17.emf"/><Relationship Id="rId59" Type="http://schemas.openxmlformats.org/officeDocument/2006/relationships/control" Target="../activeX/activeX30.xml"/><Relationship Id="rId103" Type="http://schemas.openxmlformats.org/officeDocument/2006/relationships/image" Target="../media/image48.emf"/><Relationship Id="rId124" Type="http://schemas.openxmlformats.org/officeDocument/2006/relationships/control" Target="../activeX/activeX6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B7EC7-5938-417B-AB04-E3FBBB0292A4}">
  <sheetPr codeName="Лист3"/>
  <dimension ref="A1:BZ71"/>
  <sheetViews>
    <sheetView zoomScale="115" zoomScaleNormal="115" workbookViewId="0">
      <pane xSplit="1" topLeftCell="B1" activePane="topRight" state="frozen"/>
      <selection pane="topRight" activeCell="C16" sqref="C16"/>
    </sheetView>
  </sheetViews>
  <sheetFormatPr defaultRowHeight="15" x14ac:dyDescent="0.25"/>
  <cols>
    <col min="1" max="1" width="20.7109375" style="1" bestFit="1" customWidth="1"/>
    <col min="2" max="2" width="14.28515625" style="1" customWidth="1"/>
    <col min="3" max="3" width="15.28515625" style="1" customWidth="1"/>
    <col min="4" max="4" width="15" style="1" customWidth="1"/>
    <col min="5" max="5" width="13.85546875" style="1" customWidth="1"/>
    <col min="6" max="6" width="19.7109375" style="1" customWidth="1"/>
    <col min="7" max="7" width="17.85546875" style="121" customWidth="1"/>
    <col min="8" max="8" width="17.140625" style="121" customWidth="1"/>
    <col min="9" max="9" width="16.42578125" style="1" customWidth="1"/>
    <col min="10" max="10" width="20.5703125" style="125" customWidth="1"/>
    <col min="11" max="11" width="17.85546875" customWidth="1"/>
    <col min="12" max="12" width="16.42578125" style="125" customWidth="1"/>
    <col min="13" max="13" width="27.42578125" style="125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32.140625" bestFit="1" customWidth="1"/>
    <col min="21" max="22" width="20.140625" customWidth="1"/>
    <col min="23" max="23" width="25.5703125" customWidth="1"/>
    <col min="24" max="24" width="35.85546875" customWidth="1"/>
    <col min="25" max="27" width="24.28515625" customWidth="1"/>
    <col min="28" max="28" width="24.7109375" bestFit="1" customWidth="1"/>
    <col min="29" max="29" width="31.85546875" customWidth="1"/>
    <col min="30" max="30" width="20.140625" customWidth="1"/>
    <col min="31" max="32" width="28" customWidth="1"/>
    <col min="33" max="33" width="80.28515625" customWidth="1"/>
    <col min="34" max="35" width="77" customWidth="1"/>
    <col min="36" max="38" width="20.140625" customWidth="1"/>
    <col min="39" max="39" width="24.140625" bestFit="1" customWidth="1"/>
    <col min="40" max="40" width="26.28515625" bestFit="1" customWidth="1"/>
    <col min="41" max="41" width="26.42578125" bestFit="1" customWidth="1"/>
    <col min="42" max="42" width="9.42578125" customWidth="1"/>
    <col min="43" max="43" width="13.140625" bestFit="1" customWidth="1"/>
    <col min="45" max="45" width="15.28515625" bestFit="1" customWidth="1"/>
    <col min="46" max="46" width="17.5703125" bestFit="1" customWidth="1"/>
    <col min="47" max="47" width="32.7109375" bestFit="1" customWidth="1"/>
    <col min="48" max="48" width="17.5703125" customWidth="1"/>
    <col min="52" max="52" width="13.140625" customWidth="1"/>
    <col min="53" max="53" width="33.28515625" bestFit="1" customWidth="1"/>
    <col min="54" max="54" width="16.7109375" bestFit="1" customWidth="1"/>
    <col min="55" max="55" width="14.28515625" bestFit="1" customWidth="1"/>
    <col min="56" max="56" width="15.85546875" bestFit="1" customWidth="1"/>
    <col min="57" max="57" width="16.7109375" bestFit="1" customWidth="1"/>
    <col min="58" max="58" width="17.28515625" bestFit="1" customWidth="1"/>
    <col min="59" max="59" width="26.28515625" customWidth="1"/>
    <col min="60" max="60" width="26.5703125" customWidth="1"/>
    <col min="61" max="61" width="9.42578125" customWidth="1"/>
    <col min="62" max="62" width="12.85546875" customWidth="1"/>
    <col min="63" max="63" width="17.42578125" bestFit="1" customWidth="1"/>
    <col min="65" max="65" width="43.140625" bestFit="1" customWidth="1"/>
    <col min="66" max="66" width="15.42578125" customWidth="1"/>
    <col min="67" max="67" width="14.85546875" bestFit="1" customWidth="1"/>
    <col min="68" max="68" width="15.5703125" bestFit="1" customWidth="1"/>
    <col min="69" max="69" width="16.140625" bestFit="1" customWidth="1"/>
    <col min="70" max="70" width="15.28515625" bestFit="1" customWidth="1"/>
    <col min="71" max="71" width="15.7109375" bestFit="1" customWidth="1"/>
    <col min="72" max="72" width="63.140625" bestFit="1" customWidth="1"/>
    <col min="73" max="73" width="13.5703125" customWidth="1"/>
    <col min="75" max="75" width="13.42578125" bestFit="1" customWidth="1"/>
    <col min="77" max="77" width="21.42578125" bestFit="1" customWidth="1"/>
    <col min="78" max="78" width="9.85546875" bestFit="1" customWidth="1"/>
  </cols>
  <sheetData>
    <row r="1" spans="1:78" x14ac:dyDescent="0.25">
      <c r="A1" s="1" t="s">
        <v>119</v>
      </c>
      <c r="B1" s="1" t="s">
        <v>116</v>
      </c>
      <c r="C1" s="1" t="s">
        <v>117</v>
      </c>
      <c r="D1" s="1" t="s">
        <v>118</v>
      </c>
      <c r="E1" s="1" t="s">
        <v>123</v>
      </c>
      <c r="F1" s="1" t="s">
        <v>429</v>
      </c>
      <c r="G1" s="121" t="s">
        <v>418</v>
      </c>
      <c r="H1" s="121" t="s">
        <v>430</v>
      </c>
      <c r="I1" s="1" t="s">
        <v>426</v>
      </c>
      <c r="J1" s="121" t="s">
        <v>433</v>
      </c>
      <c r="K1" s="1" t="s">
        <v>434</v>
      </c>
      <c r="L1" s="121" t="s">
        <v>436</v>
      </c>
      <c r="M1" s="121" t="s">
        <v>437</v>
      </c>
      <c r="N1" s="1" t="s">
        <v>416</v>
      </c>
      <c r="O1" s="1" t="s">
        <v>442</v>
      </c>
      <c r="P1" s="1" t="s">
        <v>100</v>
      </c>
      <c r="Q1" s="1" t="s">
        <v>491</v>
      </c>
      <c r="R1" s="1" t="s">
        <v>125</v>
      </c>
      <c r="S1" s="1" t="s">
        <v>483</v>
      </c>
      <c r="T1" s="1" t="s">
        <v>150</v>
      </c>
      <c r="U1" s="1" t="s">
        <v>121</v>
      </c>
      <c r="V1" s="1" t="s">
        <v>493</v>
      </c>
      <c r="W1" s="1" t="s">
        <v>540</v>
      </c>
      <c r="X1" s="2" t="s">
        <v>558</v>
      </c>
      <c r="Y1" s="1" t="s">
        <v>559</v>
      </c>
      <c r="Z1" s="1" t="s">
        <v>562</v>
      </c>
      <c r="AA1" s="1" t="s">
        <v>565</v>
      </c>
      <c r="AB1" s="1" t="s">
        <v>539</v>
      </c>
      <c r="AC1" s="1" t="s">
        <v>101</v>
      </c>
      <c r="AD1" s="1" t="s">
        <v>752</v>
      </c>
      <c r="AE1" s="1" t="s">
        <v>754</v>
      </c>
      <c r="AF1" s="1" t="s">
        <v>767</v>
      </c>
      <c r="AG1" s="1" t="s">
        <v>750</v>
      </c>
      <c r="AH1" s="1" t="s">
        <v>889</v>
      </c>
      <c r="AI1" s="1" t="s">
        <v>906</v>
      </c>
      <c r="AJ1" s="1" t="s">
        <v>749</v>
      </c>
      <c r="AK1" s="1" t="s">
        <v>748</v>
      </c>
      <c r="AM1" s="1" t="s">
        <v>445</v>
      </c>
      <c r="AN1" s="1" t="s">
        <v>478</v>
      </c>
      <c r="AO1" s="1" t="s">
        <v>479</v>
      </c>
      <c r="AP1" s="1" t="s">
        <v>116</v>
      </c>
      <c r="AQ1" s="1" t="s">
        <v>117</v>
      </c>
      <c r="AR1" s="1" t="s">
        <v>123</v>
      </c>
      <c r="AS1" s="1" t="s">
        <v>480</v>
      </c>
      <c r="AT1" s="1" t="s">
        <v>743</v>
      </c>
      <c r="AU1" s="1" t="s">
        <v>750</v>
      </c>
      <c r="AV1" s="1" t="s">
        <v>877</v>
      </c>
      <c r="AW1" s="1" t="s">
        <v>878</v>
      </c>
      <c r="AX1" s="1" t="s">
        <v>879</v>
      </c>
      <c r="AZ1" s="63" t="s">
        <v>125</v>
      </c>
      <c r="BA1" s="63" t="s">
        <v>483</v>
      </c>
      <c r="BB1" s="63" t="s">
        <v>150</v>
      </c>
      <c r="BC1" s="63" t="s">
        <v>121</v>
      </c>
      <c r="BD1" s="63" t="s">
        <v>567</v>
      </c>
      <c r="BE1" s="63" t="s">
        <v>568</v>
      </c>
      <c r="BF1" s="63" t="s">
        <v>566</v>
      </c>
      <c r="BG1" s="63" t="s">
        <v>559</v>
      </c>
      <c r="BH1" s="63" t="s">
        <v>562</v>
      </c>
      <c r="BI1" s="63" t="s">
        <v>123</v>
      </c>
      <c r="BJ1" s="63" t="s">
        <v>480</v>
      </c>
      <c r="BK1" s="212" t="s">
        <v>906</v>
      </c>
      <c r="BM1" s="83" t="s">
        <v>573</v>
      </c>
      <c r="BN1" s="84" t="s">
        <v>5</v>
      </c>
      <c r="BO1" s="83" t="s">
        <v>114</v>
      </c>
      <c r="BP1" s="83" t="s">
        <v>125</v>
      </c>
      <c r="BQ1" s="85" t="s">
        <v>535</v>
      </c>
      <c r="BR1" s="85" t="s">
        <v>508</v>
      </c>
      <c r="BT1" t="s">
        <v>349</v>
      </c>
      <c r="BU1" t="s">
        <v>535</v>
      </c>
      <c r="BV1" t="s">
        <v>508</v>
      </c>
      <c r="BW1" t="s">
        <v>125</v>
      </c>
      <c r="BY1" t="s">
        <v>892</v>
      </c>
      <c r="BZ1" t="s">
        <v>435</v>
      </c>
    </row>
    <row r="2" spans="1:78" x14ac:dyDescent="0.25">
      <c r="A2" s="213" t="s">
        <v>12</v>
      </c>
      <c r="B2" s="213">
        <v>720</v>
      </c>
      <c r="C2" s="213">
        <v>600</v>
      </c>
      <c r="D2" s="213">
        <v>525</v>
      </c>
      <c r="E2" s="213">
        <v>1</v>
      </c>
      <c r="F2" s="213">
        <v>4884.9750000000004</v>
      </c>
      <c r="G2" s="214">
        <v>0.42674000000000001</v>
      </c>
      <c r="H2" s="215">
        <v>0</v>
      </c>
      <c r="I2" s="213">
        <v>0.28349999999999997</v>
      </c>
      <c r="J2" s="216">
        <v>2601.41</v>
      </c>
      <c r="K2" s="213">
        <v>0</v>
      </c>
      <c r="L2" s="215"/>
      <c r="M2" s="215">
        <v>2644.9750000000004</v>
      </c>
      <c r="N2" s="213">
        <v>450</v>
      </c>
      <c r="O2" s="213" t="s">
        <v>898</v>
      </c>
      <c r="P2" s="213" t="s">
        <v>899</v>
      </c>
      <c r="Q2" s="213"/>
      <c r="R2" s="213" t="s">
        <v>126</v>
      </c>
      <c r="S2" s="213" t="s">
        <v>245</v>
      </c>
      <c r="T2" s="213" t="s">
        <v>223</v>
      </c>
      <c r="U2" s="213" t="s">
        <v>140</v>
      </c>
      <c r="V2" s="213" t="s">
        <v>901</v>
      </c>
      <c r="W2" s="213">
        <v>1000</v>
      </c>
      <c r="X2" s="213">
        <v>1240</v>
      </c>
      <c r="Y2" s="213" t="s">
        <v>900</v>
      </c>
      <c r="Z2" s="213">
        <v>0</v>
      </c>
      <c r="AA2" s="213" t="s">
        <v>902</v>
      </c>
      <c r="AB2" s="213">
        <v>4884.9799999999996</v>
      </c>
      <c r="AC2" s="213" t="s">
        <v>703</v>
      </c>
      <c r="AD2" s="213" t="s">
        <v>158</v>
      </c>
      <c r="AE2" s="213">
        <v>0</v>
      </c>
      <c r="AF2" s="213">
        <v>1</v>
      </c>
      <c r="AG2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EWN1D 720 600 525 0 №2 – С доводчиками ЛДСП БЕТОН ЧИКАГО SL42</v>
      </c>
      <c r="AH2" s="213" t="s">
        <v>903</v>
      </c>
      <c r="AI2" s="213">
        <v>6096</v>
      </c>
      <c r="AJ2" s="213" t="e">
        <f>VLOOKUP(Корзина[[#This Row],[Соединенное название]],#REF!,2,0)</f>
        <v>#REF!</v>
      </c>
      <c r="AK2" s="213" t="e">
        <f>AB2-AJ2</f>
        <v>#REF!</v>
      </c>
      <c r="AM2" s="1"/>
      <c r="AN2" s="1"/>
      <c r="AO2" s="1"/>
      <c r="AP2" s="3"/>
      <c r="AQ2" s="3"/>
      <c r="AR2" s="1"/>
      <c r="AS2" s="1"/>
      <c r="AT2" s="1"/>
      <c r="AU2" s="1"/>
      <c r="AV2" s="1"/>
      <c r="AW2" s="1"/>
      <c r="AX2" s="1"/>
      <c r="AZ2" s="199" t="s">
        <v>126</v>
      </c>
      <c r="BA2" s="199" t="s">
        <v>245</v>
      </c>
      <c r="BB2" s="199" t="s">
        <v>203</v>
      </c>
      <c r="BC2" s="199" t="s">
        <v>139</v>
      </c>
      <c r="BD2" s="199">
        <v>120</v>
      </c>
      <c r="BE2" s="199">
        <v>520</v>
      </c>
      <c r="BF2" s="199">
        <v>6.2399999999999997E-2</v>
      </c>
      <c r="BG2" s="199" t="s">
        <v>900</v>
      </c>
      <c r="BH2" s="199">
        <v>0</v>
      </c>
      <c r="BI2" s="199">
        <v>1</v>
      </c>
      <c r="BJ2" s="199">
        <v>414.98495999999994</v>
      </c>
      <c r="BK2" s="199">
        <v>6650.4</v>
      </c>
      <c r="BM2" s="210" t="s">
        <v>907</v>
      </c>
      <c r="BN2" s="210" t="s">
        <v>575</v>
      </c>
      <c r="BO2" s="210" t="s">
        <v>576</v>
      </c>
      <c r="BP2" s="210" t="s">
        <v>644</v>
      </c>
      <c r="BQ2" s="211">
        <v>1</v>
      </c>
      <c r="BR2" s="211">
        <v>50</v>
      </c>
      <c r="BY2" t="s">
        <v>893</v>
      </c>
      <c r="BZ2">
        <v>50</v>
      </c>
    </row>
    <row r="3" spans="1:78" x14ac:dyDescent="0.25">
      <c r="A3" s="213" t="s">
        <v>0</v>
      </c>
      <c r="B3" s="213">
        <v>720</v>
      </c>
      <c r="C3" s="213">
        <v>530</v>
      </c>
      <c r="D3" s="213">
        <v>525</v>
      </c>
      <c r="E3" s="213">
        <v>3</v>
      </c>
      <c r="F3" s="213">
        <v>15029.49</v>
      </c>
      <c r="G3" s="214">
        <v>0.37662000000000001</v>
      </c>
      <c r="H3" s="215">
        <v>1</v>
      </c>
      <c r="I3" s="213">
        <v>0.2485</v>
      </c>
      <c r="J3" s="216">
        <v>6887.64</v>
      </c>
      <c r="K3" s="213">
        <v>1395.576</v>
      </c>
      <c r="L3" s="215"/>
      <c r="M3" s="215">
        <v>8069.49</v>
      </c>
      <c r="N3" s="213">
        <v>300</v>
      </c>
      <c r="O3" s="213" t="s">
        <v>898</v>
      </c>
      <c r="P3" s="213" t="s">
        <v>899</v>
      </c>
      <c r="Q3" s="213"/>
      <c r="R3" s="213" t="s">
        <v>126</v>
      </c>
      <c r="S3" s="213" t="s">
        <v>245</v>
      </c>
      <c r="T3" s="213" t="s">
        <v>223</v>
      </c>
      <c r="U3" s="213" t="s">
        <v>140</v>
      </c>
      <c r="V3" s="213" t="s">
        <v>901</v>
      </c>
      <c r="W3" s="213">
        <v>1080</v>
      </c>
      <c r="X3" s="213">
        <v>1240</v>
      </c>
      <c r="Y3" s="213" t="s">
        <v>900</v>
      </c>
      <c r="Z3" s="213">
        <v>0</v>
      </c>
      <c r="AA3" s="213" t="s">
        <v>902</v>
      </c>
      <c r="AB3" s="213">
        <v>16425.07</v>
      </c>
      <c r="AC3" s="213" t="s">
        <v>703</v>
      </c>
      <c r="AD3" s="213" t="s">
        <v>158</v>
      </c>
      <c r="AE3" s="213">
        <v>0</v>
      </c>
      <c r="AF3" s="213">
        <v>1</v>
      </c>
      <c r="AG3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EMN1D 720 530 525 1 №2 – С доводчиками ЛДСП БЕТОН ЧИКАГО SL42</v>
      </c>
      <c r="AH3" s="213" t="s">
        <v>903</v>
      </c>
      <c r="AI3" s="213">
        <v>6096</v>
      </c>
      <c r="AJ3" s="213" t="e">
        <f>VLOOKUP(Корзина[[#This Row],[Соединенное название]],#REF!,2,0)</f>
        <v>#REF!</v>
      </c>
      <c r="AK3" s="213" t="e">
        <f>AB3-AJ3</f>
        <v>#REF!</v>
      </c>
      <c r="AZ3" s="199" t="s">
        <v>126</v>
      </c>
      <c r="BA3" s="199" t="s">
        <v>245</v>
      </c>
      <c r="BB3" s="199" t="s">
        <v>203</v>
      </c>
      <c r="BC3" s="199" t="s">
        <v>139</v>
      </c>
      <c r="BD3" s="199">
        <v>1730</v>
      </c>
      <c r="BE3" s="199">
        <v>120</v>
      </c>
      <c r="BF3" s="199">
        <v>0.20760000000000001</v>
      </c>
      <c r="BG3" s="199" t="s">
        <v>900</v>
      </c>
      <c r="BH3" s="199">
        <v>0</v>
      </c>
      <c r="BI3" s="199">
        <v>1</v>
      </c>
      <c r="BJ3" s="199">
        <v>1380.6230399999999</v>
      </c>
      <c r="BK3" s="199">
        <v>6650.4</v>
      </c>
      <c r="BY3" t="s">
        <v>894</v>
      </c>
      <c r="BZ3">
        <v>50</v>
      </c>
    </row>
    <row r="4" spans="1:78" x14ac:dyDescent="0.25">
      <c r="A4" s="213" t="s">
        <v>17</v>
      </c>
      <c r="B4" s="213">
        <v>720</v>
      </c>
      <c r="C4" s="213">
        <v>600</v>
      </c>
      <c r="D4" s="213">
        <v>525</v>
      </c>
      <c r="E4" s="213">
        <v>1</v>
      </c>
      <c r="F4" s="213">
        <v>4876.6499999999996</v>
      </c>
      <c r="G4" s="214">
        <v>6.9139999999999993E-2</v>
      </c>
      <c r="H4" s="215">
        <v>0</v>
      </c>
      <c r="I4" s="213">
        <v>0</v>
      </c>
      <c r="J4" s="216">
        <v>421.48</v>
      </c>
      <c r="K4" s="213">
        <v>0</v>
      </c>
      <c r="L4" s="215"/>
      <c r="M4" s="215">
        <v>3226.6499999999996</v>
      </c>
      <c r="N4" s="213">
        <v>450</v>
      </c>
      <c r="O4" s="213" t="s">
        <v>898</v>
      </c>
      <c r="P4" s="213" t="s">
        <v>756</v>
      </c>
      <c r="Q4" s="213"/>
      <c r="R4" s="213" t="s">
        <v>126</v>
      </c>
      <c r="S4" s="213" t="s">
        <v>245</v>
      </c>
      <c r="T4" s="213" t="s">
        <v>223</v>
      </c>
      <c r="U4" s="213" t="s">
        <v>140</v>
      </c>
      <c r="V4" s="213" t="s">
        <v>901</v>
      </c>
      <c r="W4" s="213">
        <v>1000</v>
      </c>
      <c r="X4" s="213">
        <v>650</v>
      </c>
      <c r="Y4" s="213" t="s">
        <v>900</v>
      </c>
      <c r="Z4" s="213">
        <v>0</v>
      </c>
      <c r="AA4" s="213" t="s">
        <v>902</v>
      </c>
      <c r="AB4" s="213">
        <v>4876.6499999999996</v>
      </c>
      <c r="AC4" s="213" t="s">
        <v>703</v>
      </c>
      <c r="AD4" s="213" t="s">
        <v>158</v>
      </c>
      <c r="AE4" s="213">
        <v>0</v>
      </c>
      <c r="AF4" s="213">
        <v>1</v>
      </c>
      <c r="AG4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ETN1B 720 600 525 0 №3 – Без доводчиков ЛДСП БЕТОН ЧИКАГО SL42</v>
      </c>
      <c r="AH4" s="213" t="s">
        <v>904</v>
      </c>
      <c r="AI4" s="213">
        <v>6096</v>
      </c>
      <c r="AJ4" s="213" t="e">
        <f>VLOOKUP(Корзина[[#This Row],[Соединенное название]],#REF!,2,0)</f>
        <v>#REF!</v>
      </c>
      <c r="AK4" s="213" t="e">
        <f>AB4-AJ4</f>
        <v>#REF!</v>
      </c>
      <c r="AZ4" s="199" t="s">
        <v>126</v>
      </c>
      <c r="BA4" s="199" t="s">
        <v>245</v>
      </c>
      <c r="BB4" s="199" t="s">
        <v>203</v>
      </c>
      <c r="BC4" s="199" t="s">
        <v>139</v>
      </c>
      <c r="BD4" s="199">
        <v>1660</v>
      </c>
      <c r="BE4" s="199">
        <v>120</v>
      </c>
      <c r="BF4" s="199">
        <v>0.19919999999999999</v>
      </c>
      <c r="BG4" s="199" t="s">
        <v>900</v>
      </c>
      <c r="BH4" s="199">
        <v>0</v>
      </c>
      <c r="BI4" s="199">
        <v>1</v>
      </c>
      <c r="BJ4" s="199">
        <v>1324.7596799999999</v>
      </c>
      <c r="BK4" s="199">
        <v>6650.4</v>
      </c>
      <c r="BY4" t="s">
        <v>895</v>
      </c>
      <c r="BZ4">
        <v>50</v>
      </c>
    </row>
    <row r="5" spans="1:78" x14ac:dyDescent="0.25">
      <c r="A5" s="213" t="s">
        <v>39</v>
      </c>
      <c r="B5" s="213">
        <v>2280</v>
      </c>
      <c r="C5" s="213">
        <v>520</v>
      </c>
      <c r="D5" s="213">
        <v>315</v>
      </c>
      <c r="E5" s="213">
        <v>1</v>
      </c>
      <c r="F5" s="213">
        <v>13401.800000000001</v>
      </c>
      <c r="G5" s="214">
        <v>1.17235</v>
      </c>
      <c r="H5" s="215">
        <v>4</v>
      </c>
      <c r="I5" s="213">
        <v>0.14122999999999999</v>
      </c>
      <c r="J5" s="216">
        <v>7146.65</v>
      </c>
      <c r="K5" s="213">
        <v>1057.53024</v>
      </c>
      <c r="L5" s="215"/>
      <c r="M5" s="215">
        <v>8401.8000000000011</v>
      </c>
      <c r="N5" s="213">
        <v>600</v>
      </c>
      <c r="O5" s="213" t="s">
        <v>898</v>
      </c>
      <c r="P5" s="213" t="s">
        <v>899</v>
      </c>
      <c r="Q5" s="213"/>
      <c r="R5" s="213" t="s">
        <v>126</v>
      </c>
      <c r="S5" s="213" t="s">
        <v>245</v>
      </c>
      <c r="T5" s="213" t="s">
        <v>223</v>
      </c>
      <c r="U5" s="213" t="s">
        <v>140</v>
      </c>
      <c r="V5" s="213" t="s">
        <v>901</v>
      </c>
      <c r="W5" s="213">
        <v>1280</v>
      </c>
      <c r="X5" s="213">
        <v>3720</v>
      </c>
      <c r="Y5" s="213" t="s">
        <v>900</v>
      </c>
      <c r="Z5" s="213">
        <v>0</v>
      </c>
      <c r="AA5" s="213" t="s">
        <v>902</v>
      </c>
      <c r="AB5" s="213">
        <v>14459.33</v>
      </c>
      <c r="AC5" s="213" t="s">
        <v>703</v>
      </c>
      <c r="AD5" s="213" t="s">
        <v>158</v>
      </c>
      <c r="AE5" s="213">
        <v>0</v>
      </c>
      <c r="AF5" s="213">
        <v>2</v>
      </c>
      <c r="AG5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EP2D 2280 520 315 4 №2 – С доводчиками ЛДСП БЕТОН ЧИКАГО SL42</v>
      </c>
      <c r="AH5" s="213" t="s">
        <v>903</v>
      </c>
      <c r="AI5" s="213">
        <v>6096</v>
      </c>
      <c r="AJ5" s="213" t="e">
        <f>VLOOKUP(Корзина[[#This Row],[Соединенное название]],#REF!,2,0)</f>
        <v>#REF!</v>
      </c>
      <c r="AK5" s="213" t="e">
        <f>AB5-AJ5</f>
        <v>#REF!</v>
      </c>
      <c r="AZ5" s="128" t="s">
        <v>881</v>
      </c>
      <c r="BA5" s="128"/>
      <c r="BB5" s="128"/>
      <c r="BC5" s="128"/>
      <c r="BD5" s="130"/>
      <c r="BE5" s="130"/>
      <c r="BF5" s="130"/>
      <c r="BG5" s="128"/>
      <c r="BH5" s="128"/>
      <c r="BI5" s="128"/>
      <c r="BJ5" s="128">
        <f>SUBTOTAL(109,Заказ_Отдельные_фасады[Стоимость])</f>
        <v>3120.3676799999998</v>
      </c>
      <c r="BK5" s="128"/>
      <c r="BY5" t="s">
        <v>896</v>
      </c>
      <c r="BZ5">
        <v>50</v>
      </c>
    </row>
    <row r="6" spans="1:78" x14ac:dyDescent="0.25">
      <c r="A6" s="213" t="s">
        <v>82</v>
      </c>
      <c r="B6" s="213">
        <v>960</v>
      </c>
      <c r="C6" s="213">
        <v>600</v>
      </c>
      <c r="D6" s="213">
        <v>315</v>
      </c>
      <c r="E6" s="213">
        <v>1</v>
      </c>
      <c r="F6" s="213">
        <v>4354.03</v>
      </c>
      <c r="G6" s="214">
        <v>0.56977999999999995</v>
      </c>
      <c r="H6" s="215">
        <v>2</v>
      </c>
      <c r="I6" s="213">
        <v>0.16442999999999999</v>
      </c>
      <c r="J6" s="216">
        <v>3157.72</v>
      </c>
      <c r="K6" s="213">
        <v>615.62591999999995</v>
      </c>
      <c r="L6" s="215">
        <v>630.4799999999999</v>
      </c>
      <c r="M6" s="215">
        <v>2344.0299999999997</v>
      </c>
      <c r="N6" s="213">
        <v>300</v>
      </c>
      <c r="O6" s="213" t="s">
        <v>898</v>
      </c>
      <c r="P6" s="213" t="s">
        <v>899</v>
      </c>
      <c r="Q6" s="213"/>
      <c r="R6" s="213" t="s">
        <v>126</v>
      </c>
      <c r="S6" s="213" t="s">
        <v>245</v>
      </c>
      <c r="T6" s="213" t="s">
        <v>203</v>
      </c>
      <c r="U6" s="213" t="s">
        <v>139</v>
      </c>
      <c r="V6" s="213" t="s">
        <v>905</v>
      </c>
      <c r="W6" s="213">
        <v>770</v>
      </c>
      <c r="X6" s="213">
        <v>1240</v>
      </c>
      <c r="Y6" s="213" t="s">
        <v>900</v>
      </c>
      <c r="Z6" s="213">
        <v>0</v>
      </c>
      <c r="AA6" s="213" t="s">
        <v>902</v>
      </c>
      <c r="AB6" s="213">
        <v>5600.14</v>
      </c>
      <c r="AC6" s="213" t="s">
        <v>703</v>
      </c>
      <c r="AD6" s="213" t="s">
        <v>158</v>
      </c>
      <c r="AE6" s="213">
        <v>0</v>
      </c>
      <c r="AF6" s="213">
        <v>1</v>
      </c>
      <c r="AG6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960 600 315 2 №2 – С доводчиками ЛДСП БЕТОН ЧИКАГО SL42</v>
      </c>
      <c r="AH6" s="213" t="s">
        <v>903</v>
      </c>
      <c r="AI6" s="213">
        <v>5542</v>
      </c>
      <c r="AJ6" s="213" t="e">
        <f>VLOOKUP(Корзина[[#This Row],[Соединенное название]],#REF!,2,0)</f>
        <v>#REF!</v>
      </c>
      <c r="AK6" s="213" t="e">
        <f>AB6-AJ6</f>
        <v>#REF!</v>
      </c>
      <c r="BY6" t="s">
        <v>897</v>
      </c>
      <c r="BZ6">
        <v>0</v>
      </c>
    </row>
    <row r="7" spans="1:78" x14ac:dyDescent="0.25">
      <c r="A7" s="213" t="s">
        <v>82</v>
      </c>
      <c r="B7" s="213">
        <v>960</v>
      </c>
      <c r="C7" s="213">
        <v>530</v>
      </c>
      <c r="D7" s="213">
        <v>315</v>
      </c>
      <c r="E7" s="213">
        <v>3</v>
      </c>
      <c r="F7" s="213">
        <v>12831.405000000001</v>
      </c>
      <c r="G7" s="214">
        <v>0.50285999999999997</v>
      </c>
      <c r="H7" s="215">
        <v>2</v>
      </c>
      <c r="I7" s="213">
        <v>0.14413000000000001</v>
      </c>
      <c r="J7" s="216">
        <v>8360.5499999999993</v>
      </c>
      <c r="K7" s="213">
        <v>1618.8681600000002</v>
      </c>
      <c r="L7" s="215">
        <v>1658.34</v>
      </c>
      <c r="M7" s="215">
        <v>6801.4050000000007</v>
      </c>
      <c r="N7" s="213">
        <v>300</v>
      </c>
      <c r="O7" s="213" t="s">
        <v>898</v>
      </c>
      <c r="P7" s="213" t="s">
        <v>899</v>
      </c>
      <c r="Q7" s="213"/>
      <c r="R7" s="213" t="s">
        <v>126</v>
      </c>
      <c r="S7" s="213" t="s">
        <v>245</v>
      </c>
      <c r="T7" s="213" t="s">
        <v>203</v>
      </c>
      <c r="U7" s="213" t="s">
        <v>139</v>
      </c>
      <c r="V7" s="213" t="s">
        <v>905</v>
      </c>
      <c r="W7" s="213">
        <v>770</v>
      </c>
      <c r="X7" s="213">
        <v>1240</v>
      </c>
      <c r="Y7" s="213" t="s">
        <v>900</v>
      </c>
      <c r="Z7" s="213">
        <v>0</v>
      </c>
      <c r="AA7" s="213" t="s">
        <v>902</v>
      </c>
      <c r="AB7" s="213">
        <v>16108.61</v>
      </c>
      <c r="AC7" s="213" t="s">
        <v>703</v>
      </c>
      <c r="AD7" s="213" t="s">
        <v>158</v>
      </c>
      <c r="AE7" s="213">
        <v>0</v>
      </c>
      <c r="AF7" s="213">
        <v>1</v>
      </c>
      <c r="AG7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EVG1D 960 530 315 2 №2 – С доводчиками ЛДСП БЕТОН ЧИКАГО SL42</v>
      </c>
      <c r="AH7" s="213" t="s">
        <v>903</v>
      </c>
      <c r="AI7" s="213">
        <v>5542</v>
      </c>
      <c r="AJ7" s="213" t="e">
        <f>VLOOKUP(Корзина[[#This Row],[Соединенное название]],#REF!,2,0)</f>
        <v>#REF!</v>
      </c>
      <c r="AK7" s="213" t="e">
        <f>AB7-AJ7</f>
        <v>#REF!</v>
      </c>
    </row>
    <row r="8" spans="1:78" x14ac:dyDescent="0.25">
      <c r="A8" s="213" t="s">
        <v>408</v>
      </c>
      <c r="B8" s="213">
        <v>960</v>
      </c>
      <c r="C8" s="213">
        <v>596</v>
      </c>
      <c r="D8" s="213">
        <v>315</v>
      </c>
      <c r="E8" s="213">
        <v>1</v>
      </c>
      <c r="F8" s="213">
        <v>8886.3269999999993</v>
      </c>
      <c r="G8" s="214">
        <v>0.56594999999999995</v>
      </c>
      <c r="H8" s="215">
        <v>1</v>
      </c>
      <c r="I8" s="213">
        <v>0.16327</v>
      </c>
      <c r="J8" s="216">
        <v>3136.49</v>
      </c>
      <c r="K8" s="213">
        <v>305.64143999999999</v>
      </c>
      <c r="L8" s="215"/>
      <c r="M8" s="215">
        <v>2156.3269999999993</v>
      </c>
      <c r="N8" s="213">
        <v>450</v>
      </c>
      <c r="O8" s="213" t="s">
        <v>898</v>
      </c>
      <c r="P8" s="213" t="s">
        <v>899</v>
      </c>
      <c r="Q8" s="213"/>
      <c r="R8" s="213" t="s">
        <v>126</v>
      </c>
      <c r="S8" s="213" t="s">
        <v>245</v>
      </c>
      <c r="T8" s="213" t="s">
        <v>203</v>
      </c>
      <c r="U8" s="213" t="s">
        <v>139</v>
      </c>
      <c r="V8" s="213" t="s">
        <v>905</v>
      </c>
      <c r="W8" s="213">
        <v>570</v>
      </c>
      <c r="X8" s="213">
        <v>6160</v>
      </c>
      <c r="Y8" s="213" t="s">
        <v>900</v>
      </c>
      <c r="Z8" s="213">
        <v>0</v>
      </c>
      <c r="AA8" s="213" t="s">
        <v>902</v>
      </c>
      <c r="AB8" s="213">
        <v>9191.9699999999993</v>
      </c>
      <c r="AC8" s="213" t="s">
        <v>703</v>
      </c>
      <c r="AD8" s="213" t="s">
        <v>158</v>
      </c>
      <c r="AE8" s="213">
        <v>0</v>
      </c>
      <c r="AF8" s="213">
        <v>1</v>
      </c>
      <c r="AG8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EWV1D_600 960 596 315 1 №2 – С доводчиками ЛДСП БЕТОН ЧИКАГО SL42</v>
      </c>
      <c r="AH8" s="213" t="s">
        <v>903</v>
      </c>
      <c r="AI8" s="213">
        <v>5542</v>
      </c>
      <c r="AJ8" s="213" t="e">
        <f>VLOOKUP(Корзина[[#This Row],[Соединенное название]],#REF!,2,0)</f>
        <v>#REF!</v>
      </c>
      <c r="AK8" s="213" t="e">
        <f>AB8-AJ8</f>
        <v>#REF!</v>
      </c>
    </row>
    <row r="9" spans="1:78" x14ac:dyDescent="0.25">
      <c r="A9" s="213" t="s">
        <v>1</v>
      </c>
      <c r="B9" s="213">
        <v>720</v>
      </c>
      <c r="C9" s="213">
        <v>600</v>
      </c>
      <c r="D9" s="213">
        <v>525</v>
      </c>
      <c r="E9" s="213">
        <v>1</v>
      </c>
      <c r="F9" s="213">
        <v>21596.699999999997</v>
      </c>
      <c r="G9" s="214">
        <v>0.42197000000000001</v>
      </c>
      <c r="H9" s="215">
        <v>0</v>
      </c>
      <c r="I9" s="213">
        <v>0</v>
      </c>
      <c r="J9" s="216">
        <v>2572.33</v>
      </c>
      <c r="K9" s="213">
        <v>0</v>
      </c>
      <c r="L9" s="215"/>
      <c r="M9" s="215">
        <v>3656.6999999999989</v>
      </c>
      <c r="N9" s="213">
        <v>300</v>
      </c>
      <c r="O9" s="213" t="s">
        <v>898</v>
      </c>
      <c r="P9" s="213" t="s">
        <v>899</v>
      </c>
      <c r="Q9" s="213"/>
      <c r="R9" s="213" t="s">
        <v>126</v>
      </c>
      <c r="S9" s="213" t="s">
        <v>245</v>
      </c>
      <c r="T9" s="213" t="s">
        <v>223</v>
      </c>
      <c r="U9" s="213" t="s">
        <v>140</v>
      </c>
      <c r="V9" s="213" t="s">
        <v>901</v>
      </c>
      <c r="W9" s="213">
        <v>1080</v>
      </c>
      <c r="X9" s="213">
        <v>16860</v>
      </c>
      <c r="Y9" s="213" t="s">
        <v>900</v>
      </c>
      <c r="Z9" s="213">
        <v>0</v>
      </c>
      <c r="AA9" s="213" t="s">
        <v>902</v>
      </c>
      <c r="AB9" s="213">
        <v>21596.7</v>
      </c>
      <c r="AC9" s="213" t="s">
        <v>703</v>
      </c>
      <c r="AD9" s="213" t="s">
        <v>158</v>
      </c>
      <c r="AE9" s="213">
        <v>0</v>
      </c>
      <c r="AF9" s="213">
        <v>3</v>
      </c>
      <c r="AG9" s="213" t="str">
        <f>Корзина[[#This Row],[Номенклатура]]&amp;" "&amp;Корзина[[#This Row],[Высота]]&amp; " " &amp;Корзина[[#This Row],[Ширина]]&amp; " " &amp;Корзина[[#This Row],[Глубина]]&amp; " " &amp;Корзина[[#This Row],[Полки,шт.]]&amp; " " &amp;Корзина[[#This Row],[Комплектация]]&amp; " " &amp;Корзина[[#This Row],[Материал полок]]&amp; " " &amp;Корзина[[#This Row],[Материал корпуса]]</f>
        <v>EMN3B 720 600 525 0 №2 – С доводчиками ЛДСП БЕТОН ЧИКАГО SL42</v>
      </c>
      <c r="AH9" s="213" t="s">
        <v>903</v>
      </c>
      <c r="AI9" s="213">
        <v>6096</v>
      </c>
      <c r="AJ9" s="213" t="e">
        <f>VLOOKUP(Корзина[[#This Row],[Соединенное название]],#REF!,2,0)</f>
        <v>#REF!</v>
      </c>
      <c r="AK9" s="213" t="e">
        <f>AB9-AJ9</f>
        <v>#REF!</v>
      </c>
    </row>
    <row r="10" spans="1:78" x14ac:dyDescent="0.25">
      <c r="A10" s="213" t="s">
        <v>881</v>
      </c>
      <c r="B10" s="213"/>
      <c r="C10" s="213"/>
      <c r="D10" s="213"/>
      <c r="E10" s="213"/>
      <c r="F10" s="213"/>
      <c r="G10" s="214"/>
      <c r="H10" s="215"/>
      <c r="I10" s="213"/>
      <c r="J10" s="216">
        <f>SUBTOTAL(109,Корзина[Цена фасадов])</f>
        <v>34284.270000000004</v>
      </c>
      <c r="K10" s="213"/>
      <c r="L10" s="215"/>
      <c r="M10" s="215"/>
      <c r="N10" s="213"/>
      <c r="O10" s="213"/>
      <c r="P10" s="213"/>
      <c r="Q10" s="213"/>
      <c r="R10" s="213"/>
      <c r="S10" s="213"/>
      <c r="T10" s="213"/>
      <c r="U10" s="213"/>
      <c r="V10" s="213"/>
      <c r="W10" s="213"/>
      <c r="X10" s="213"/>
      <c r="Y10" s="213"/>
      <c r="Z10" s="213"/>
      <c r="AA10" s="213"/>
      <c r="AB10" s="213">
        <f>SUBTOTAL(109,Корзина[Цена корпус + полки])</f>
        <v>93143.45</v>
      </c>
      <c r="AC10" s="213"/>
      <c r="AD10" s="213"/>
      <c r="AE10" s="213"/>
      <c r="AF10" s="213"/>
      <c r="AG10" s="213"/>
      <c r="AH10" s="213"/>
      <c r="AI10" s="213"/>
      <c r="AJ10" s="213"/>
      <c r="AK10" s="213"/>
    </row>
    <row r="21" spans="1:50" s="124" customFormat="1" x14ac:dyDescent="0.25">
      <c r="A21" s="1"/>
      <c r="B21" s="1"/>
      <c r="C21" s="1"/>
      <c r="D21" s="1"/>
      <c r="E21" s="1"/>
      <c r="F21" s="1"/>
      <c r="G21" s="121"/>
      <c r="H21" s="121"/>
      <c r="I21" s="1"/>
      <c r="J21" s="125"/>
      <c r="K21"/>
      <c r="L21" s="125"/>
      <c r="M21" s="12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V21"/>
      <c r="AW21"/>
      <c r="AX21"/>
    </row>
    <row r="22" spans="1:50" s="125" customFormat="1" x14ac:dyDescent="0.25">
      <c r="A22" s="1"/>
      <c r="B22" s="1"/>
      <c r="C22" s="1"/>
      <c r="D22" s="1"/>
      <c r="E22" s="1"/>
      <c r="F22" s="1"/>
      <c r="G22" s="121"/>
      <c r="H22" s="121"/>
      <c r="I22" s="1"/>
      <c r="K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V22"/>
      <c r="AW22"/>
      <c r="AX22"/>
    </row>
    <row r="58" spans="1:62" s="125" customFormat="1" x14ac:dyDescent="0.25">
      <c r="A58" s="1"/>
      <c r="B58" s="1"/>
      <c r="C58" s="1"/>
      <c r="D58" s="1"/>
      <c r="E58" s="1"/>
      <c r="F58" s="1"/>
      <c r="G58" s="121"/>
      <c r="H58" s="121"/>
      <c r="I58" s="1"/>
      <c r="K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V58"/>
      <c r="AW58"/>
      <c r="AX58"/>
      <c r="AZ58"/>
      <c r="BA58"/>
      <c r="BB58"/>
      <c r="BC58"/>
      <c r="BD58"/>
      <c r="BE58"/>
      <c r="BF58"/>
      <c r="BG58"/>
      <c r="BH58"/>
      <c r="BI58"/>
      <c r="BJ58"/>
    </row>
    <row r="59" spans="1:62" s="125" customFormat="1" x14ac:dyDescent="0.25">
      <c r="A59" s="1"/>
      <c r="B59" s="1"/>
      <c r="C59" s="1"/>
      <c r="D59" s="1"/>
      <c r="E59" s="1"/>
      <c r="F59" s="1"/>
      <c r="G59" s="121"/>
      <c r="H59" s="121"/>
      <c r="I59" s="1"/>
      <c r="K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V59"/>
      <c r="AW59"/>
      <c r="AX59"/>
      <c r="AZ59"/>
      <c r="BA59"/>
      <c r="BB59"/>
      <c r="BC59"/>
      <c r="BD59"/>
      <c r="BE59"/>
      <c r="BF59"/>
      <c r="BG59"/>
      <c r="BH59"/>
      <c r="BI59"/>
      <c r="BJ59"/>
    </row>
    <row r="60" spans="1:62" s="125" customFormat="1" x14ac:dyDescent="0.25">
      <c r="A60" s="1"/>
      <c r="B60" s="1"/>
      <c r="C60" s="1"/>
      <c r="D60" s="1"/>
      <c r="E60" s="1"/>
      <c r="F60" s="1"/>
      <c r="G60" s="121"/>
      <c r="H60" s="121"/>
      <c r="I60" s="1"/>
      <c r="K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V60"/>
      <c r="AW60"/>
      <c r="AX60"/>
    </row>
    <row r="61" spans="1:62" s="125" customFormat="1" x14ac:dyDescent="0.25">
      <c r="A61" s="1"/>
      <c r="B61" s="1"/>
      <c r="C61" s="1"/>
      <c r="D61" s="1"/>
      <c r="E61" s="1"/>
      <c r="F61" s="1"/>
      <c r="G61" s="121"/>
      <c r="H61" s="121"/>
      <c r="I61" s="1"/>
      <c r="K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V61"/>
      <c r="AW61"/>
      <c r="AX61"/>
    </row>
    <row r="62" spans="1:62" x14ac:dyDescent="0.25">
      <c r="AZ62" s="125"/>
      <c r="BA62" s="125"/>
      <c r="BB62" s="125"/>
      <c r="BC62" s="125"/>
      <c r="BD62" s="125"/>
      <c r="BE62" s="125"/>
      <c r="BF62" s="125"/>
      <c r="BG62" s="125"/>
      <c r="BH62" s="125"/>
      <c r="BI62" s="125"/>
      <c r="BJ62" s="125"/>
    </row>
    <row r="63" spans="1:62" x14ac:dyDescent="0.25">
      <c r="AZ63" s="125"/>
      <c r="BA63" s="125"/>
      <c r="BB63" s="125"/>
      <c r="BC63" s="125"/>
      <c r="BD63" s="125"/>
      <c r="BE63" s="125"/>
      <c r="BF63" s="125"/>
      <c r="BG63" s="125"/>
      <c r="BH63" s="125"/>
      <c r="BI63" s="125"/>
      <c r="BJ63" s="125"/>
    </row>
    <row r="69" ht="15.75" customHeight="1" x14ac:dyDescent="0.25"/>
    <row r="70" ht="15.75" customHeight="1" x14ac:dyDescent="0.25"/>
    <row r="71" ht="15.75" customHeight="1" x14ac:dyDescent="0.25"/>
  </sheetData>
  <conditionalFormatting sqref="A1:AK1">
    <cfRule type="expression" dxfId="89" priority="1">
      <formula>#REF!&lt;#REF!</formula>
    </cfRule>
  </conditionalFormatting>
  <conditionalFormatting sqref="A2:AK9">
    <cfRule type="expression" dxfId="88" priority="2">
      <formula>$AM1048364&lt;#REF!</formula>
    </cfRule>
  </conditionalFormatting>
  <conditionalFormatting sqref="AK2:AK9">
    <cfRule type="iconSet" priority="33">
      <iconSet iconSet="3Arrows">
        <cfvo type="percent" val="0"/>
        <cfvo type="percent" val="33"/>
        <cfvo type="percent" val="67"/>
      </iconSet>
    </cfRule>
    <cfRule type="cellIs" dxfId="87" priority="34" operator="lessThan">
      <formula>-40</formula>
    </cfRule>
    <cfRule type="cellIs" dxfId="86" priority="35" operator="greaterThan">
      <formula>40</formula>
    </cfRule>
  </conditionalFormatting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tabSelected="1" workbookViewId="0">
      <selection activeCell="N4" sqref="N4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Open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O162"/>
  <sheetViews>
    <sheetView zoomScale="130" zoomScaleNormal="130" workbookViewId="0">
      <pane xSplit="1" topLeftCell="BZ1" activePane="topRight" state="frozen"/>
      <selection pane="topRight" activeCell="CB49" sqref="CB49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63.28515625" style="1" bestFit="1" customWidth="1"/>
    <col min="4" max="6" width="15.7109375" style="1" customWidth="1"/>
    <col min="7" max="13" width="15.7109375" customWidth="1"/>
    <col min="14" max="14" width="27" style="31" customWidth="1"/>
    <col min="15" max="15" width="15.7109375" style="1" customWidth="1"/>
    <col min="16" max="17" width="15.7109375" customWidth="1"/>
    <col min="18" max="18" width="24.5703125" customWidth="1"/>
    <col min="19" max="19" width="25.5703125" customWidth="1"/>
    <col min="20" max="20" width="29.28515625" customWidth="1"/>
    <col min="21" max="21" width="27.28515625" customWidth="1"/>
    <col min="22" max="22" width="26" customWidth="1"/>
    <col min="23" max="23" width="35" customWidth="1"/>
    <col min="24" max="24" width="28.85546875" customWidth="1"/>
    <col min="25" max="25" width="34.42578125" customWidth="1"/>
    <col min="26" max="26" width="30.5703125" customWidth="1"/>
    <col min="27" max="27" width="26.28515625" customWidth="1"/>
    <col min="28" max="28" width="15.7109375" customWidth="1"/>
    <col min="29" max="29" width="30" customWidth="1"/>
    <col min="30" max="30" width="33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5" width="9.140625" customWidth="1"/>
    <col min="66" max="66" width="18.140625" customWidth="1"/>
    <col min="67" max="67" width="9.140625" customWidth="1"/>
    <col min="68" max="68" width="14.28515625" bestFit="1" customWidth="1"/>
    <col min="69" max="69" width="29.5703125" customWidth="1"/>
    <col min="70" max="70" width="20.140625" customWidth="1"/>
    <col min="71" max="71" width="13.7109375" customWidth="1"/>
    <col min="73" max="73" width="28.140625" customWidth="1"/>
    <col min="75" max="75" width="19.5703125" bestFit="1" customWidth="1"/>
    <col min="76" max="76" width="23" customWidth="1"/>
    <col min="77" max="77" width="12.5703125" bestFit="1" customWidth="1"/>
    <col min="78" max="78" width="12.85546875" bestFit="1" customWidth="1"/>
    <col min="80" max="80" width="45.7109375" bestFit="1" customWidth="1"/>
    <col min="81" max="81" width="19.85546875" bestFit="1" customWidth="1"/>
    <col min="82" max="82" width="26" bestFit="1" customWidth="1"/>
    <col min="85" max="85" width="15.5703125" bestFit="1" customWidth="1"/>
  </cols>
  <sheetData>
    <row r="1" spans="1:93" s="6" customFormat="1" ht="105" customHeight="1" x14ac:dyDescent="0.25">
      <c r="A1" s="2" t="s">
        <v>4</v>
      </c>
      <c r="B1" s="2" t="s">
        <v>5</v>
      </c>
      <c r="C1" s="2" t="s">
        <v>85</v>
      </c>
      <c r="D1" s="2" t="s">
        <v>72</v>
      </c>
      <c r="E1" s="2" t="s">
        <v>70</v>
      </c>
      <c r="F1" s="2" t="s">
        <v>86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120</v>
      </c>
      <c r="N1" s="2" t="s">
        <v>68</v>
      </c>
      <c r="O1" s="2" t="s">
        <v>132</v>
      </c>
      <c r="P1" s="2" t="s">
        <v>330</v>
      </c>
      <c r="Q1" s="2" t="s">
        <v>329</v>
      </c>
      <c r="R1" s="2" t="s">
        <v>300</v>
      </c>
      <c r="S1" s="2" t="s">
        <v>306</v>
      </c>
      <c r="T1" s="2" t="s">
        <v>307</v>
      </c>
      <c r="U1" s="2" t="s">
        <v>310</v>
      </c>
      <c r="V1" s="2" t="s">
        <v>311</v>
      </c>
      <c r="W1" s="2" t="s">
        <v>322</v>
      </c>
      <c r="X1" s="2" t="s">
        <v>344</v>
      </c>
      <c r="Y1" s="2" t="s">
        <v>320</v>
      </c>
      <c r="Z1" s="2" t="s">
        <v>347</v>
      </c>
      <c r="AA1" s="2" t="s">
        <v>334</v>
      </c>
      <c r="AB1" s="2" t="s">
        <v>337</v>
      </c>
      <c r="AC1" s="2" t="s">
        <v>336</v>
      </c>
      <c r="AD1" s="2" t="s">
        <v>326</v>
      </c>
      <c r="AE1" s="2" t="s">
        <v>301</v>
      </c>
      <c r="AF1" s="2" t="s">
        <v>327</v>
      </c>
      <c r="AG1" s="30" t="s">
        <v>328</v>
      </c>
      <c r="AH1" s="2" t="s">
        <v>355</v>
      </c>
      <c r="AI1" s="2" t="s">
        <v>415</v>
      </c>
      <c r="AJ1" s="2" t="s">
        <v>309</v>
      </c>
      <c r="AK1" s="2" t="s">
        <v>335</v>
      </c>
      <c r="AL1" s="2" t="s">
        <v>345</v>
      </c>
      <c r="AM1" s="2" t="s">
        <v>381</v>
      </c>
      <c r="AN1" s="2" t="s">
        <v>302</v>
      </c>
      <c r="AO1" s="2" t="s">
        <v>403</v>
      </c>
      <c r="AP1" s="2" t="s">
        <v>308</v>
      </c>
      <c r="AQ1" s="2" t="s">
        <v>404</v>
      </c>
      <c r="AR1" s="2" t="s">
        <v>312</v>
      </c>
      <c r="AS1" s="2" t="s">
        <v>365</v>
      </c>
      <c r="AT1" s="2" t="s">
        <v>338</v>
      </c>
      <c r="AU1" s="118" t="s">
        <v>339</v>
      </c>
      <c r="AV1" s="2" t="s">
        <v>340</v>
      </c>
      <c r="AW1" s="2" t="s">
        <v>348</v>
      </c>
      <c r="AX1" s="119" t="s">
        <v>331</v>
      </c>
      <c r="AY1" s="7" t="s">
        <v>332</v>
      </c>
      <c r="AZ1" s="119" t="s">
        <v>333</v>
      </c>
      <c r="BA1" s="2" t="s">
        <v>319</v>
      </c>
      <c r="BB1" s="2" t="s">
        <v>537</v>
      </c>
      <c r="BC1" s="2" t="s">
        <v>536</v>
      </c>
      <c r="BD1" s="2" t="s">
        <v>313</v>
      </c>
      <c r="BE1" s="2" t="s">
        <v>317</v>
      </c>
      <c r="BF1" s="2" t="s">
        <v>314</v>
      </c>
      <c r="BG1" s="2" t="s">
        <v>315</v>
      </c>
      <c r="BH1" s="2" t="s">
        <v>346</v>
      </c>
      <c r="BI1" s="2" t="s">
        <v>316</v>
      </c>
      <c r="BJ1" s="2" t="s">
        <v>318</v>
      </c>
      <c r="BK1" s="2" t="s">
        <v>369</v>
      </c>
      <c r="BL1" s="2" t="s">
        <v>304</v>
      </c>
      <c r="BM1" s="2" t="s">
        <v>305</v>
      </c>
      <c r="BN1" s="2" t="s">
        <v>325</v>
      </c>
      <c r="BO1" s="2" t="s">
        <v>392</v>
      </c>
      <c r="BP1" s="2" t="s">
        <v>399</v>
      </c>
      <c r="BQ1" s="2" t="s">
        <v>136</v>
      </c>
      <c r="BR1" s="2" t="s">
        <v>400</v>
      </c>
      <c r="BS1" s="2" t="s">
        <v>416</v>
      </c>
      <c r="BT1" s="2" t="s">
        <v>417</v>
      </c>
      <c r="BU1" s="2" t="s">
        <v>438</v>
      </c>
      <c r="BV1" s="2" t="s">
        <v>439</v>
      </c>
      <c r="BW1" s="2" t="s">
        <v>440</v>
      </c>
      <c r="BX1" s="2" t="s">
        <v>441</v>
      </c>
      <c r="BY1" s="2" t="s">
        <v>427</v>
      </c>
      <c r="BZ1" s="2" t="s">
        <v>428</v>
      </c>
      <c r="CA1" s="2" t="s">
        <v>492</v>
      </c>
      <c r="CB1" s="2" t="s">
        <v>486</v>
      </c>
      <c r="CC1" s="2" t="s">
        <v>494</v>
      </c>
      <c r="CD1" s="2" t="s">
        <v>514</v>
      </c>
      <c r="CE1" s="2" t="s">
        <v>742</v>
      </c>
      <c r="CF1" s="2" t="s">
        <v>759</v>
      </c>
      <c r="CG1" s="2" t="s">
        <v>758</v>
      </c>
      <c r="CH1" s="2" t="s">
        <v>766</v>
      </c>
      <c r="CK1" s="6">
        <v>480</v>
      </c>
      <c r="CL1" s="6">
        <v>720</v>
      </c>
      <c r="CM1" s="6">
        <v>960</v>
      </c>
      <c r="CN1" s="6">
        <v>1280</v>
      </c>
      <c r="CO1" s="6">
        <v>1800</v>
      </c>
    </row>
    <row r="2" spans="1:93" s="130" customFormat="1" ht="15" customHeight="1" x14ac:dyDescent="0.25">
      <c r="A2" s="132" t="s">
        <v>3</v>
      </c>
      <c r="B2" s="129" t="s">
        <v>6</v>
      </c>
      <c r="C2" s="129" t="s">
        <v>768</v>
      </c>
      <c r="D2" s="129" t="s">
        <v>8</v>
      </c>
      <c r="E2" s="129" t="s">
        <v>10</v>
      </c>
      <c r="F2" s="129" t="s">
        <v>87</v>
      </c>
      <c r="G2" s="133">
        <v>420</v>
      </c>
      <c r="H2" s="133">
        <v>2500</v>
      </c>
      <c r="I2" s="133">
        <v>150</v>
      </c>
      <c r="J2" s="133">
        <v>900</v>
      </c>
      <c r="K2" s="133">
        <v>180</v>
      </c>
      <c r="L2" s="133">
        <v>640</v>
      </c>
      <c r="M2" s="129"/>
      <c r="N2" s="134"/>
      <c r="O2" s="28">
        <v>2060</v>
      </c>
      <c r="P2" s="28"/>
      <c r="Q2" s="28"/>
      <c r="R2" s="129">
        <f>'комплекты фурнитуры'!$C$9</f>
        <v>540</v>
      </c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>
        <f>'комплекты фурнитуры'!$C$26*2</f>
        <v>540</v>
      </c>
      <c r="AF2" s="129"/>
      <c r="AG2" s="129"/>
      <c r="AH2" s="135">
        <f>SUM(Прайс[[#This Row],[КФ НСТ11]:[KFPr-SB-ZPG]])</f>
        <v>1080</v>
      </c>
      <c r="AI2" s="135"/>
      <c r="AJ2" s="129"/>
      <c r="AK2" s="129"/>
      <c r="AL2" s="129"/>
      <c r="AM2" s="135"/>
      <c r="AN2" s="135"/>
      <c r="AO2" s="135"/>
      <c r="AP2" s="135"/>
      <c r="AQ2" s="135"/>
      <c r="AR2" s="135"/>
      <c r="AS2" s="135"/>
      <c r="AT2" s="135"/>
      <c r="AU2" s="135"/>
      <c r="AV2" s="135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6">
        <f>SUM(Прайс[[#This Row],[ KFPr-SB-StK ]:[Корзина с держателем для бутылок 414*500*520 мм]])</f>
        <v>0</v>
      </c>
      <c r="BQ2" s="131">
        <f>SUM(Прайс[[#This Row],[ KFPr-SB-StK ]:[Корзина с держателем для бутылок 414*500*520 мм]])</f>
        <v>0</v>
      </c>
      <c r="BR2" s="131">
        <f>SUM(Прайс[[#This Row],[ KFPr-SB-StK ]:[Корзина с держателем для бутылок 414*500*520 мм]])</f>
        <v>0</v>
      </c>
      <c r="BS2" s="128">
        <v>300</v>
      </c>
      <c r="BT2" s="128">
        <v>720</v>
      </c>
      <c r="BU2" s="128" t="str">
        <f>IF(OR(Прайс[[#This Row],[Тип]]="Нижний",Прайс[[#This Row],[Тип]]="Пенал"),"560",IF(Прайс[[#This Row],[Тип]]="Верхний",315,0))</f>
        <v>560</v>
      </c>
      <c r="BV2" s="137">
        <v>1.095</v>
      </c>
      <c r="BW2" s="137">
        <v>1.0649999999999999</v>
      </c>
      <c r="BX2" s="131">
        <v>1.3</v>
      </c>
      <c r="BY2" s="128">
        <v>0</v>
      </c>
      <c r="BZ2" s="128">
        <v>7</v>
      </c>
      <c r="CA2" s="128" t="s">
        <v>10</v>
      </c>
      <c r="CB2" s="131" t="s">
        <v>487</v>
      </c>
      <c r="CC2" s="128">
        <v>1</v>
      </c>
      <c r="CD2" s="128" t="s">
        <v>10</v>
      </c>
      <c r="CE2" s="128">
        <v>2340</v>
      </c>
      <c r="CF2" s="128"/>
      <c r="CG2" s="128"/>
      <c r="CH2" s="128">
        <v>0</v>
      </c>
      <c r="CJ2" s="130" t="s">
        <v>87</v>
      </c>
      <c r="CL2" s="130">
        <v>2</v>
      </c>
      <c r="CM2" s="130">
        <v>3</v>
      </c>
      <c r="CN2" s="130">
        <v>5</v>
      </c>
      <c r="CO2" s="130">
        <v>7</v>
      </c>
    </row>
    <row r="3" spans="1:93" s="130" customFormat="1" ht="15" customHeight="1" x14ac:dyDescent="0.25">
      <c r="A3" s="138" t="s">
        <v>0</v>
      </c>
      <c r="B3" s="129" t="s">
        <v>6</v>
      </c>
      <c r="C3" s="129" t="s">
        <v>769</v>
      </c>
      <c r="D3" s="129" t="s">
        <v>73</v>
      </c>
      <c r="E3" s="129" t="s">
        <v>10</v>
      </c>
      <c r="F3" s="129" t="s">
        <v>87</v>
      </c>
      <c r="G3" s="133">
        <v>480</v>
      </c>
      <c r="H3" s="133">
        <v>960</v>
      </c>
      <c r="I3" s="133">
        <v>150</v>
      </c>
      <c r="J3" s="133">
        <v>650</v>
      </c>
      <c r="K3" s="133">
        <v>180</v>
      </c>
      <c r="L3" s="133">
        <v>640</v>
      </c>
      <c r="M3" s="129"/>
      <c r="N3" s="134"/>
      <c r="O3" s="28">
        <v>2060</v>
      </c>
      <c r="P3" s="28"/>
      <c r="Q3" s="28"/>
      <c r="R3" s="129">
        <f>'комплекты фурнитуры'!$C$9</f>
        <v>540</v>
      </c>
      <c r="S3" s="129"/>
      <c r="T3" s="129"/>
      <c r="U3" s="129"/>
      <c r="V3" s="129"/>
      <c r="W3" s="129"/>
      <c r="X3" s="129"/>
      <c r="Y3" s="129"/>
      <c r="Z3" s="129"/>
      <c r="AA3" s="129"/>
      <c r="AB3" s="129"/>
      <c r="AC3" s="129"/>
      <c r="AD3" s="129"/>
      <c r="AE3" s="129">
        <f>'комплекты фурнитуры'!$C$26*2</f>
        <v>540</v>
      </c>
      <c r="AF3" s="129"/>
      <c r="AG3" s="129"/>
      <c r="AH3" s="135">
        <f>SUM(Прайс[[#This Row],[КФ НСТ11]:[KFPr-SB-ZPG]])</f>
        <v>1080</v>
      </c>
      <c r="AI3" s="135"/>
      <c r="AJ3" s="129"/>
      <c r="AK3" s="129"/>
      <c r="AL3" s="129"/>
      <c r="AM3" s="135">
        <f>'комплекты фурнитуры'!$C$68</f>
        <v>620</v>
      </c>
      <c r="AN3" s="135">
        <f>'комплекты фурнитуры'!$C$69</f>
        <v>130</v>
      </c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6">
        <f>Прайс[[#This Row],[КФ петли SENS накл.110 гр. с крестообр. Планкой]]*2</f>
        <v>1240</v>
      </c>
      <c r="BQ3" s="131">
        <f>Прайс[[#This Row],[KFP-SB-N110]]*2</f>
        <v>260</v>
      </c>
      <c r="BR3" s="131">
        <f>Прайс[[#This Row],[KFP-SB-N110]]*2</f>
        <v>260</v>
      </c>
      <c r="BS3" s="128">
        <v>300</v>
      </c>
      <c r="BT3" s="128">
        <v>720</v>
      </c>
      <c r="BU3" s="128" t="str">
        <f>IF(OR(Прайс[[#This Row],[Тип]]="Нижний",Прайс[[#This Row],[Тип]]="Пенал"),"560",IF(Прайс[[#This Row],[Тип]]="Верхний",315,0))</f>
        <v>560</v>
      </c>
      <c r="BV3" s="137">
        <v>1.08</v>
      </c>
      <c r="BW3" s="137">
        <v>1.0649999999999999</v>
      </c>
      <c r="BX3" s="131">
        <v>1.3</v>
      </c>
      <c r="BY3" s="128">
        <v>0</v>
      </c>
      <c r="BZ3" s="128">
        <v>2</v>
      </c>
      <c r="CA3" s="128" t="s">
        <v>71</v>
      </c>
      <c r="CB3" s="131" t="s">
        <v>487</v>
      </c>
      <c r="CC3" s="128">
        <v>1</v>
      </c>
      <c r="CD3" s="128" t="s">
        <v>10</v>
      </c>
      <c r="CE3" s="128">
        <v>2340</v>
      </c>
      <c r="CF3" s="128"/>
      <c r="CG3" s="128"/>
      <c r="CH3" s="128">
        <v>1</v>
      </c>
      <c r="CJ3" s="130" t="s">
        <v>87</v>
      </c>
      <c r="CL3" s="130">
        <v>2</v>
      </c>
      <c r="CM3" s="130">
        <v>2</v>
      </c>
    </row>
    <row r="4" spans="1:93" s="130" customFormat="1" ht="15" customHeight="1" x14ac:dyDescent="0.25">
      <c r="A4" s="138" t="s">
        <v>11</v>
      </c>
      <c r="B4" s="129" t="s">
        <v>6</v>
      </c>
      <c r="C4" s="129" t="s">
        <v>770</v>
      </c>
      <c r="D4" s="129" t="s">
        <v>73</v>
      </c>
      <c r="E4" s="129" t="s">
        <v>10</v>
      </c>
      <c r="F4" s="129" t="s">
        <v>87</v>
      </c>
      <c r="G4" s="133">
        <v>480</v>
      </c>
      <c r="H4" s="133">
        <v>960</v>
      </c>
      <c r="I4" s="133">
        <v>400</v>
      </c>
      <c r="J4" s="133">
        <v>900</v>
      </c>
      <c r="K4" s="133">
        <v>180</v>
      </c>
      <c r="L4" s="133">
        <v>640</v>
      </c>
      <c r="M4" s="129"/>
      <c r="N4" s="134"/>
      <c r="O4" s="28">
        <v>2060</v>
      </c>
      <c r="P4" s="28"/>
      <c r="Q4" s="28"/>
      <c r="R4" s="129">
        <f>'комплекты фурнитуры'!$C$9</f>
        <v>540</v>
      </c>
      <c r="S4" s="129"/>
      <c r="T4" s="129"/>
      <c r="U4" s="129"/>
      <c r="V4" s="129"/>
      <c r="W4" s="129"/>
      <c r="X4" s="129"/>
      <c r="Y4" s="129"/>
      <c r="Z4" s="129"/>
      <c r="AA4" s="129"/>
      <c r="AB4" s="129"/>
      <c r="AC4" s="129"/>
      <c r="AD4" s="129"/>
      <c r="AE4" s="129">
        <f>'комплекты фурнитуры'!$C$26*2</f>
        <v>540</v>
      </c>
      <c r="AF4" s="129"/>
      <c r="AG4" s="129"/>
      <c r="AH4" s="135">
        <f>SUM(Прайс[[#This Row],[КФ НСТ11]:[KFPr-SB-ZPG]])</f>
        <v>1080</v>
      </c>
      <c r="AI4" s="135"/>
      <c r="AJ4" s="129"/>
      <c r="AK4" s="129"/>
      <c r="AL4" s="129"/>
      <c r="AM4" s="135">
        <f>'комплекты фурнитуры'!$C$68</f>
        <v>620</v>
      </c>
      <c r="AN4" s="135">
        <f>'комплекты фурнитуры'!$C$69</f>
        <v>130</v>
      </c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6">
        <f>Прайс[[#This Row],[КФ петли SENS накл.110 гр. с крестообр. Планкой]]*4</f>
        <v>2480</v>
      </c>
      <c r="BQ4" s="131">
        <f>Прайс[[#This Row],[KFP-SB-N110]]*4</f>
        <v>520</v>
      </c>
      <c r="BR4" s="131">
        <f>Прайс[[#This Row],[KFP-SB-N110]]*4</f>
        <v>520</v>
      </c>
      <c r="BS4" s="128">
        <v>300</v>
      </c>
      <c r="BT4" s="128">
        <v>720</v>
      </c>
      <c r="BU4" s="128" t="str">
        <f>IF(OR(Прайс[[#This Row],[Тип]]="Нижний",Прайс[[#This Row],[Тип]]="Пенал"),"560",IF(Прайс[[#This Row],[Тип]]="Верхний",315,0))</f>
        <v>560</v>
      </c>
      <c r="BV4" s="137">
        <v>1.08</v>
      </c>
      <c r="BW4" s="137">
        <v>1.0649999999999999</v>
      </c>
      <c r="BX4" s="131">
        <v>1.3</v>
      </c>
      <c r="BY4" s="128">
        <v>0</v>
      </c>
      <c r="BZ4" s="128">
        <v>2</v>
      </c>
      <c r="CA4" s="128" t="s">
        <v>71</v>
      </c>
      <c r="CB4" s="131" t="s">
        <v>487</v>
      </c>
      <c r="CC4" s="128">
        <v>1</v>
      </c>
      <c r="CD4" s="128" t="s">
        <v>10</v>
      </c>
      <c r="CE4" s="128">
        <v>2340</v>
      </c>
      <c r="CF4" s="128"/>
      <c r="CG4" s="128"/>
      <c r="CH4" s="128">
        <v>2</v>
      </c>
    </row>
    <row r="5" spans="1:93" s="130" customFormat="1" ht="15" customHeight="1" x14ac:dyDescent="0.25">
      <c r="A5" s="138" t="s">
        <v>401</v>
      </c>
      <c r="B5" s="129" t="s">
        <v>6</v>
      </c>
      <c r="C5" s="129" t="s">
        <v>771</v>
      </c>
      <c r="D5" s="129" t="s">
        <v>73</v>
      </c>
      <c r="E5" s="129" t="s">
        <v>10</v>
      </c>
      <c r="F5" s="129" t="s">
        <v>88</v>
      </c>
      <c r="G5" s="133">
        <v>720</v>
      </c>
      <c r="H5" s="133">
        <v>720</v>
      </c>
      <c r="I5" s="133">
        <v>150</v>
      </c>
      <c r="J5" s="133">
        <v>150</v>
      </c>
      <c r="K5" s="133">
        <v>500</v>
      </c>
      <c r="L5" s="133">
        <v>640</v>
      </c>
      <c r="M5" s="129"/>
      <c r="N5" s="134" t="s">
        <v>51</v>
      </c>
      <c r="O5" s="139">
        <v>2060</v>
      </c>
      <c r="P5" s="139"/>
      <c r="Q5" s="139"/>
      <c r="R5" s="129">
        <f>'комплекты фурнитуры'!$C$9</f>
        <v>540</v>
      </c>
      <c r="S5" s="129"/>
      <c r="T5" s="129"/>
      <c r="U5" s="129"/>
      <c r="V5" s="129"/>
      <c r="W5" s="129"/>
      <c r="X5" s="129"/>
      <c r="Y5" s="129"/>
      <c r="Z5" s="129"/>
      <c r="AA5" s="129"/>
      <c r="AB5" s="129"/>
      <c r="AC5" s="129"/>
      <c r="AD5" s="129"/>
      <c r="AE5" s="129">
        <v>540</v>
      </c>
      <c r="AF5" s="129"/>
      <c r="AG5" s="129"/>
      <c r="AH5" s="135">
        <f>SUM(Прайс[[#This Row],[КФ НСТ11]:[KFPr-SB-ZPG]])</f>
        <v>1080</v>
      </c>
      <c r="AI5" s="135"/>
      <c r="AJ5" s="129"/>
      <c r="AK5" s="129"/>
      <c r="AL5" s="129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>
        <f>'комплекты фурнитуры'!$C$49</f>
        <v>11560</v>
      </c>
      <c r="BL5" s="135"/>
      <c r="BM5" s="135">
        <f>'комплекты фурнитуры'!$C$90</f>
        <v>10</v>
      </c>
      <c r="BN5" s="135"/>
      <c r="BO5" s="135"/>
      <c r="BP5" s="136">
        <f>Прайс[[#This Row],[KFS-SB-BYT]]</f>
        <v>11560</v>
      </c>
      <c r="BQ5" s="136">
        <f>Прайс[[#This Row],[KFS-SB-BYT]]</f>
        <v>11560</v>
      </c>
      <c r="BR5" s="136">
        <f>Прайс[[#This Row],[KFS-SB-BYT]]</f>
        <v>11560</v>
      </c>
      <c r="BS5" s="128">
        <v>300</v>
      </c>
      <c r="BT5" s="128">
        <v>720</v>
      </c>
      <c r="BU5" s="128" t="str">
        <f>IF(OR(Прайс[[#This Row],[Тип]]="Нижний",Прайс[[#This Row],[Тип]]="Пенал"),"560",IF(Прайс[[#This Row],[Тип]]="Верхний",315,0))</f>
        <v>560</v>
      </c>
      <c r="BV5" s="137">
        <v>1.08</v>
      </c>
      <c r="BW5" s="137">
        <v>1.0649999999999999</v>
      </c>
      <c r="BX5" s="131">
        <v>1.3</v>
      </c>
      <c r="BY5" s="128">
        <v>0</v>
      </c>
      <c r="BZ5" s="128">
        <v>0</v>
      </c>
      <c r="CA5" s="128" t="s">
        <v>10</v>
      </c>
      <c r="CB5" s="131" t="s">
        <v>488</v>
      </c>
      <c r="CC5" s="128">
        <v>0</v>
      </c>
      <c r="CD5" s="128" t="s">
        <v>10</v>
      </c>
      <c r="CE5" s="128">
        <v>2340</v>
      </c>
      <c r="CF5" s="128"/>
      <c r="CG5" s="128"/>
      <c r="CH5" s="128">
        <v>1</v>
      </c>
    </row>
    <row r="6" spans="1:93" s="130" customFormat="1" ht="15" customHeight="1" x14ac:dyDescent="0.25">
      <c r="A6" s="138" t="s">
        <v>402</v>
      </c>
      <c r="B6" s="129" t="s">
        <v>6</v>
      </c>
      <c r="C6" s="129" t="s">
        <v>772</v>
      </c>
      <c r="D6" s="129" t="s">
        <v>73</v>
      </c>
      <c r="E6" s="129" t="s">
        <v>10</v>
      </c>
      <c r="F6" s="129" t="s">
        <v>88</v>
      </c>
      <c r="G6" s="133">
        <v>720</v>
      </c>
      <c r="H6" s="133">
        <v>720</v>
      </c>
      <c r="I6" s="133">
        <v>450</v>
      </c>
      <c r="J6" s="133">
        <v>450</v>
      </c>
      <c r="K6" s="133">
        <v>500</v>
      </c>
      <c r="L6" s="133">
        <v>640</v>
      </c>
      <c r="M6" s="129"/>
      <c r="N6" s="134" t="s">
        <v>51</v>
      </c>
      <c r="O6" s="139">
        <v>2060</v>
      </c>
      <c r="P6" s="139"/>
      <c r="Q6" s="139"/>
      <c r="R6" s="129">
        <f>'комплекты фурнитуры'!$C$9</f>
        <v>540</v>
      </c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>
        <f>'комплекты фурнитуры'!$C$26*2</f>
        <v>540</v>
      </c>
      <c r="AF6" s="129"/>
      <c r="AG6" s="129"/>
      <c r="AH6" s="135">
        <f>SUM(Прайс[[#This Row],[КФ НСТ11]:[KFPr-SB-ZPG]])</f>
        <v>1080</v>
      </c>
      <c r="AI6" s="135"/>
      <c r="AJ6" s="129"/>
      <c r="AK6" s="129"/>
      <c r="AL6" s="129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>
        <f>'комплекты фурнитуры'!D51</f>
        <v>10520</v>
      </c>
      <c r="BM6" s="135">
        <f>'комплекты фурнитуры'!$C$90</f>
        <v>10</v>
      </c>
      <c r="BN6" s="135"/>
      <c r="BO6" s="135"/>
      <c r="BP6" s="136">
        <f>Прайс[[#This Row],[Корзина с держателем для бутылок 414*500*520 мм]]+Прайс[[#This Row],[КФ евровинт]]*2</f>
        <v>10540</v>
      </c>
      <c r="BQ6" s="136">
        <f>Прайс[[#This Row],[Корзина с держателем для бутылок 414*500*520 мм]]+Прайс[[#This Row],[КФ евровинт]]*2</f>
        <v>10540</v>
      </c>
      <c r="BR6" s="136">
        <f>Прайс[[#This Row],[Корзина с держателем для бутылок 414*500*520 мм]]+Прайс[[#This Row],[КФ евровинт]]*2</f>
        <v>10540</v>
      </c>
      <c r="BS6" s="128">
        <v>300</v>
      </c>
      <c r="BT6" s="128">
        <v>720</v>
      </c>
      <c r="BU6" s="128" t="str">
        <f>IF(OR(Прайс[[#This Row],[Тип]]="Нижний",Прайс[[#This Row],[Тип]]="Пенал"),"560",IF(Прайс[[#This Row],[Тип]]="Верхний",315,0))</f>
        <v>560</v>
      </c>
      <c r="BV6" s="137">
        <v>1.08</v>
      </c>
      <c r="BW6" s="137">
        <v>1.0649999999999999</v>
      </c>
      <c r="BX6" s="131">
        <v>1.3</v>
      </c>
      <c r="BY6" s="128">
        <v>0</v>
      </c>
      <c r="BZ6" s="128">
        <v>0</v>
      </c>
      <c r="CA6" s="128" t="s">
        <v>10</v>
      </c>
      <c r="CB6" s="131" t="s">
        <v>488</v>
      </c>
      <c r="CC6" s="128">
        <v>0</v>
      </c>
      <c r="CD6" s="128" t="s">
        <v>10</v>
      </c>
      <c r="CE6" s="128">
        <v>2340</v>
      </c>
      <c r="CF6" s="128"/>
      <c r="CG6" s="128"/>
      <c r="CH6" s="128">
        <v>1</v>
      </c>
    </row>
    <row r="7" spans="1:93" s="130" customFormat="1" x14ac:dyDescent="0.25">
      <c r="A7" s="138" t="s">
        <v>12</v>
      </c>
      <c r="B7" s="129" t="s">
        <v>6</v>
      </c>
      <c r="C7" s="129" t="s">
        <v>773</v>
      </c>
      <c r="D7" s="129" t="s">
        <v>73</v>
      </c>
      <c r="E7" s="129" t="s">
        <v>10</v>
      </c>
      <c r="F7" s="129" t="s">
        <v>89</v>
      </c>
      <c r="G7" s="133">
        <v>600</v>
      </c>
      <c r="H7" s="133">
        <v>750</v>
      </c>
      <c r="I7" s="133">
        <v>300</v>
      </c>
      <c r="J7" s="133">
        <v>600</v>
      </c>
      <c r="K7" s="133">
        <v>250</v>
      </c>
      <c r="L7" s="133">
        <v>640</v>
      </c>
      <c r="M7" s="129"/>
      <c r="N7" s="134"/>
      <c r="O7" s="139">
        <v>2100</v>
      </c>
      <c r="P7" s="139"/>
      <c r="Q7" s="139"/>
      <c r="R7" s="129"/>
      <c r="S7" s="129">
        <f>'комплекты фурнитуры'!$C$10</f>
        <v>460</v>
      </c>
      <c r="T7" s="129"/>
      <c r="U7" s="129"/>
      <c r="V7" s="129"/>
      <c r="W7" s="129"/>
      <c r="X7" s="129"/>
      <c r="Y7" s="129"/>
      <c r="Z7" s="129"/>
      <c r="AA7" s="129"/>
      <c r="AB7" s="129"/>
      <c r="AC7" s="129"/>
      <c r="AD7" s="129"/>
      <c r="AE7" s="129">
        <f>'комплекты фурнитуры'!$C$26*2</f>
        <v>540</v>
      </c>
      <c r="AF7" s="129"/>
      <c r="AG7" s="129"/>
      <c r="AH7" s="135">
        <f>SUM(Прайс[[#This Row],[КФ НСТ11]:[KFPr-SB-ZPG]])</f>
        <v>1000</v>
      </c>
      <c r="AI7" s="135"/>
      <c r="AJ7" s="129"/>
      <c r="AK7" s="129"/>
      <c r="AL7" s="129"/>
      <c r="AM7" s="135">
        <f>'комплекты фурнитуры'!$C$68</f>
        <v>620</v>
      </c>
      <c r="AN7" s="135">
        <f>'комплекты фурнитуры'!$C$69</f>
        <v>130</v>
      </c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6">
        <f>Прайс[[#This Row],[КФ петли SENS накл.110 гр. с крестообр. Планкой]]*2</f>
        <v>1240</v>
      </c>
      <c r="BQ7" s="131">
        <f>Прайс[[#This Row],[KFP-SB-N110]]*2</f>
        <v>260</v>
      </c>
      <c r="BR7" s="131">
        <f>Прайс[[#This Row],[KFP-SB-N110]]*2</f>
        <v>260</v>
      </c>
      <c r="BS7" s="128">
        <v>450</v>
      </c>
      <c r="BT7" s="128">
        <v>720</v>
      </c>
      <c r="BU7" s="128" t="str">
        <f>IF(OR(Прайс[[#This Row],[Тип]]="Нижний",Прайс[[#This Row],[Тип]]="Пенал"),"560",IF(Прайс[[#This Row],[Тип]]="Верхний",315,0))</f>
        <v>560</v>
      </c>
      <c r="BV7" s="137">
        <v>1.08</v>
      </c>
      <c r="BW7" s="137">
        <v>1.0649999999999999</v>
      </c>
      <c r="BX7" s="131">
        <v>1.3</v>
      </c>
      <c r="BY7" s="128">
        <v>0</v>
      </c>
      <c r="BZ7" s="128">
        <v>0</v>
      </c>
      <c r="CA7" s="128" t="s">
        <v>71</v>
      </c>
      <c r="CB7" s="131" t="s">
        <v>487</v>
      </c>
      <c r="CC7" s="128">
        <v>0</v>
      </c>
      <c r="CD7" s="128" t="s">
        <v>10</v>
      </c>
      <c r="CE7" s="128">
        <v>2410</v>
      </c>
      <c r="CF7" s="128"/>
      <c r="CG7" s="128"/>
      <c r="CH7" s="128">
        <v>1</v>
      </c>
    </row>
    <row r="8" spans="1:93" s="130" customFormat="1" ht="15" customHeight="1" x14ac:dyDescent="0.25">
      <c r="A8" s="138" t="s">
        <v>13</v>
      </c>
      <c r="B8" s="129" t="s">
        <v>6</v>
      </c>
      <c r="C8" s="129" t="s">
        <v>774</v>
      </c>
      <c r="D8" s="129" t="s">
        <v>73</v>
      </c>
      <c r="E8" s="129" t="s">
        <v>10</v>
      </c>
      <c r="F8" s="129" t="s">
        <v>89</v>
      </c>
      <c r="G8" s="133">
        <v>600</v>
      </c>
      <c r="H8" s="133">
        <v>750</v>
      </c>
      <c r="I8" s="133">
        <v>400</v>
      </c>
      <c r="J8" s="133">
        <v>900</v>
      </c>
      <c r="K8" s="133">
        <v>250</v>
      </c>
      <c r="L8" s="133">
        <v>640</v>
      </c>
      <c r="M8" s="129"/>
      <c r="N8" s="134"/>
      <c r="O8" s="139">
        <v>2100</v>
      </c>
      <c r="P8" s="139"/>
      <c r="Q8" s="139"/>
      <c r="R8" s="129"/>
      <c r="S8" s="129">
        <f>'комплекты фурнитуры'!$C$10</f>
        <v>460</v>
      </c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>
        <f>'комплекты фурнитуры'!$C$26*2</f>
        <v>540</v>
      </c>
      <c r="AF8" s="129"/>
      <c r="AG8" s="129"/>
      <c r="AH8" s="135">
        <f>SUM(Прайс[[#This Row],[КФ НСТ11]:[KFPr-SB-ZPG]])</f>
        <v>1000</v>
      </c>
      <c r="AI8" s="135"/>
      <c r="AJ8" s="129"/>
      <c r="AK8" s="129"/>
      <c r="AL8" s="129"/>
      <c r="AM8" s="135">
        <f>'комплекты фурнитуры'!$C$68</f>
        <v>620</v>
      </c>
      <c r="AN8" s="135">
        <f>'комплекты фурнитуры'!$C$69</f>
        <v>130</v>
      </c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6">
        <f>Прайс[[#This Row],[КФ петли SENS накл.110 гр. с крестообр. Планкой]]*4</f>
        <v>2480</v>
      </c>
      <c r="BQ8" s="131">
        <f>Прайс[[#This Row],[KFP-SB-N110]]*4</f>
        <v>520</v>
      </c>
      <c r="BR8" s="131">
        <f>Прайс[[#This Row],[KFP-SB-N110]]*4</f>
        <v>520</v>
      </c>
      <c r="BS8" s="128">
        <v>450</v>
      </c>
      <c r="BT8" s="128">
        <v>720</v>
      </c>
      <c r="BU8" s="128" t="str">
        <f>IF(OR(Прайс[[#This Row],[Тип]]="Нижний",Прайс[[#This Row],[Тип]]="Пенал"),"560",IF(Прайс[[#This Row],[Тип]]="Верхний",315,0))</f>
        <v>560</v>
      </c>
      <c r="BV8" s="137">
        <v>1.08</v>
      </c>
      <c r="BW8" s="137">
        <v>1.0649999999999999</v>
      </c>
      <c r="BX8" s="131">
        <v>1.3</v>
      </c>
      <c r="BY8" s="128">
        <v>0</v>
      </c>
      <c r="BZ8" s="128">
        <v>0</v>
      </c>
      <c r="CA8" s="128" t="s">
        <v>10</v>
      </c>
      <c r="CB8" s="131" t="s">
        <v>489</v>
      </c>
      <c r="CC8" s="128">
        <v>0</v>
      </c>
      <c r="CD8" s="128" t="s">
        <v>10</v>
      </c>
      <c r="CE8" s="128">
        <v>2410</v>
      </c>
      <c r="CF8" s="128"/>
      <c r="CG8" s="128"/>
      <c r="CH8" s="128">
        <v>2</v>
      </c>
    </row>
    <row r="9" spans="1:93" s="130" customFormat="1" ht="15" customHeight="1" x14ac:dyDescent="0.25">
      <c r="A9" s="138" t="s">
        <v>129</v>
      </c>
      <c r="B9" s="129" t="s">
        <v>6</v>
      </c>
      <c r="C9" s="129" t="s">
        <v>775</v>
      </c>
      <c r="D9" s="129" t="s">
        <v>69</v>
      </c>
      <c r="E9" s="129" t="s">
        <v>10</v>
      </c>
      <c r="F9" s="129" t="s">
        <v>87</v>
      </c>
      <c r="G9" s="133">
        <v>720</v>
      </c>
      <c r="H9" s="133">
        <v>720</v>
      </c>
      <c r="I9" s="133">
        <v>710</v>
      </c>
      <c r="J9" s="133">
        <v>950</v>
      </c>
      <c r="K9" s="133">
        <v>360</v>
      </c>
      <c r="L9" s="133">
        <v>560</v>
      </c>
      <c r="M9" s="129"/>
      <c r="N9" s="134" t="s">
        <v>52</v>
      </c>
      <c r="O9" s="139">
        <v>3070</v>
      </c>
      <c r="P9" s="139"/>
      <c r="Q9" s="139"/>
      <c r="R9" s="129"/>
      <c r="S9" s="129"/>
      <c r="T9" s="129">
        <f>'комплекты фурнитуры'!$C$12</f>
        <v>810</v>
      </c>
      <c r="U9" s="129"/>
      <c r="V9" s="129"/>
      <c r="W9" s="129"/>
      <c r="X9" s="129"/>
      <c r="Y9" s="129"/>
      <c r="Z9" s="129"/>
      <c r="AA9" s="129"/>
      <c r="AB9" s="129"/>
      <c r="AC9" s="129"/>
      <c r="AD9" s="129"/>
      <c r="AE9" s="129">
        <f>'комплекты фурнитуры'!$C$26*2</f>
        <v>540</v>
      </c>
      <c r="AF9" s="129"/>
      <c r="AG9" s="129"/>
      <c r="AH9" s="135">
        <f>SUM(Прайс[[#This Row],[КФ НСТ11]:[KFPr-SB-ZPG]])</f>
        <v>1350</v>
      </c>
      <c r="AI9" s="135"/>
      <c r="AJ9" s="129">
        <f>'комплекты фурнитуры'!$C$84</f>
        <v>30</v>
      </c>
      <c r="AK9" s="129">
        <f>'комплекты фурнитуры'!$C$96</f>
        <v>20</v>
      </c>
      <c r="AL9" s="129"/>
      <c r="AM9" s="135"/>
      <c r="AN9" s="135"/>
      <c r="AO9" s="135">
        <f>'комплекты фурнитуры'!$C$62</f>
        <v>1300</v>
      </c>
      <c r="AP9" s="135">
        <f>'комплекты фурнитуры'!$C$64</f>
        <v>480</v>
      </c>
      <c r="AQ9" s="135"/>
      <c r="AR9" s="135"/>
      <c r="AS9" s="135"/>
      <c r="AT9" s="135"/>
      <c r="AU9" s="135"/>
      <c r="AV9" s="135"/>
      <c r="AW9" s="135"/>
      <c r="AX9" s="135"/>
      <c r="AY9" s="135"/>
      <c r="AZ9" s="135"/>
      <c r="BA9" s="135"/>
      <c r="BB9" s="135"/>
      <c r="BC9" s="135"/>
      <c r="BD9" s="135"/>
      <c r="BE9" s="135"/>
      <c r="BF9" s="135"/>
      <c r="BG9" s="135"/>
      <c r="BH9" s="135"/>
      <c r="BI9" s="135"/>
      <c r="BJ9" s="135"/>
      <c r="BK9" s="135"/>
      <c r="BL9" s="135"/>
      <c r="BM9" s="135"/>
      <c r="BN9" s="135"/>
      <c r="BO9" s="135"/>
      <c r="BP9" s="136">
        <f>Прайс[[#This Row],[KFPr-SB-SPL]]+Прайс[[#This Row],[КФ петли вклад. 95 гр. с крестообр. планкой]]*2+Прайс[[#This Row],[KFPr-SB-SMRZ_16мм]]</f>
        <v>2650</v>
      </c>
      <c r="BQ9" s="131">
        <f>Прайс[[#This Row],[KFPr-SB-SPL]]+Прайс[[#This Row],[KFP-SB-PY94]]*2</f>
        <v>990</v>
      </c>
      <c r="BR9" s="131">
        <f>Прайс[[#This Row],[KFPr-SB-SPL]]+Прайс[[#This Row],[KFP-SB-PY94]]*2</f>
        <v>990</v>
      </c>
      <c r="BS9" s="128">
        <v>750</v>
      </c>
      <c r="BT9" s="128">
        <v>720</v>
      </c>
      <c r="BU9" s="128" t="str">
        <f>IF(OR(Прайс[[#This Row],[Тип]]="Нижний",Прайс[[#This Row],[Тип]]="Пенал"),"560",IF(Прайс[[#This Row],[Тип]]="Верхний",315,0))</f>
        <v>560</v>
      </c>
      <c r="BV9" s="137">
        <v>1.08</v>
      </c>
      <c r="BW9" s="137">
        <v>1.0649999999999999</v>
      </c>
      <c r="BX9" s="131">
        <v>1.3</v>
      </c>
      <c r="BY9" s="128">
        <v>0</v>
      </c>
      <c r="BZ9" s="128">
        <v>2</v>
      </c>
      <c r="CA9" s="128" t="s">
        <v>71</v>
      </c>
      <c r="CB9" s="131" t="s">
        <v>487</v>
      </c>
      <c r="CC9" s="128">
        <v>1</v>
      </c>
      <c r="CD9" s="128" t="s">
        <v>10</v>
      </c>
      <c r="CE9" s="128">
        <v>3500</v>
      </c>
      <c r="CF9" s="128"/>
      <c r="CG9" s="128"/>
      <c r="CH9" s="128">
        <v>1</v>
      </c>
      <c r="CL9" s="130">
        <v>2</v>
      </c>
    </row>
    <row r="10" spans="1:93" s="130" customFormat="1" ht="15" customHeight="1" x14ac:dyDescent="0.25">
      <c r="A10" s="132" t="s">
        <v>128</v>
      </c>
      <c r="B10" s="129" t="s">
        <v>6</v>
      </c>
      <c r="C10" s="129" t="s">
        <v>776</v>
      </c>
      <c r="D10" s="129" t="s">
        <v>69</v>
      </c>
      <c r="E10" s="129" t="s">
        <v>10</v>
      </c>
      <c r="F10" s="129" t="s">
        <v>87</v>
      </c>
      <c r="G10" s="133">
        <v>720</v>
      </c>
      <c r="H10" s="133">
        <v>720</v>
      </c>
      <c r="I10" s="133">
        <v>710</v>
      </c>
      <c r="J10" s="133">
        <v>950</v>
      </c>
      <c r="K10" s="133">
        <v>360</v>
      </c>
      <c r="L10" s="133">
        <v>560</v>
      </c>
      <c r="M10" s="129"/>
      <c r="N10" s="140"/>
      <c r="O10" s="139">
        <v>3070</v>
      </c>
      <c r="P10" s="139"/>
      <c r="Q10" s="139"/>
      <c r="R10" s="129"/>
      <c r="S10" s="129"/>
      <c r="T10" s="129">
        <f>'комплекты фурнитуры'!$C$12</f>
        <v>810</v>
      </c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>
        <f>'комплекты фурнитуры'!$C$26*2</f>
        <v>540</v>
      </c>
      <c r="AF10" s="129"/>
      <c r="AG10" s="129"/>
      <c r="AH10" s="135">
        <f>SUM(Прайс[[#This Row],[КФ НСТ11]:[KFPr-SB-ZPG]])</f>
        <v>1350</v>
      </c>
      <c r="AI10" s="135"/>
      <c r="AJ10" s="129">
        <f>'комплекты фурнитуры'!$C$84</f>
        <v>30</v>
      </c>
      <c r="AK10" s="129">
        <f>'комплекты фурнитуры'!$C$96</f>
        <v>20</v>
      </c>
      <c r="AL10" s="129"/>
      <c r="AM10" s="135"/>
      <c r="AN10" s="135"/>
      <c r="AO10" s="135">
        <f>'комплекты фурнитуры'!$C$62</f>
        <v>1300</v>
      </c>
      <c r="AP10" s="135">
        <f>'комплекты фурнитуры'!$C$64</f>
        <v>480</v>
      </c>
      <c r="AQ10" s="135"/>
      <c r="AR10" s="135"/>
      <c r="AS10" s="135"/>
      <c r="AT10" s="135"/>
      <c r="AU10" s="135"/>
      <c r="AV10" s="135"/>
      <c r="AW10" s="135"/>
      <c r="AX10" s="135"/>
      <c r="AY10" s="135"/>
      <c r="AZ10" s="135"/>
      <c r="BA10" s="135"/>
      <c r="BB10" s="135"/>
      <c r="BC10" s="135"/>
      <c r="BD10" s="135"/>
      <c r="BE10" s="135"/>
      <c r="BF10" s="135"/>
      <c r="BG10" s="135"/>
      <c r="BH10" s="135"/>
      <c r="BI10" s="135"/>
      <c r="BJ10" s="135"/>
      <c r="BK10" s="135"/>
      <c r="BL10" s="135"/>
      <c r="BM10" s="135"/>
      <c r="BN10" s="135"/>
      <c r="BO10" s="135"/>
      <c r="BP10" s="136">
        <f>Прайс[[#This Row],[KFPr-SB-SPL]]+Прайс[[#This Row],[КФ петли вклад. 95 гр. с крестообр. планкой]]*2+Прайс[[#This Row],[KFPr-SB-SMRZ_16мм]]</f>
        <v>2650</v>
      </c>
      <c r="BQ10" s="131">
        <f>Прайс[[#This Row],[KFPr-SB-SPL]]+Прайс[[#This Row],[KFP-SB-PY94]]*2</f>
        <v>990</v>
      </c>
      <c r="BR10" s="131">
        <f>Прайс[[#This Row],[KFPr-SB-SPL]]+Прайс[[#This Row],[KFP-SB-PY94]]*2</f>
        <v>990</v>
      </c>
      <c r="BS10" s="128">
        <v>750</v>
      </c>
      <c r="BT10" s="128">
        <v>720</v>
      </c>
      <c r="BU10" s="128" t="str">
        <f>IF(OR(Прайс[[#This Row],[Тип]]="Нижний",Прайс[[#This Row],[Тип]]="Пенал"),"560",IF(Прайс[[#This Row],[Тип]]="Верхний",315,0))</f>
        <v>560</v>
      </c>
      <c r="BV10" s="137">
        <v>1.08</v>
      </c>
      <c r="BW10" s="137">
        <v>1.0649999999999999</v>
      </c>
      <c r="BX10" s="131">
        <v>1.3</v>
      </c>
      <c r="BY10" s="128">
        <v>0</v>
      </c>
      <c r="BZ10" s="128">
        <v>2</v>
      </c>
      <c r="CA10" s="128" t="s">
        <v>71</v>
      </c>
      <c r="CB10" s="131" t="s">
        <v>487</v>
      </c>
      <c r="CC10" s="128">
        <v>1</v>
      </c>
      <c r="CD10" s="128" t="s">
        <v>10</v>
      </c>
      <c r="CE10" s="128">
        <v>3500</v>
      </c>
      <c r="CF10" s="128"/>
      <c r="CG10" s="128"/>
      <c r="CH10" s="128">
        <v>1</v>
      </c>
    </row>
    <row r="11" spans="1:93" s="130" customFormat="1" ht="15" customHeight="1" x14ac:dyDescent="0.25">
      <c r="A11" s="138" t="s">
        <v>131</v>
      </c>
      <c r="B11" s="129" t="s">
        <v>6</v>
      </c>
      <c r="C11" s="129" t="s">
        <v>777</v>
      </c>
      <c r="D11" s="129" t="s">
        <v>69</v>
      </c>
      <c r="E11" s="129" t="s">
        <v>10</v>
      </c>
      <c r="F11" s="129" t="s">
        <v>89</v>
      </c>
      <c r="G11" s="133">
        <v>710</v>
      </c>
      <c r="H11" s="133">
        <v>950</v>
      </c>
      <c r="I11" s="133">
        <v>710</v>
      </c>
      <c r="J11" s="133">
        <v>950</v>
      </c>
      <c r="K11" s="133">
        <v>360</v>
      </c>
      <c r="L11" s="133">
        <v>560</v>
      </c>
      <c r="M11" s="129"/>
      <c r="N11" s="134" t="s">
        <v>52</v>
      </c>
      <c r="O11" s="139">
        <v>2850</v>
      </c>
      <c r="P11" s="139"/>
      <c r="Q11" s="139"/>
      <c r="R11" s="129"/>
      <c r="S11" s="129"/>
      <c r="T11" s="129"/>
      <c r="U11" s="129">
        <f>'комплекты фурнитуры'!$C$14</f>
        <v>740</v>
      </c>
      <c r="V11" s="129"/>
      <c r="W11" s="129"/>
      <c r="X11" s="129"/>
      <c r="Y11" s="129"/>
      <c r="Z11" s="129"/>
      <c r="AA11" s="129"/>
      <c r="AB11" s="129"/>
      <c r="AC11" s="129"/>
      <c r="AD11" s="129"/>
      <c r="AE11" s="129">
        <f>'комплекты фурнитуры'!$C$26*2</f>
        <v>540</v>
      </c>
      <c r="AF11" s="129"/>
      <c r="AG11" s="129"/>
      <c r="AH11" s="135">
        <f>SUM(Прайс[[#This Row],[КФ НСТ11]:[KFPr-SB-ZPG]])</f>
        <v>1280</v>
      </c>
      <c r="AI11" s="135"/>
      <c r="AJ11" s="129">
        <f>'комплекты фурнитуры'!$C$84</f>
        <v>30</v>
      </c>
      <c r="AK11" s="129"/>
      <c r="AL11" s="129"/>
      <c r="AM11" s="135"/>
      <c r="AN11" s="135"/>
      <c r="AO11" s="135">
        <f>'комплекты фурнитуры'!$C$62</f>
        <v>1300</v>
      </c>
      <c r="AP11" s="135">
        <f>'комплекты фурнитуры'!$C$64</f>
        <v>480</v>
      </c>
      <c r="AQ11" s="135"/>
      <c r="AR11" s="135"/>
      <c r="AS11" s="135"/>
      <c r="AT11" s="135"/>
      <c r="AU11" s="135"/>
      <c r="AV11" s="135"/>
      <c r="AW11" s="135"/>
      <c r="AX11" s="135"/>
      <c r="AY11" s="135"/>
      <c r="AZ11" s="135"/>
      <c r="BA11" s="135"/>
      <c r="BB11" s="135"/>
      <c r="BC11" s="135"/>
      <c r="BD11" s="135"/>
      <c r="BE11" s="135"/>
      <c r="BF11" s="135"/>
      <c r="BG11" s="135"/>
      <c r="BH11" s="135"/>
      <c r="BI11" s="135"/>
      <c r="BJ11" s="135"/>
      <c r="BK11" s="135"/>
      <c r="BL11" s="135"/>
      <c r="BM11" s="135"/>
      <c r="BN11" s="135"/>
      <c r="BO11" s="135"/>
      <c r="BP11" s="136">
        <f>Прайс[[#This Row],[KFPr-SB-SPL]]+Прайс[[#This Row],[КФ петли вклад. 95 гр. с крестообр. планкой]]*2</f>
        <v>2630</v>
      </c>
      <c r="BQ11" s="131">
        <f>Прайс[[#This Row],[KFPr-SB-SPL]]+Прайс[[#This Row],[KFP-SB-PY94]]*2</f>
        <v>990</v>
      </c>
      <c r="BR11" s="131">
        <f>Прайс[[#This Row],[KFPr-SB-SPL]]+Прайс[[#This Row],[KFP-SB-PY94]]*2</f>
        <v>990</v>
      </c>
      <c r="BS11" s="128">
        <v>750</v>
      </c>
      <c r="BT11" s="128">
        <v>720</v>
      </c>
      <c r="BU11" s="128" t="str">
        <f>IF(OR(Прайс[[#This Row],[Тип]]="Нижний",Прайс[[#This Row],[Тип]]="Пенал"),"560",IF(Прайс[[#This Row],[Тип]]="Верхний",315,0))</f>
        <v>560</v>
      </c>
      <c r="BV11" s="137">
        <v>1.08</v>
      </c>
      <c r="BW11" s="137">
        <v>1.0649999999999999</v>
      </c>
      <c r="BX11" s="131">
        <v>0</v>
      </c>
      <c r="BY11" s="128">
        <v>0</v>
      </c>
      <c r="BZ11" s="128">
        <v>0</v>
      </c>
      <c r="CA11" s="128" t="s">
        <v>71</v>
      </c>
      <c r="CB11" s="131" t="s">
        <v>487</v>
      </c>
      <c r="CC11" s="128">
        <v>0</v>
      </c>
      <c r="CD11" s="128" t="s">
        <v>10</v>
      </c>
      <c r="CE11" s="128">
        <v>3290</v>
      </c>
      <c r="CF11" s="128"/>
      <c r="CG11" s="128"/>
      <c r="CH11" s="128">
        <v>1</v>
      </c>
    </row>
    <row r="12" spans="1:93" s="130" customFormat="1" ht="15" customHeight="1" x14ac:dyDescent="0.25">
      <c r="A12" s="132" t="s">
        <v>130</v>
      </c>
      <c r="B12" s="129" t="s">
        <v>6</v>
      </c>
      <c r="C12" s="129" t="s">
        <v>778</v>
      </c>
      <c r="D12" s="129" t="s">
        <v>69</v>
      </c>
      <c r="E12" s="129" t="s">
        <v>10</v>
      </c>
      <c r="F12" s="129" t="s">
        <v>89</v>
      </c>
      <c r="G12" s="133">
        <v>720</v>
      </c>
      <c r="H12" s="133">
        <v>720</v>
      </c>
      <c r="I12" s="133">
        <v>810</v>
      </c>
      <c r="J12" s="133">
        <v>1050</v>
      </c>
      <c r="K12" s="133">
        <v>360</v>
      </c>
      <c r="L12" s="133">
        <v>560</v>
      </c>
      <c r="M12" s="129"/>
      <c r="N12" s="140"/>
      <c r="O12" s="139">
        <v>2850</v>
      </c>
      <c r="P12" s="139"/>
      <c r="Q12" s="139"/>
      <c r="R12" s="129"/>
      <c r="S12" s="129"/>
      <c r="T12" s="129"/>
      <c r="U12" s="129">
        <f>'комплекты фурнитуры'!$C$14</f>
        <v>740</v>
      </c>
      <c r="V12" s="129"/>
      <c r="W12" s="129"/>
      <c r="X12" s="129"/>
      <c r="Y12" s="129"/>
      <c r="Z12" s="129"/>
      <c r="AA12" s="129"/>
      <c r="AB12" s="129"/>
      <c r="AC12" s="129"/>
      <c r="AD12" s="129"/>
      <c r="AE12" s="129">
        <f>'комплекты фурнитуры'!$C$26*2</f>
        <v>540</v>
      </c>
      <c r="AF12" s="129"/>
      <c r="AG12" s="129"/>
      <c r="AH12" s="135">
        <f>SUM(Прайс[[#This Row],[КФ НСТ11]:[KFPr-SB-ZPG]])</f>
        <v>1280</v>
      </c>
      <c r="AI12" s="135"/>
      <c r="AJ12" s="129">
        <f>'комплекты фурнитуры'!$C$84</f>
        <v>30</v>
      </c>
      <c r="AK12" s="129"/>
      <c r="AL12" s="129"/>
      <c r="AM12" s="135"/>
      <c r="AN12" s="135"/>
      <c r="AO12" s="135">
        <f>'комплекты фурнитуры'!$C$62</f>
        <v>1300</v>
      </c>
      <c r="AP12" s="135">
        <f>'комплекты фурнитуры'!$C$64</f>
        <v>480</v>
      </c>
      <c r="AQ12" s="135"/>
      <c r="AR12" s="135"/>
      <c r="AS12" s="135"/>
      <c r="AT12" s="135"/>
      <c r="AU12" s="135"/>
      <c r="AV12" s="135"/>
      <c r="AW12" s="135"/>
      <c r="AX12" s="135"/>
      <c r="AY12" s="135"/>
      <c r="AZ12" s="135"/>
      <c r="BA12" s="135"/>
      <c r="BB12" s="135"/>
      <c r="BC12" s="135"/>
      <c r="BD12" s="135"/>
      <c r="BE12" s="135"/>
      <c r="BF12" s="135"/>
      <c r="BG12" s="135"/>
      <c r="BH12" s="135"/>
      <c r="BI12" s="135"/>
      <c r="BJ12" s="135"/>
      <c r="BK12" s="135"/>
      <c r="BL12" s="135"/>
      <c r="BM12" s="135"/>
      <c r="BN12" s="135"/>
      <c r="BO12" s="135"/>
      <c r="BP12" s="136">
        <f>Прайс[[#This Row],[KFPr-SB-SPL]]+Прайс[[#This Row],[КФ петли вклад. 95 гр. с крестообр. планкой]]*2</f>
        <v>2630</v>
      </c>
      <c r="BQ12" s="131">
        <f>Прайс[[#This Row],[KFPr-SB-SPL]]+Прайс[[#This Row],[KFP-SB-PY94]]*2</f>
        <v>990</v>
      </c>
      <c r="BR12" s="131">
        <f>Прайс[[#This Row],[KFPr-SB-SPL]]+Прайс[[#This Row],[KFP-SB-PY94]]*2</f>
        <v>990</v>
      </c>
      <c r="BS12" s="128">
        <v>750</v>
      </c>
      <c r="BT12" s="128">
        <v>720</v>
      </c>
      <c r="BU12" s="128" t="str">
        <f>IF(OR(Прайс[[#This Row],[Тип]]="Нижний",Прайс[[#This Row],[Тип]]="Пенал"),"560",IF(Прайс[[#This Row],[Тип]]="Верхний",315,0))</f>
        <v>560</v>
      </c>
      <c r="BV12" s="137">
        <v>1.08</v>
      </c>
      <c r="BW12" s="137">
        <v>1.0649999999999999</v>
      </c>
      <c r="BX12" s="131">
        <v>0</v>
      </c>
      <c r="BY12" s="128">
        <v>0</v>
      </c>
      <c r="BZ12" s="128">
        <v>0</v>
      </c>
      <c r="CA12" s="128" t="s">
        <v>71</v>
      </c>
      <c r="CB12" s="131" t="s">
        <v>487</v>
      </c>
      <c r="CC12" s="128">
        <v>0</v>
      </c>
      <c r="CD12" s="128" t="s">
        <v>10</v>
      </c>
      <c r="CE12" s="128">
        <v>3290</v>
      </c>
      <c r="CF12" s="128"/>
      <c r="CG12" s="128"/>
      <c r="CH12" s="128">
        <v>1</v>
      </c>
    </row>
    <row r="13" spans="1:93" s="130" customFormat="1" ht="15" customHeight="1" x14ac:dyDescent="0.25">
      <c r="A13" s="138" t="s">
        <v>14</v>
      </c>
      <c r="B13" s="129" t="s">
        <v>6</v>
      </c>
      <c r="C13" s="129" t="s">
        <v>779</v>
      </c>
      <c r="D13" s="129" t="s">
        <v>73</v>
      </c>
      <c r="E13" s="129" t="s">
        <v>10</v>
      </c>
      <c r="F13" s="129" t="s">
        <v>95</v>
      </c>
      <c r="G13" s="133">
        <v>720</v>
      </c>
      <c r="H13" s="133">
        <v>720</v>
      </c>
      <c r="I13" s="133">
        <v>300</v>
      </c>
      <c r="J13" s="133">
        <v>600</v>
      </c>
      <c r="K13" s="133">
        <v>525</v>
      </c>
      <c r="L13" s="133">
        <v>560</v>
      </c>
      <c r="M13" s="129"/>
      <c r="N13" s="140"/>
      <c r="O13" s="139">
        <v>2300</v>
      </c>
      <c r="P13" s="139"/>
      <c r="Q13" s="139"/>
      <c r="R13" s="129">
        <f>'комплекты фурнитуры'!$C$9</f>
        <v>540</v>
      </c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>
        <f>'комплекты фурнитуры'!$C$26*2</f>
        <v>540</v>
      </c>
      <c r="AF13" s="129"/>
      <c r="AG13" s="129"/>
      <c r="AH13" s="135">
        <f>SUM(Прайс[[#This Row],[КФ НСТ11]:[KFPr-SB-ZPG]])</f>
        <v>1080</v>
      </c>
      <c r="AI13" s="135"/>
      <c r="AJ13" s="129"/>
      <c r="AK13" s="129"/>
      <c r="AL13" s="129"/>
      <c r="AM13" s="135">
        <f>'комплекты фурнитуры'!$C$68</f>
        <v>620</v>
      </c>
      <c r="AN13" s="135">
        <f>'комплекты фурнитуры'!$C$69</f>
        <v>130</v>
      </c>
      <c r="AO13" s="135"/>
      <c r="AP13" s="135"/>
      <c r="AQ13" s="135"/>
      <c r="AR13" s="135"/>
      <c r="AS13" s="135"/>
      <c r="AT13" s="135"/>
      <c r="AU13" s="135"/>
      <c r="AV13" s="135"/>
      <c r="AW13" s="135"/>
      <c r="AX13" s="135"/>
      <c r="AY13" s="135"/>
      <c r="AZ13" s="135"/>
      <c r="BA13" s="135"/>
      <c r="BB13" s="135">
        <f>'комплекты фурнитуры'!$C$28</f>
        <v>5100</v>
      </c>
      <c r="BC13" s="135"/>
      <c r="BD13" s="135">
        <f>'комплекты фурнитуры'!$C$35</f>
        <v>370</v>
      </c>
      <c r="BE13" s="135"/>
      <c r="BF13" s="135">
        <f>'комплекты фурнитуры'!$C$36</f>
        <v>170</v>
      </c>
      <c r="BG13" s="135">
        <f>'комплекты фурнитуры'!$C$38</f>
        <v>4130</v>
      </c>
      <c r="BH13" s="135"/>
      <c r="BI13" s="135"/>
      <c r="BJ13" s="135"/>
      <c r="BK13" s="135"/>
      <c r="BL13" s="135"/>
      <c r="BM13" s="135"/>
      <c r="BN13" s="135"/>
      <c r="BO13" s="135"/>
      <c r="BP13" s="136">
        <f>Прайс[[#This Row],[КФ петли SENS накл.110 гр. с крестообр. Планкой]]*2+Прайс[[#This Row],[Комплект для ящика Hettich ATIRA Серый, NL-470, H-70]]</f>
        <v>6340</v>
      </c>
      <c r="BQ13" s="131">
        <f>Прайс[[#This Row],[KFP-SB-N110]]*2+Прайс[[#This Row],[KFN-SB-M86]]+Прайс[[#This Row],[KFN-SB-MD]]</f>
        <v>800</v>
      </c>
      <c r="BR13" s="131">
        <f>Прайс[[#This Row],[KFP-SB-N110]]*2+Прайс[[#This Row],[КФ ящика Matrix (H=89 мм)_450_GR]]</f>
        <v>4390</v>
      </c>
      <c r="BS13" s="128">
        <v>300</v>
      </c>
      <c r="BT13" s="128">
        <v>720</v>
      </c>
      <c r="BU13" s="128" t="str">
        <f>IF(OR(Прайс[[#This Row],[Тип]]="Нижний",Прайс[[#This Row],[Тип]]="Пенал"),"560",IF(Прайс[[#This Row],[Тип]]="Верхний",315,0))</f>
        <v>560</v>
      </c>
      <c r="BV13" s="137">
        <v>1.08</v>
      </c>
      <c r="BW13" s="137">
        <v>1.0649999999999999</v>
      </c>
      <c r="BX13" s="131">
        <v>0</v>
      </c>
      <c r="BY13" s="128">
        <v>0</v>
      </c>
      <c r="BZ13" s="128">
        <v>1</v>
      </c>
      <c r="CA13" s="128" t="s">
        <v>71</v>
      </c>
      <c r="CB13" s="131" t="s">
        <v>489</v>
      </c>
      <c r="CC13" s="128">
        <v>1</v>
      </c>
      <c r="CD13" s="128" t="s">
        <v>10</v>
      </c>
      <c r="CE13" s="128">
        <v>2610</v>
      </c>
      <c r="CF13" s="128"/>
      <c r="CG13" s="128"/>
      <c r="CH13" s="128">
        <v>2</v>
      </c>
    </row>
    <row r="14" spans="1:93" s="130" customFormat="1" ht="15" customHeight="1" x14ac:dyDescent="0.25">
      <c r="A14" s="138" t="s">
        <v>84</v>
      </c>
      <c r="B14" s="129" t="s">
        <v>6</v>
      </c>
      <c r="C14" s="129" t="s">
        <v>780</v>
      </c>
      <c r="D14" s="129" t="s">
        <v>73</v>
      </c>
      <c r="E14" s="129" t="s">
        <v>10</v>
      </c>
      <c r="F14" s="129" t="s">
        <v>95</v>
      </c>
      <c r="G14" s="133">
        <v>720</v>
      </c>
      <c r="H14" s="133">
        <v>720</v>
      </c>
      <c r="I14" s="133">
        <v>500</v>
      </c>
      <c r="J14" s="133">
        <v>900</v>
      </c>
      <c r="K14" s="133">
        <v>525</v>
      </c>
      <c r="L14" s="133">
        <v>560</v>
      </c>
      <c r="M14" s="129"/>
      <c r="N14" s="140"/>
      <c r="O14" s="139">
        <v>2300</v>
      </c>
      <c r="P14" s="139"/>
      <c r="Q14" s="139"/>
      <c r="R14" s="129">
        <f>'комплекты фурнитуры'!$C$9</f>
        <v>540</v>
      </c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>
        <f>'комплекты фурнитуры'!$C$26*2</f>
        <v>540</v>
      </c>
      <c r="AF14" s="129"/>
      <c r="AG14" s="129"/>
      <c r="AH14" s="135">
        <f>SUM(Прайс[[#This Row],[КФ НСТ11]:[KFPr-SB-ZPG]])</f>
        <v>1080</v>
      </c>
      <c r="AI14" s="135"/>
      <c r="AJ14" s="129"/>
      <c r="AK14" s="129"/>
      <c r="AL14" s="129"/>
      <c r="AM14" s="135">
        <f>'комплекты фурнитуры'!$C$68</f>
        <v>620</v>
      </c>
      <c r="AN14" s="135">
        <f>'комплекты фурнитуры'!$C$69</f>
        <v>130</v>
      </c>
      <c r="AO14" s="135"/>
      <c r="AP14" s="135"/>
      <c r="AQ14" s="135"/>
      <c r="AR14" s="135"/>
      <c r="AS14" s="135"/>
      <c r="AT14" s="135"/>
      <c r="AU14" s="135"/>
      <c r="AV14" s="135"/>
      <c r="AW14" s="135"/>
      <c r="AX14" s="135"/>
      <c r="AY14" s="135"/>
      <c r="AZ14" s="135"/>
      <c r="BA14" s="135"/>
      <c r="BB14" s="135">
        <f>'комплекты фурнитуры'!$C$28</f>
        <v>5100</v>
      </c>
      <c r="BC14" s="135"/>
      <c r="BD14" s="135">
        <f>'комплекты фурнитуры'!$C$35</f>
        <v>370</v>
      </c>
      <c r="BE14" s="135"/>
      <c r="BF14" s="135">
        <f>'комплекты фурнитуры'!$C$36</f>
        <v>170</v>
      </c>
      <c r="BG14" s="135">
        <f>'комплекты фурнитуры'!$C$38</f>
        <v>4130</v>
      </c>
      <c r="BH14" s="135"/>
      <c r="BI14" s="135"/>
      <c r="BJ14" s="135"/>
      <c r="BK14" s="135"/>
      <c r="BL14" s="135"/>
      <c r="BM14" s="135"/>
      <c r="BN14" s="135"/>
      <c r="BO14" s="135"/>
      <c r="BP14" s="136">
        <f>Прайс[[#This Row],[КФ петли SENS накл.110 гр. с крестообр. Планкой]]*4+Прайс[[#This Row],[Комплект для ящика Hettich ATIRA Серый, NL-470, H-70]]</f>
        <v>7580</v>
      </c>
      <c r="BQ14" s="131">
        <f>Прайс[[#This Row],[KFP-SB-N110]]*4+Прайс[[#This Row],[KFN-SB-M86]]+Прайс[[#This Row],[KFN-SB-MD]]</f>
        <v>1060</v>
      </c>
      <c r="BR14" s="131">
        <f>Прайс[[#This Row],[KFP-SB-N110]]*4+Прайс[[#This Row],[КФ ящика Matrix (H=89 мм)_450_GR]]</f>
        <v>4650</v>
      </c>
      <c r="BS14" s="128">
        <v>300</v>
      </c>
      <c r="BT14" s="128">
        <v>720</v>
      </c>
      <c r="BU14" s="128" t="str">
        <f>IF(OR(Прайс[[#This Row],[Тип]]="Нижний",Прайс[[#This Row],[Тип]]="Пенал"),"560",IF(Прайс[[#This Row],[Тип]]="Верхний",315,0))</f>
        <v>560</v>
      </c>
      <c r="BV14" s="137">
        <v>1.08</v>
      </c>
      <c r="BW14" s="137">
        <v>1.0649999999999999</v>
      </c>
      <c r="BX14" s="131">
        <v>0</v>
      </c>
      <c r="BY14" s="128">
        <v>0</v>
      </c>
      <c r="BZ14" s="128">
        <v>1</v>
      </c>
      <c r="CA14" s="128" t="s">
        <v>71</v>
      </c>
      <c r="CB14" s="131" t="s">
        <v>487</v>
      </c>
      <c r="CC14" s="128">
        <v>1</v>
      </c>
      <c r="CD14" s="128" t="s">
        <v>10</v>
      </c>
      <c r="CE14" s="128">
        <v>2610</v>
      </c>
      <c r="CF14" s="128"/>
      <c r="CG14" s="128"/>
      <c r="CH14" s="128">
        <v>3</v>
      </c>
    </row>
    <row r="15" spans="1:93" s="130" customFormat="1" ht="15" customHeight="1" x14ac:dyDescent="0.25">
      <c r="A15" s="132" t="s">
        <v>15</v>
      </c>
      <c r="B15" s="129" t="s">
        <v>6</v>
      </c>
      <c r="C15" s="129" t="s">
        <v>781</v>
      </c>
      <c r="D15" s="129" t="s">
        <v>73</v>
      </c>
      <c r="E15" s="129" t="s">
        <v>10</v>
      </c>
      <c r="F15" s="129" t="s">
        <v>95</v>
      </c>
      <c r="G15" s="133">
        <v>720</v>
      </c>
      <c r="H15" s="133">
        <v>720</v>
      </c>
      <c r="I15" s="133">
        <v>300</v>
      </c>
      <c r="J15" s="133">
        <v>900</v>
      </c>
      <c r="K15" s="133">
        <v>525</v>
      </c>
      <c r="L15" s="133">
        <v>560</v>
      </c>
      <c r="M15" s="129"/>
      <c r="N15" s="140"/>
      <c r="O15" s="139">
        <v>3030</v>
      </c>
      <c r="P15" s="139"/>
      <c r="Q15" s="139"/>
      <c r="R15" s="129">
        <f>'комплекты фурнитуры'!$C$9</f>
        <v>540</v>
      </c>
      <c r="S15" s="129"/>
      <c r="T15" s="129"/>
      <c r="U15" s="129"/>
      <c r="V15" s="129"/>
      <c r="W15" s="129"/>
      <c r="X15" s="129"/>
      <c r="Y15" s="129"/>
      <c r="Z15" s="129"/>
      <c r="AA15" s="129"/>
      <c r="AB15" s="129"/>
      <c r="AC15" s="129"/>
      <c r="AD15" s="129"/>
      <c r="AE15" s="129">
        <f>'комплекты фурнитуры'!$C$26*2</f>
        <v>540</v>
      </c>
      <c r="AF15" s="129"/>
      <c r="AG15" s="129"/>
      <c r="AH15" s="135">
        <f>SUM(Прайс[[#This Row],[КФ НСТ11]:[KFPr-SB-ZPG]])</f>
        <v>1080</v>
      </c>
      <c r="AI15" s="135"/>
      <c r="AJ15" s="129"/>
      <c r="AK15" s="129"/>
      <c r="AL15" s="129"/>
      <c r="AM15" s="135"/>
      <c r="AN15" s="135"/>
      <c r="AO15" s="135"/>
      <c r="AP15" s="135"/>
      <c r="AQ15" s="135"/>
      <c r="AR15" s="135"/>
      <c r="AS15" s="135"/>
      <c r="AT15" s="135"/>
      <c r="AU15" s="135"/>
      <c r="AV15" s="135"/>
      <c r="AW15" s="135"/>
      <c r="AX15" s="135"/>
      <c r="AY15" s="135"/>
      <c r="AZ15" s="135"/>
      <c r="BA15" s="135"/>
      <c r="BB15" s="135">
        <f>'комплекты фурнитуры'!$C$28</f>
        <v>5100</v>
      </c>
      <c r="BC15" s="135"/>
      <c r="BD15" s="135">
        <f>'комплекты фурнитуры'!$C$35</f>
        <v>370</v>
      </c>
      <c r="BE15" s="135"/>
      <c r="BF15" s="135">
        <f>'комплекты фурнитуры'!$C$36</f>
        <v>170</v>
      </c>
      <c r="BG15" s="135"/>
      <c r="BH15" s="135"/>
      <c r="BI15" s="135">
        <f>'комплекты фурнитуры'!$C$39</f>
        <v>6440</v>
      </c>
      <c r="BJ15" s="135"/>
      <c r="BK15" s="135"/>
      <c r="BL15" s="135"/>
      <c r="BM15" s="135"/>
      <c r="BN15" s="135"/>
      <c r="BO15" s="135"/>
      <c r="BP15" s="136">
        <f>4*Прайс[[#This Row],[Комплект для ящика Hettich ATIRA Серый, NL-470, H-70]]</f>
        <v>20400</v>
      </c>
      <c r="BQ15" s="131">
        <f>Прайс[[#This Row],[KFN-SB-M86]]*4+Прайс[[#This Row],[KFN-SB-MD]]*4</f>
        <v>2160</v>
      </c>
      <c r="BR15" s="131">
        <f>Прайс[[#This Row],[Комплект ящика INNOTECH ATIRA полного выдв. с  PUSH TO OPEN , Н70,NL470,цвет серебристый]]*4</f>
        <v>25760</v>
      </c>
      <c r="BS15" s="128">
        <v>300</v>
      </c>
      <c r="BT15" s="128">
        <v>720</v>
      </c>
      <c r="BU15" s="128" t="str">
        <f>IF(OR(Прайс[[#This Row],[Тип]]="Нижний",Прайс[[#This Row],[Тип]]="Пенал"),"560",IF(Прайс[[#This Row],[Тип]]="Верхний",315,0))</f>
        <v>560</v>
      </c>
      <c r="BV15" s="137">
        <v>1.08</v>
      </c>
      <c r="BW15" s="137">
        <v>1.0649999999999999</v>
      </c>
      <c r="BX15" s="131">
        <v>0</v>
      </c>
      <c r="BY15" s="128">
        <v>0</v>
      </c>
      <c r="BZ15" s="128">
        <v>0</v>
      </c>
      <c r="CA15" s="128" t="s">
        <v>71</v>
      </c>
      <c r="CB15" s="131" t="s">
        <v>487</v>
      </c>
      <c r="CC15" s="128">
        <v>0</v>
      </c>
      <c r="CD15" s="128" t="s">
        <v>10</v>
      </c>
      <c r="CE15" s="128">
        <v>3400</v>
      </c>
      <c r="CF15" s="128"/>
      <c r="CG15" s="128"/>
      <c r="CH15" s="128">
        <v>4</v>
      </c>
    </row>
    <row r="16" spans="1:93" s="130" customFormat="1" ht="15" customHeight="1" x14ac:dyDescent="0.25">
      <c r="A16" s="132" t="s">
        <v>1</v>
      </c>
      <c r="B16" s="129" t="s">
        <v>6</v>
      </c>
      <c r="C16" s="129" t="s">
        <v>782</v>
      </c>
      <c r="D16" s="129" t="s">
        <v>73</v>
      </c>
      <c r="E16" s="129" t="s">
        <v>10</v>
      </c>
      <c r="F16" s="129" t="s">
        <v>95</v>
      </c>
      <c r="G16" s="133">
        <v>720</v>
      </c>
      <c r="H16" s="133">
        <v>720</v>
      </c>
      <c r="I16" s="133">
        <v>300</v>
      </c>
      <c r="J16" s="133">
        <v>600</v>
      </c>
      <c r="K16" s="133">
        <v>525</v>
      </c>
      <c r="L16" s="133">
        <v>560</v>
      </c>
      <c r="M16" s="129"/>
      <c r="N16" s="140"/>
      <c r="O16" s="139">
        <v>2700</v>
      </c>
      <c r="P16" s="139"/>
      <c r="Q16" s="139"/>
      <c r="R16" s="129">
        <f>'комплекты фурнитуры'!$C$9</f>
        <v>540</v>
      </c>
      <c r="S16" s="129"/>
      <c r="T16" s="129"/>
      <c r="U16" s="129"/>
      <c r="V16" s="129"/>
      <c r="W16" s="129"/>
      <c r="X16" s="129"/>
      <c r="Y16" s="129"/>
      <c r="Z16" s="129"/>
      <c r="AA16" s="129"/>
      <c r="AB16" s="129"/>
      <c r="AC16" s="129"/>
      <c r="AD16" s="129"/>
      <c r="AE16" s="129">
        <f>'комплекты фурнитуры'!$C$26*2</f>
        <v>540</v>
      </c>
      <c r="AF16" s="129"/>
      <c r="AG16" s="129"/>
      <c r="AH16" s="135">
        <f>SUM(Прайс[[#This Row],[КФ НСТ11]:[KFPr-SB-ZPG]])</f>
        <v>1080</v>
      </c>
      <c r="AI16" s="135"/>
      <c r="AJ16" s="129"/>
      <c r="AK16" s="129"/>
      <c r="AL16" s="129"/>
      <c r="AM16" s="135"/>
      <c r="AN16" s="135"/>
      <c r="AO16" s="135"/>
      <c r="AP16" s="135"/>
      <c r="AQ16" s="135"/>
      <c r="AR16" s="135"/>
      <c r="AS16" s="135"/>
      <c r="AT16" s="135"/>
      <c r="AU16" s="135"/>
      <c r="AV16" s="135"/>
      <c r="AW16" s="135"/>
      <c r="AX16" s="135"/>
      <c r="AY16" s="135"/>
      <c r="AZ16" s="135"/>
      <c r="BA16" s="135"/>
      <c r="BB16" s="135">
        <f>'комплекты фурнитуры'!$C$28</f>
        <v>5100</v>
      </c>
      <c r="BC16" s="135">
        <f>'комплекты фурнитуры'!$C$29</f>
        <v>6660</v>
      </c>
      <c r="BD16" s="135">
        <f>'комплекты фурнитуры'!$C$35</f>
        <v>370</v>
      </c>
      <c r="BE16" s="135">
        <f>'комплекты фурнитуры'!$C$34</f>
        <v>940</v>
      </c>
      <c r="BF16" s="135">
        <f>'комплекты фурнитуры'!$C$36</f>
        <v>170</v>
      </c>
      <c r="BG16" s="135"/>
      <c r="BH16" s="135">
        <f>'комплекты фурнитуры'!$C$37</f>
        <v>5040</v>
      </c>
      <c r="BI16" s="135">
        <f>'комплекты фурнитуры'!$C$39</f>
        <v>6440</v>
      </c>
      <c r="BJ16" s="135">
        <f>'комплекты фурнитуры'!$C$40</f>
        <v>7970</v>
      </c>
      <c r="BK16" s="135"/>
      <c r="BL16" s="135"/>
      <c r="BM16" s="135"/>
      <c r="BN16" s="135"/>
      <c r="BO16" s="135"/>
      <c r="BP16" s="136">
        <f>Прайс[[#This Row],[Комплект для ящика Hettich ATIRA Серый, NL-470, H-70]]*2+Прайс[[#This Row],[Комплект для ящика Hettich ATIRA Серый с реллингом, NL-470, H-176]]</f>
        <v>16860</v>
      </c>
      <c r="BQ16" s="131">
        <f>Прайс[[#This Row],[KFN-SB-M86]]*2+Прайс[[#This Row],[KFN-SB-M15]]+Прайс[[#This Row],[KFN-SB-MD]]*3</f>
        <v>2190</v>
      </c>
      <c r="BR16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28">
        <v>300</v>
      </c>
      <c r="BT16" s="128">
        <v>720</v>
      </c>
      <c r="BU16" s="128" t="str">
        <f>IF(OR(Прайс[[#This Row],[Тип]]="Нижний",Прайс[[#This Row],[Тип]]="Пенал"),"560",IF(Прайс[[#This Row],[Тип]]="Верхний",315,0))</f>
        <v>560</v>
      </c>
      <c r="BV16" s="137">
        <v>1.08</v>
      </c>
      <c r="BW16" s="137">
        <v>1.0649999999999999</v>
      </c>
      <c r="BX16" s="131">
        <v>0</v>
      </c>
      <c r="BY16" s="128">
        <v>0</v>
      </c>
      <c r="BZ16" s="128">
        <v>0</v>
      </c>
      <c r="CA16" s="128" t="s">
        <v>71</v>
      </c>
      <c r="CB16" s="131" t="s">
        <v>487</v>
      </c>
      <c r="CC16" s="128">
        <v>0</v>
      </c>
      <c r="CD16" s="128" t="s">
        <v>10</v>
      </c>
      <c r="CE16" s="128">
        <v>3060</v>
      </c>
      <c r="CF16" s="128"/>
      <c r="CG16" s="128"/>
      <c r="CH16" s="128">
        <v>3</v>
      </c>
    </row>
    <row r="17" spans="1:86" s="130" customFormat="1" ht="15" customHeight="1" x14ac:dyDescent="0.25">
      <c r="A17" s="132" t="s">
        <v>16</v>
      </c>
      <c r="B17" s="129" t="s">
        <v>6</v>
      </c>
      <c r="C17" s="129" t="s">
        <v>783</v>
      </c>
      <c r="D17" s="129" t="s">
        <v>73</v>
      </c>
      <c r="E17" s="129" t="s">
        <v>10</v>
      </c>
      <c r="F17" s="129" t="s">
        <v>95</v>
      </c>
      <c r="G17" s="133">
        <v>720</v>
      </c>
      <c r="H17" s="133">
        <v>720</v>
      </c>
      <c r="I17" s="133">
        <v>300</v>
      </c>
      <c r="J17" s="133">
        <v>950</v>
      </c>
      <c r="K17" s="133">
        <v>525</v>
      </c>
      <c r="L17" s="133">
        <v>560</v>
      </c>
      <c r="M17" s="129"/>
      <c r="N17" s="140"/>
      <c r="O17" s="139">
        <v>2580</v>
      </c>
      <c r="P17" s="139"/>
      <c r="Q17" s="139"/>
      <c r="R17" s="129">
        <f>'комплекты фурнитуры'!$C$9</f>
        <v>540</v>
      </c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>
        <f>'комплекты фурнитуры'!$C$26*2</f>
        <v>540</v>
      </c>
      <c r="AF17" s="129"/>
      <c r="AG17" s="129"/>
      <c r="AH17" s="135">
        <f>SUM(Прайс[[#This Row],[КФ НСТ11]:[KFPr-SB-ZPG]])</f>
        <v>1080</v>
      </c>
      <c r="AI17" s="135"/>
      <c r="AJ17" s="129"/>
      <c r="AK17" s="129"/>
      <c r="AL17" s="129"/>
      <c r="AM17" s="135"/>
      <c r="AN17" s="135"/>
      <c r="AO17" s="135"/>
      <c r="AP17" s="135"/>
      <c r="AQ17" s="135"/>
      <c r="AR17" s="135"/>
      <c r="AS17" s="135"/>
      <c r="AT17" s="135"/>
      <c r="AU17" s="135"/>
      <c r="AV17" s="135"/>
      <c r="AW17" s="135"/>
      <c r="AX17" s="135"/>
      <c r="AY17" s="135"/>
      <c r="AZ17" s="135"/>
      <c r="BA17" s="135"/>
      <c r="BB17" s="135"/>
      <c r="BC17" s="135">
        <f>'комплекты фурнитуры'!$C$29</f>
        <v>6660</v>
      </c>
      <c r="BD17" s="135"/>
      <c r="BE17" s="135">
        <f>'комплекты фурнитуры'!$C$34</f>
        <v>940</v>
      </c>
      <c r="BF17" s="135">
        <f>'комплекты фурнитуры'!$C$36</f>
        <v>170</v>
      </c>
      <c r="BG17" s="135"/>
      <c r="BH17" s="135">
        <f>'комплекты фурнитуры'!$C$37</f>
        <v>5040</v>
      </c>
      <c r="BI17" s="135"/>
      <c r="BJ17" s="135">
        <f>'комплекты фурнитуры'!$C$40</f>
        <v>7970</v>
      </c>
      <c r="BK17" s="135"/>
      <c r="BL17" s="135"/>
      <c r="BM17" s="135"/>
      <c r="BN17" s="135"/>
      <c r="BO17" s="135"/>
      <c r="BP17" s="136">
        <f>Прайс[[#This Row],[Комплект для ящика Hettich ATIRA Серый с реллингом, NL-470, H-176]]*2</f>
        <v>13320</v>
      </c>
      <c r="BQ17" s="131">
        <f>Прайс[[#This Row],[KFN-SB-M15]]*2+Прайс[[#This Row],[KFN-SB-MD]]*2</f>
        <v>2220</v>
      </c>
      <c r="BR17" s="131">
        <f>Прайс[[#This Row],[Комплект короба INNOTECH ATIRA полного выдв. с Push to open, Н176,NL470,рейлинги, цвет серебристый]]*2</f>
        <v>15940</v>
      </c>
      <c r="BS17" s="128">
        <v>300</v>
      </c>
      <c r="BT17" s="128">
        <v>720</v>
      </c>
      <c r="BU17" s="128" t="str">
        <f>IF(OR(Прайс[[#This Row],[Тип]]="Нижний",Прайс[[#This Row],[Тип]]="Пенал"),"560",IF(Прайс[[#This Row],[Тип]]="Верхний",315,0))</f>
        <v>560</v>
      </c>
      <c r="BV17" s="137">
        <v>1.08</v>
      </c>
      <c r="BW17" s="137">
        <v>1.0649999999999999</v>
      </c>
      <c r="BX17" s="131">
        <v>0</v>
      </c>
      <c r="BY17" s="128">
        <v>0</v>
      </c>
      <c r="BZ17" s="128">
        <v>0</v>
      </c>
      <c r="CA17" s="128" t="s">
        <v>71</v>
      </c>
      <c r="CB17" s="131" t="s">
        <v>487</v>
      </c>
      <c r="CC17" s="128">
        <v>0</v>
      </c>
      <c r="CD17" s="128" t="s">
        <v>10</v>
      </c>
      <c r="CE17" s="128">
        <v>2910</v>
      </c>
      <c r="CF17" s="128"/>
      <c r="CG17" s="128"/>
      <c r="CH17" s="128">
        <v>2</v>
      </c>
    </row>
    <row r="18" spans="1:86" s="130" customFormat="1" ht="15" customHeight="1" x14ac:dyDescent="0.25">
      <c r="A18" s="141" t="s">
        <v>763</v>
      </c>
      <c r="B18" s="129" t="s">
        <v>6</v>
      </c>
      <c r="C18" s="129" t="s">
        <v>784</v>
      </c>
      <c r="D18" s="129" t="s">
        <v>73</v>
      </c>
      <c r="E18" s="129" t="s">
        <v>10</v>
      </c>
      <c r="F18" s="129" t="s">
        <v>94</v>
      </c>
      <c r="G18" s="133">
        <v>720</v>
      </c>
      <c r="H18" s="133">
        <v>720</v>
      </c>
      <c r="I18" s="133">
        <v>600</v>
      </c>
      <c r="J18" s="133">
        <v>600</v>
      </c>
      <c r="K18" s="133">
        <v>525</v>
      </c>
      <c r="L18" s="133">
        <v>560</v>
      </c>
      <c r="M18" s="129"/>
      <c r="N18" s="140"/>
      <c r="O18" s="139">
        <v>3240</v>
      </c>
      <c r="P18" s="139"/>
      <c r="Q18" s="139"/>
      <c r="R18" s="129"/>
      <c r="S18" s="129"/>
      <c r="T18" s="129"/>
      <c r="U18" s="129"/>
      <c r="V18" s="129"/>
      <c r="W18" s="129"/>
      <c r="X18" s="129"/>
      <c r="Y18" s="129"/>
      <c r="Z18" s="129"/>
      <c r="AA18" s="129"/>
      <c r="AB18" s="129"/>
      <c r="AC18" s="129"/>
      <c r="AD18" s="129"/>
      <c r="AE18" s="129">
        <f>'комплекты фурнитуры'!$C$26*2</f>
        <v>540</v>
      </c>
      <c r="AF18" s="129"/>
      <c r="AG18" s="129"/>
      <c r="AH18" s="135">
        <f>SUM(Прайс[[#This Row],[КФ НСТ11]:[KFPr-SB-ZPG]])+Прайс[[#This Row],[КФ НСТ19]]</f>
        <v>1080</v>
      </c>
      <c r="AI18" s="135"/>
      <c r="AJ18" s="135"/>
      <c r="AK18" s="135"/>
      <c r="AL18" s="129"/>
      <c r="AM18" s="135"/>
      <c r="AN18" s="135"/>
      <c r="AO18" s="135"/>
      <c r="AP18" s="135"/>
      <c r="AQ18" s="135"/>
      <c r="AR18" s="135"/>
      <c r="AS18" s="135"/>
      <c r="AT18" s="135"/>
      <c r="AU18" s="135"/>
      <c r="AV18" s="135"/>
      <c r="AW18" s="135"/>
      <c r="AX18" s="135"/>
      <c r="AY18" s="135"/>
      <c r="AZ18" s="135"/>
      <c r="BA18" s="135"/>
      <c r="BB18" s="135"/>
      <c r="BC18" s="135">
        <f>'комплекты фурнитуры'!$C$29</f>
        <v>6660</v>
      </c>
      <c r="BD18" s="135"/>
      <c r="BE18" s="135"/>
      <c r="BF18" s="135"/>
      <c r="BG18" s="135"/>
      <c r="BH18" s="142"/>
      <c r="BI18" s="135"/>
      <c r="BJ18" s="135"/>
      <c r="BK18" s="135"/>
      <c r="BL18" s="135"/>
      <c r="BM18" s="135"/>
      <c r="BN18" s="135"/>
      <c r="BO18" s="135"/>
      <c r="BP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Q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R18" s="136">
        <f>Прайс[[#This Row],[Корзина выдв.посудосуш.600 мм + напр. L450 Hettich (ХРОМ)]]+Прайс[[#This Row],[Комплект для ящика Hettich ATIRA Серый с реллингом, NL-470, H-176]]</f>
        <v>15450</v>
      </c>
      <c r="BS18" s="128">
        <v>600</v>
      </c>
      <c r="BT18" s="128">
        <v>720</v>
      </c>
      <c r="BU18" s="128">
        <v>560</v>
      </c>
      <c r="BV18" s="137">
        <v>0</v>
      </c>
      <c r="BW18" s="137">
        <v>0</v>
      </c>
      <c r="BX18" s="131">
        <v>0</v>
      </c>
      <c r="BY18" s="128">
        <v>0</v>
      </c>
      <c r="BZ18" s="128">
        <v>0</v>
      </c>
      <c r="CA18" s="128" t="s">
        <v>10</v>
      </c>
      <c r="CB18" s="131" t="s">
        <v>488</v>
      </c>
      <c r="CC18" s="128">
        <v>0</v>
      </c>
      <c r="CD18" s="128" t="s">
        <v>10</v>
      </c>
      <c r="CE18" s="128">
        <v>3240</v>
      </c>
      <c r="CF18" s="128">
        <f>'комплекты фурнитуры'!$C$25</f>
        <v>540</v>
      </c>
      <c r="CG18" s="143">
        <f>'комплекты фурнитуры'!$C$48</f>
        <v>8790</v>
      </c>
      <c r="CH18" s="128">
        <v>2</v>
      </c>
    </row>
    <row r="19" spans="1:86" s="130" customFormat="1" ht="15" customHeight="1" x14ac:dyDescent="0.25">
      <c r="A19" s="132" t="s">
        <v>17</v>
      </c>
      <c r="B19" s="129" t="s">
        <v>6</v>
      </c>
      <c r="C19" s="129" t="s">
        <v>785</v>
      </c>
      <c r="D19" s="129" t="s">
        <v>73</v>
      </c>
      <c r="E19" s="129" t="s">
        <v>10</v>
      </c>
      <c r="F19" s="129" t="s">
        <v>90</v>
      </c>
      <c r="G19" s="133">
        <v>720</v>
      </c>
      <c r="H19" s="133">
        <v>720</v>
      </c>
      <c r="I19" s="133">
        <v>450</v>
      </c>
      <c r="J19" s="133">
        <v>600</v>
      </c>
      <c r="K19" s="133">
        <v>525</v>
      </c>
      <c r="L19" s="133">
        <v>600</v>
      </c>
      <c r="M19" s="129"/>
      <c r="N19" s="140" t="s">
        <v>53</v>
      </c>
      <c r="O19" s="139">
        <v>2510</v>
      </c>
      <c r="P19" s="139"/>
      <c r="Q19" s="139"/>
      <c r="R19" s="129"/>
      <c r="S19" s="129">
        <f>'комплекты фурнитуры'!$C$10</f>
        <v>460</v>
      </c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>
        <f>'комплекты фурнитуры'!$C$26*2</f>
        <v>540</v>
      </c>
      <c r="AF19" s="129"/>
      <c r="AG19" s="129"/>
      <c r="AH19" s="135">
        <f>SUM(Прайс[[#This Row],[КФ НСТ11]:[KFPr-SB-ZPG]])</f>
        <v>1000</v>
      </c>
      <c r="AI19" s="135"/>
      <c r="AJ19" s="129"/>
      <c r="AK19" s="129"/>
      <c r="AL19" s="129"/>
      <c r="AM19" s="135"/>
      <c r="AN19" s="135"/>
      <c r="AO19" s="135"/>
      <c r="AP19" s="135"/>
      <c r="AQ19" s="135"/>
      <c r="AR19" s="135"/>
      <c r="AS19" s="135"/>
      <c r="AT19" s="135"/>
      <c r="AU19" s="135"/>
      <c r="AV19" s="135"/>
      <c r="AW19" s="135"/>
      <c r="AX19" s="135"/>
      <c r="AY19" s="135"/>
      <c r="AZ19" s="135"/>
      <c r="BA19" s="135">
        <f>'комплекты фурнитуры'!$C$33</f>
        <v>480</v>
      </c>
      <c r="BB19" s="135"/>
      <c r="BC19" s="135"/>
      <c r="BD19" s="135"/>
      <c r="BE19" s="135"/>
      <c r="BF19" s="135">
        <f>'комплекты фурнитуры'!$C$36</f>
        <v>170</v>
      </c>
      <c r="BG19" s="135"/>
      <c r="BH19" s="135"/>
      <c r="BI19" s="135"/>
      <c r="BJ19" s="135"/>
      <c r="BK19" s="135"/>
      <c r="BL19" s="135"/>
      <c r="BM19" s="135"/>
      <c r="BN19" s="135"/>
      <c r="BO19" s="135"/>
      <c r="BP19" s="131">
        <f>Прайс[[#This Row],[KFN-SB-M54]]+Прайс[[#This Row],[KFN-SB-MD]]</f>
        <v>650</v>
      </c>
      <c r="BQ19" s="131">
        <f>Прайс[[#This Row],[KFN-SB-M54]]+Прайс[[#This Row],[KFN-SB-MD]]</f>
        <v>650</v>
      </c>
      <c r="BR19" s="131">
        <f>Прайс[[#This Row],[KFN-SB-M54]]+Прайс[[#This Row],[KFN-SB-MD]]</f>
        <v>650</v>
      </c>
      <c r="BS19" s="128">
        <v>450</v>
      </c>
      <c r="BT19" s="128">
        <v>720</v>
      </c>
      <c r="BU19" s="128" t="str">
        <f>IF(OR(Прайс[[#This Row],[Тип]]="Нижний",Прайс[[#This Row],[Тип]]="Пенал"),"560",IF(Прайс[[#This Row],[Тип]]="Верхний",315,0))</f>
        <v>560</v>
      </c>
      <c r="BV19" s="137">
        <v>1.08</v>
      </c>
      <c r="BW19" s="137">
        <v>1.0649999999999999</v>
      </c>
      <c r="BX19" s="131">
        <v>0</v>
      </c>
      <c r="BY19" s="128">
        <v>0</v>
      </c>
      <c r="BZ19" s="128">
        <v>0</v>
      </c>
      <c r="CA19" s="128" t="s">
        <v>10</v>
      </c>
      <c r="CB19" s="131" t="s">
        <v>490</v>
      </c>
      <c r="CC19" s="128">
        <v>0</v>
      </c>
      <c r="CD19" s="128" t="s">
        <v>10</v>
      </c>
      <c r="CE19" s="128">
        <v>2940</v>
      </c>
      <c r="CF19" s="128"/>
      <c r="CG19" s="128"/>
      <c r="CH19" s="128">
        <v>1</v>
      </c>
    </row>
    <row r="20" spans="1:86" s="130" customFormat="1" ht="15" customHeight="1" x14ac:dyDescent="0.25">
      <c r="A20" s="132" t="s">
        <v>18</v>
      </c>
      <c r="B20" s="129" t="s">
        <v>6</v>
      </c>
      <c r="C20" s="129" t="s">
        <v>786</v>
      </c>
      <c r="D20" s="129" t="s">
        <v>75</v>
      </c>
      <c r="E20" s="129" t="s">
        <v>10</v>
      </c>
      <c r="F20" s="129" t="s">
        <v>87</v>
      </c>
      <c r="G20" s="133">
        <v>720</v>
      </c>
      <c r="H20" s="133">
        <v>720</v>
      </c>
      <c r="I20" s="133">
        <v>230</v>
      </c>
      <c r="J20" s="133">
        <v>230</v>
      </c>
      <c r="K20" s="133">
        <v>330</v>
      </c>
      <c r="L20" s="133">
        <v>600</v>
      </c>
      <c r="M20" s="129"/>
      <c r="N20" s="140" t="s">
        <v>54</v>
      </c>
      <c r="O20" s="139">
        <v>2450</v>
      </c>
      <c r="P20" s="139"/>
      <c r="Q20" s="139"/>
      <c r="R20" s="129"/>
      <c r="S20" s="129"/>
      <c r="T20" s="129"/>
      <c r="U20" s="129"/>
      <c r="V20" s="129"/>
      <c r="W20" s="129"/>
      <c r="X20" s="129"/>
      <c r="Y20" s="129">
        <f>'комплекты фурнитуры'!$C$19</f>
        <v>740</v>
      </c>
      <c r="Z20" s="129"/>
      <c r="AA20" s="129"/>
      <c r="AB20" s="129"/>
      <c r="AC20" s="129"/>
      <c r="AD20" s="129"/>
      <c r="AE20" s="129">
        <f>'комплекты фурнитуры'!$C$26*2</f>
        <v>540</v>
      </c>
      <c r="AF20" s="129"/>
      <c r="AG20" s="129"/>
      <c r="AH20" s="135">
        <f>SUM(Прайс[[#This Row],[КФ НСТ11]:[KFPr-SB-ZPG]])</f>
        <v>1280</v>
      </c>
      <c r="AI20" s="135"/>
      <c r="AJ20" s="129"/>
      <c r="AK20" s="129"/>
      <c r="AL20" s="129"/>
      <c r="AM20" s="135"/>
      <c r="AN20" s="135"/>
      <c r="AO20" s="135"/>
      <c r="AP20" s="135"/>
      <c r="AQ20" s="135">
        <f>'комплекты фурнитуры'!$C$60</f>
        <v>1560</v>
      </c>
      <c r="AR20" s="135">
        <f>'комплекты фурнитуры'!$C$61</f>
        <v>190</v>
      </c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35"/>
      <c r="BH20" s="135"/>
      <c r="BI20" s="135"/>
      <c r="BJ20" s="135"/>
      <c r="BK20" s="135"/>
      <c r="BL20" s="135"/>
      <c r="BM20" s="135"/>
      <c r="BN20" s="135"/>
      <c r="BO20" s="135"/>
      <c r="BP20" s="136">
        <f>Прайс[[#This Row],[КKFP-SB-GT45]]*2</f>
        <v>3120</v>
      </c>
      <c r="BQ20" s="131">
        <f>Прайс[[#This Row],[KFP-SB-N45]]*2</f>
        <v>380</v>
      </c>
      <c r="BR20" s="131">
        <f>Прайс[[#This Row],[KFP-SB-N45]]*2</f>
        <v>380</v>
      </c>
      <c r="BS20" s="128">
        <v>230</v>
      </c>
      <c r="BT20" s="128">
        <v>720</v>
      </c>
      <c r="BU20" s="128">
        <v>540</v>
      </c>
      <c r="BV20" s="137">
        <v>1.08</v>
      </c>
      <c r="BW20" s="137">
        <v>1.0649999999999999</v>
      </c>
      <c r="BX20" s="131">
        <v>1.3</v>
      </c>
      <c r="BY20" s="128">
        <v>0</v>
      </c>
      <c r="BZ20" s="128">
        <v>0</v>
      </c>
      <c r="CA20" s="128" t="s">
        <v>71</v>
      </c>
      <c r="CB20" s="131" t="s">
        <v>487</v>
      </c>
      <c r="CC20" s="128">
        <v>0</v>
      </c>
      <c r="CD20" s="128" t="s">
        <v>10</v>
      </c>
      <c r="CE20" s="128">
        <v>2780</v>
      </c>
      <c r="CF20" s="128"/>
      <c r="CG20" s="128"/>
      <c r="CH20" s="128">
        <v>1</v>
      </c>
    </row>
    <row r="21" spans="1:86" s="130" customFormat="1" ht="15" customHeight="1" x14ac:dyDescent="0.25">
      <c r="A21" s="138" t="s">
        <v>19</v>
      </c>
      <c r="B21" s="129" t="s">
        <v>6</v>
      </c>
      <c r="C21" s="129" t="s">
        <v>787</v>
      </c>
      <c r="D21" s="129" t="s">
        <v>76</v>
      </c>
      <c r="E21" s="129" t="s">
        <v>10</v>
      </c>
      <c r="F21" s="129" t="s">
        <v>87</v>
      </c>
      <c r="G21" s="133">
        <v>720</v>
      </c>
      <c r="H21" s="133">
        <v>720</v>
      </c>
      <c r="I21" s="133">
        <v>315</v>
      </c>
      <c r="J21" s="133">
        <v>315</v>
      </c>
      <c r="K21" s="133">
        <v>315</v>
      </c>
      <c r="L21" s="133">
        <v>600</v>
      </c>
      <c r="M21" s="129"/>
      <c r="N21" s="140" t="s">
        <v>55</v>
      </c>
      <c r="O21" s="139">
        <v>2000</v>
      </c>
      <c r="P21" s="139"/>
      <c r="Q21" s="139"/>
      <c r="R21" s="129"/>
      <c r="S21" s="129"/>
      <c r="T21" s="129"/>
      <c r="U21" s="129"/>
      <c r="V21" s="129"/>
      <c r="W21" s="129">
        <f>'комплекты фурнитуры'!$C$17</f>
        <v>650</v>
      </c>
      <c r="X21" s="129"/>
      <c r="Y21" s="129"/>
      <c r="Z21" s="129"/>
      <c r="AA21" s="129"/>
      <c r="AB21" s="129"/>
      <c r="AC21" s="129"/>
      <c r="AD21" s="129"/>
      <c r="AE21" s="129">
        <f>'комплекты фурнитуры'!$C$26*2</f>
        <v>540</v>
      </c>
      <c r="AF21" s="129"/>
      <c r="AG21" s="129"/>
      <c r="AH21" s="135">
        <f>SUM(Прайс[[#This Row],[КФ НСТ11]:[KFPr-SB-ZPG]])</f>
        <v>1190</v>
      </c>
      <c r="AI21" s="135"/>
      <c r="AJ21" s="129"/>
      <c r="AK21" s="129"/>
      <c r="AL21" s="129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6">
        <v>0</v>
      </c>
      <c r="BQ21" s="131">
        <v>0</v>
      </c>
      <c r="BR21" s="131">
        <v>0</v>
      </c>
      <c r="BS21" s="128">
        <v>315</v>
      </c>
      <c r="BT21" s="128">
        <v>720</v>
      </c>
      <c r="BU21" s="128" t="str">
        <f>IF(OR(Прайс[[#This Row],[Тип]]="Нижний",Прайс[[#This Row],[Тип]]="Пенал"),"560",IF(Прайс[[#This Row],[Тип]]="Верхний",315,0))</f>
        <v>560</v>
      </c>
      <c r="BV21" s="137">
        <v>1.08</v>
      </c>
      <c r="BW21" s="137">
        <v>1.0649999999999999</v>
      </c>
      <c r="BX21" s="131">
        <v>1.3</v>
      </c>
      <c r="BY21" s="128">
        <v>1</v>
      </c>
      <c r="BZ21" s="128">
        <v>1</v>
      </c>
      <c r="CA21" s="128" t="s">
        <v>10</v>
      </c>
      <c r="CB21" s="131" t="s">
        <v>487</v>
      </c>
      <c r="CC21" s="128">
        <v>1</v>
      </c>
      <c r="CD21" s="128" t="s">
        <v>10</v>
      </c>
      <c r="CE21" s="128">
        <v>2260</v>
      </c>
      <c r="CF21" s="128"/>
      <c r="CG21" s="128"/>
      <c r="CH21" s="128">
        <v>0</v>
      </c>
    </row>
    <row r="22" spans="1:86" s="130" customFormat="1" ht="15" customHeight="1" x14ac:dyDescent="0.25">
      <c r="A22" s="144" t="s">
        <v>20</v>
      </c>
      <c r="B22" s="129" t="s">
        <v>6</v>
      </c>
      <c r="C22" s="129" t="s">
        <v>788</v>
      </c>
      <c r="D22" s="129" t="s">
        <v>76</v>
      </c>
      <c r="E22" s="129" t="s">
        <v>10</v>
      </c>
      <c r="F22" s="129" t="s">
        <v>87</v>
      </c>
      <c r="G22" s="133">
        <v>720</v>
      </c>
      <c r="H22" s="133">
        <v>720</v>
      </c>
      <c r="I22" s="133">
        <v>315</v>
      </c>
      <c r="J22" s="133">
        <v>315</v>
      </c>
      <c r="K22" s="133">
        <v>415</v>
      </c>
      <c r="L22" s="133">
        <v>600</v>
      </c>
      <c r="M22" s="129"/>
      <c r="N22" s="140" t="s">
        <v>56</v>
      </c>
      <c r="O22" s="139">
        <v>2000</v>
      </c>
      <c r="P22" s="139"/>
      <c r="Q22" s="139"/>
      <c r="R22" s="129"/>
      <c r="S22" s="129"/>
      <c r="T22" s="129"/>
      <c r="U22" s="129"/>
      <c r="V22" s="129">
        <f>'комплекты фурнитуры'!$C$15</f>
        <v>940</v>
      </c>
      <c r="W22" s="129"/>
      <c r="X22" s="129"/>
      <c r="Y22" s="129"/>
      <c r="Z22" s="129"/>
      <c r="AA22" s="129"/>
      <c r="AB22" s="129"/>
      <c r="AC22" s="129"/>
      <c r="AD22" s="129"/>
      <c r="AE22" s="129">
        <f>'комплекты фурнитуры'!$C$26*2</f>
        <v>540</v>
      </c>
      <c r="AF22" s="129"/>
      <c r="AG22" s="129"/>
      <c r="AH22" s="135">
        <f>SUM(Прайс[[#This Row],[КФ НСТ11]:[KFPr-SB-ZPG]])</f>
        <v>1480</v>
      </c>
      <c r="AI22" s="135"/>
      <c r="AJ22" s="129"/>
      <c r="AK22" s="129"/>
      <c r="AL22" s="129"/>
      <c r="AM22" s="135"/>
      <c r="AN22" s="135"/>
      <c r="AO22" s="135">
        <f>'комплекты фурнитуры'!$C$62</f>
        <v>1300</v>
      </c>
      <c r="AP22" s="135">
        <f>'комплекты фурнитуры'!$C$64</f>
        <v>480</v>
      </c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6">
        <f>Прайс[[#This Row],[КФ петли вклад. 95 гр. с крестообр. планкой]]*2</f>
        <v>2600</v>
      </c>
      <c r="BQ22" s="131">
        <f>Прайс[[#This Row],[KFP-SB-PY94]]*2</f>
        <v>960</v>
      </c>
      <c r="BR22" s="131">
        <f>Прайс[[#This Row],[KFP-SB-PY94]]*2</f>
        <v>960</v>
      </c>
      <c r="BS22" s="128">
        <v>315</v>
      </c>
      <c r="BT22" s="128">
        <v>720</v>
      </c>
      <c r="BU22" s="128" t="str">
        <f>IF(OR(Прайс[[#This Row],[Тип]]="Нижний",Прайс[[#This Row],[Тип]]="Пенал"),"560",IF(Прайс[[#This Row],[Тип]]="Верхний",315,0))</f>
        <v>560</v>
      </c>
      <c r="BV22" s="137">
        <v>1.08</v>
      </c>
      <c r="BW22" s="137">
        <v>1.0649999999999999</v>
      </c>
      <c r="BX22" s="131">
        <v>1.3</v>
      </c>
      <c r="BY22" s="128">
        <v>1</v>
      </c>
      <c r="BZ22" s="128">
        <v>1</v>
      </c>
      <c r="CA22" s="128" t="s">
        <v>71</v>
      </c>
      <c r="CB22" s="131" t="s">
        <v>487</v>
      </c>
      <c r="CC22" s="128">
        <v>1</v>
      </c>
      <c r="CD22" s="128" t="s">
        <v>10</v>
      </c>
      <c r="CE22" s="128">
        <v>2260</v>
      </c>
      <c r="CF22" s="128"/>
      <c r="CG22" s="128"/>
      <c r="CH22" s="128">
        <v>1</v>
      </c>
    </row>
    <row r="23" spans="1:86" s="130" customFormat="1" ht="15" customHeight="1" x14ac:dyDescent="0.25">
      <c r="A23" s="144" t="s">
        <v>21</v>
      </c>
      <c r="B23" s="129" t="s">
        <v>6</v>
      </c>
      <c r="C23" s="129" t="s">
        <v>789</v>
      </c>
      <c r="D23" s="129" t="s">
        <v>73</v>
      </c>
      <c r="E23" s="129" t="s">
        <v>71</v>
      </c>
      <c r="F23" s="129" t="s">
        <v>87</v>
      </c>
      <c r="G23" s="133">
        <v>720</v>
      </c>
      <c r="H23" s="133">
        <v>720</v>
      </c>
      <c r="I23" s="133">
        <v>150</v>
      </c>
      <c r="J23" s="133">
        <v>600</v>
      </c>
      <c r="K23" s="133">
        <v>300</v>
      </c>
      <c r="L23" s="133">
        <v>640</v>
      </c>
      <c r="M23" s="129"/>
      <c r="N23" s="140"/>
      <c r="O23" s="139">
        <v>2574.8000000000002</v>
      </c>
      <c r="P23" s="139"/>
      <c r="Q23" s="139"/>
      <c r="R23" s="129">
        <f>'комплекты фурнитуры'!$C$9</f>
        <v>540</v>
      </c>
      <c r="S23" s="129"/>
      <c r="T23" s="129"/>
      <c r="U23" s="129"/>
      <c r="V23" s="129"/>
      <c r="W23" s="129"/>
      <c r="X23" s="129"/>
      <c r="Y23" s="129"/>
      <c r="Z23" s="129"/>
      <c r="AA23" s="129"/>
      <c r="AB23" s="129"/>
      <c r="AC23" s="129"/>
      <c r="AD23" s="129"/>
      <c r="AE23" s="129">
        <f>'комплекты фурнитуры'!$C$26*2</f>
        <v>540</v>
      </c>
      <c r="AF23" s="129"/>
      <c r="AG23" s="129"/>
      <c r="AH23" s="135">
        <f>SUM(Прайс[[#This Row],[КФ НСТ11]:[KFPr-SB-ZPG]])</f>
        <v>1080</v>
      </c>
      <c r="AI23" s="135"/>
      <c r="AJ23" s="129"/>
      <c r="AK23" s="129"/>
      <c r="AL23" s="129"/>
      <c r="AM23" s="135">
        <f>'комплекты фурнитуры'!$C$68</f>
        <v>620</v>
      </c>
      <c r="AN23" s="135">
        <f>'комплекты фурнитуры'!$C$69</f>
        <v>130</v>
      </c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>
        <f>'комплекты фурнитуры'!$C$86</f>
        <v>390</v>
      </c>
      <c r="BO23" s="135"/>
      <c r="BP23" s="136">
        <f>Прайс[[#This Row],[КФ петли SENS накл.110 гр. с крестообр. Планкой]]*2+Прайс[[#This Row],[КФ  крепления профиля Gola]]</f>
        <v>1630</v>
      </c>
      <c r="BQ23" s="131">
        <f>Прайс[[#This Row],[КФ  крепления профиля Gola]]+Прайс[[#This Row],[KFP-SB-N110]]*2</f>
        <v>650</v>
      </c>
      <c r="BR23" s="131">
        <f>Прайс[[#This Row],[КФ  крепления профиля Gola]]+Прайс[[#This Row],[KFP-SB-N110]]*2</f>
        <v>650</v>
      </c>
      <c r="BS23" s="145">
        <v>300</v>
      </c>
      <c r="BT23" s="128">
        <v>720</v>
      </c>
      <c r="BU23" s="128" t="str">
        <f>IF(OR(Прайс[[#This Row],[Тип]]="Нижний",Прайс[[#This Row],[Тип]]="Пенал"),"560",IF(Прайс[[#This Row],[Тип]]="Верхний",315,0))</f>
        <v>560</v>
      </c>
      <c r="BV23" s="137">
        <v>1.08</v>
      </c>
      <c r="BW23" s="137">
        <v>1.0649999999999999</v>
      </c>
      <c r="BX23" s="131">
        <v>1.3</v>
      </c>
      <c r="BY23" s="128">
        <v>0</v>
      </c>
      <c r="BZ23" s="128">
        <v>2</v>
      </c>
      <c r="CA23" s="128" t="s">
        <v>10</v>
      </c>
      <c r="CB23" s="131" t="s">
        <v>488</v>
      </c>
      <c r="CC23" s="128">
        <v>1</v>
      </c>
      <c r="CD23" s="128" t="s">
        <v>10</v>
      </c>
      <c r="CE23" s="128">
        <v>2877.2</v>
      </c>
      <c r="CF23" s="128"/>
      <c r="CG23" s="128"/>
      <c r="CH23" s="128">
        <v>1</v>
      </c>
    </row>
    <row r="24" spans="1:86" s="130" customFormat="1" ht="15" customHeight="1" x14ac:dyDescent="0.25">
      <c r="A24" s="144" t="s">
        <v>22</v>
      </c>
      <c r="B24" s="129" t="s">
        <v>6</v>
      </c>
      <c r="C24" s="129" t="s">
        <v>790</v>
      </c>
      <c r="D24" s="129" t="s">
        <v>73</v>
      </c>
      <c r="E24" s="129" t="s">
        <v>71</v>
      </c>
      <c r="F24" s="129" t="s">
        <v>87</v>
      </c>
      <c r="G24" s="133">
        <v>720</v>
      </c>
      <c r="H24" s="133">
        <v>720</v>
      </c>
      <c r="I24" s="133">
        <v>600</v>
      </c>
      <c r="J24" s="133">
        <v>900</v>
      </c>
      <c r="K24" s="133">
        <v>300</v>
      </c>
      <c r="L24" s="133">
        <v>640</v>
      </c>
      <c r="M24" s="129"/>
      <c r="N24" s="140"/>
      <c r="O24" s="139">
        <v>2224.8000000000002</v>
      </c>
      <c r="P24" s="139"/>
      <c r="Q24" s="139"/>
      <c r="R24" s="129">
        <f>'комплекты фурнитуры'!$C$9</f>
        <v>540</v>
      </c>
      <c r="S24" s="129"/>
      <c r="T24" s="129"/>
      <c r="U24" s="129"/>
      <c r="V24" s="129"/>
      <c r="W24" s="129"/>
      <c r="X24" s="129"/>
      <c r="Y24" s="129"/>
      <c r="Z24" s="129"/>
      <c r="AA24" s="129"/>
      <c r="AB24" s="129"/>
      <c r="AC24" s="129"/>
      <c r="AD24" s="129"/>
      <c r="AE24" s="129">
        <f>'комплекты фурнитуры'!$C$26*2</f>
        <v>540</v>
      </c>
      <c r="AF24" s="129"/>
      <c r="AG24" s="129"/>
      <c r="AH24" s="135">
        <f>SUM(Прайс[[#This Row],[КФ НСТ11]:[KFPr-SB-ZPG]])</f>
        <v>1080</v>
      </c>
      <c r="AI24" s="135"/>
      <c r="AJ24" s="129"/>
      <c r="AK24" s="129"/>
      <c r="AL24" s="129"/>
      <c r="AM24" s="135">
        <f>'комплекты фурнитуры'!$C$68</f>
        <v>620</v>
      </c>
      <c r="AN24" s="135">
        <f>'комплекты фурнитуры'!$C$69</f>
        <v>130</v>
      </c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>
        <f>'комплекты фурнитуры'!$C$86</f>
        <v>390</v>
      </c>
      <c r="BO24" s="135"/>
      <c r="BP24" s="136">
        <f>Прайс[[#This Row],[КФ петли SENS накл.110 гр. с крестообр. Планкой]]*4+Прайс[[#This Row],[КФ  крепления профиля Gola]]</f>
        <v>2870</v>
      </c>
      <c r="BQ24" s="131">
        <f>Прайс[[#This Row],[КФ  крепления профиля Gola]]+Прайс[[#This Row],[KFP-SB-N110]]*2</f>
        <v>650</v>
      </c>
      <c r="BR24" s="131">
        <f>Прайс[[#This Row],[КФ  крепления профиля Gola]]+Прайс[[#This Row],[KFP-SB-N110]]*2</f>
        <v>650</v>
      </c>
      <c r="BS24" s="145">
        <v>300</v>
      </c>
      <c r="BT24" s="128">
        <v>720</v>
      </c>
      <c r="BU24" s="128" t="str">
        <f>IF(OR(Прайс[[#This Row],[Тип]]="Нижний",Прайс[[#This Row],[Тип]]="Пенал"),"560",IF(Прайс[[#This Row],[Тип]]="Верхний",315,0))</f>
        <v>560</v>
      </c>
      <c r="BV24" s="137">
        <v>1.08</v>
      </c>
      <c r="BW24" s="137">
        <v>1.0649999999999999</v>
      </c>
      <c r="BX24" s="131">
        <v>1.3</v>
      </c>
      <c r="BY24" s="128">
        <v>0</v>
      </c>
      <c r="BZ24" s="128">
        <v>2</v>
      </c>
      <c r="CA24" s="128" t="s">
        <v>10</v>
      </c>
      <c r="CB24" s="131" t="s">
        <v>488</v>
      </c>
      <c r="CC24" s="128">
        <v>1</v>
      </c>
      <c r="CD24" s="128" t="s">
        <v>10</v>
      </c>
      <c r="CE24" s="128">
        <v>2527.1999999999998</v>
      </c>
      <c r="CF24" s="128"/>
      <c r="CG24" s="128"/>
      <c r="CH24" s="128">
        <v>2</v>
      </c>
    </row>
    <row r="25" spans="1:86" s="130" customFormat="1" ht="15" customHeight="1" x14ac:dyDescent="0.25">
      <c r="A25" s="144" t="s">
        <v>23</v>
      </c>
      <c r="B25" s="129" t="s">
        <v>6</v>
      </c>
      <c r="C25" s="129" t="s">
        <v>791</v>
      </c>
      <c r="D25" s="129" t="s">
        <v>73</v>
      </c>
      <c r="E25" s="129" t="s">
        <v>71</v>
      </c>
      <c r="F25" s="129" t="s">
        <v>95</v>
      </c>
      <c r="G25" s="133">
        <v>720</v>
      </c>
      <c r="H25" s="133">
        <v>720</v>
      </c>
      <c r="I25" s="133">
        <v>300</v>
      </c>
      <c r="J25" s="133">
        <v>900</v>
      </c>
      <c r="K25" s="133">
        <v>525</v>
      </c>
      <c r="L25" s="133">
        <v>560</v>
      </c>
      <c r="M25" s="129"/>
      <c r="N25" s="140" t="s">
        <v>57</v>
      </c>
      <c r="O25" s="139">
        <v>3636.4</v>
      </c>
      <c r="P25" s="139"/>
      <c r="Q25" s="139"/>
      <c r="R25" s="129">
        <f>'комплекты фурнитуры'!$C$9</f>
        <v>540</v>
      </c>
      <c r="S25" s="129"/>
      <c r="T25" s="129"/>
      <c r="U25" s="129"/>
      <c r="V25" s="129"/>
      <c r="W25" s="129"/>
      <c r="X25" s="129"/>
      <c r="Y25" s="129"/>
      <c r="Z25" s="129"/>
      <c r="AA25" s="129"/>
      <c r="AB25" s="129"/>
      <c r="AC25" s="129"/>
      <c r="AD25" s="129"/>
      <c r="AE25" s="129">
        <f>'комплекты фурнитуры'!$C$26*2</f>
        <v>540</v>
      </c>
      <c r="AF25" s="129"/>
      <c r="AG25" s="129"/>
      <c r="AH25" s="135">
        <f>SUM(Прайс[[#This Row],[КФ НСТ11]:[KFPr-SB-ZPG]])</f>
        <v>1080</v>
      </c>
      <c r="AI25" s="135"/>
      <c r="AJ25" s="129"/>
      <c r="AK25" s="129"/>
      <c r="AL25" s="129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>
        <f>'комплекты фурнитуры'!$C$29</f>
        <v>6660</v>
      </c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>
        <f>'комплекты фурнитуры'!$C$86</f>
        <v>390</v>
      </c>
      <c r="BO25" s="135"/>
      <c r="BP25" s="136">
        <f>Прайс[[#This Row],[Комплект для ящика Hettich ATIRA Серый с реллингом, NL-470, H-176]]*2+Прайс[[#This Row],[КФ  крепления профиля Gola]]*2</f>
        <v>14100</v>
      </c>
      <c r="BQ25" s="136">
        <f>Прайс[[#This Row],[Комплект для ящика Hettich ATIRA Серый с реллингом, NL-470, H-176]]*2+Прайс[[#This Row],[КФ  крепления профиля Gola]]*2</f>
        <v>14100</v>
      </c>
      <c r="BR25" s="136">
        <f>Прайс[[#This Row],[Комплект для ящика Hettich ATIRA Серый с реллингом, NL-470, H-176]]*2+Прайс[[#This Row],[КФ  крепления профиля Gola]]*2</f>
        <v>14100</v>
      </c>
      <c r="BS25" s="145">
        <v>300</v>
      </c>
      <c r="BT25" s="128">
        <v>720</v>
      </c>
      <c r="BU25" s="128" t="str">
        <f>IF(OR(Прайс[[#This Row],[Тип]]="Нижний",Прайс[[#This Row],[Тип]]="Пенал"),"560",IF(Прайс[[#This Row],[Тип]]="Верхний",315,0))</f>
        <v>560</v>
      </c>
      <c r="BV25" s="137">
        <v>1.08</v>
      </c>
      <c r="BW25" s="137">
        <v>1.0649999999999999</v>
      </c>
      <c r="BX25" s="131">
        <v>0</v>
      </c>
      <c r="BY25" s="128">
        <v>0</v>
      </c>
      <c r="BZ25" s="128">
        <v>0</v>
      </c>
      <c r="CA25" s="128" t="s">
        <v>10</v>
      </c>
      <c r="CB25" s="131" t="s">
        <v>488</v>
      </c>
      <c r="CC25" s="128">
        <v>0</v>
      </c>
      <c r="CD25" s="128" t="s">
        <v>10</v>
      </c>
      <c r="CE25" s="128">
        <v>3992.8</v>
      </c>
      <c r="CF25" s="128"/>
      <c r="CG25" s="128"/>
      <c r="CH25" s="128">
        <v>2</v>
      </c>
    </row>
    <row r="26" spans="1:86" s="130" customFormat="1" ht="15" customHeight="1" x14ac:dyDescent="0.25">
      <c r="A26" s="144" t="s">
        <v>24</v>
      </c>
      <c r="B26" s="129" t="s">
        <v>6</v>
      </c>
      <c r="C26" s="129" t="s">
        <v>792</v>
      </c>
      <c r="D26" s="129" t="s">
        <v>73</v>
      </c>
      <c r="E26" s="129" t="s">
        <v>71</v>
      </c>
      <c r="F26" s="129" t="s">
        <v>95</v>
      </c>
      <c r="G26" s="133">
        <v>720</v>
      </c>
      <c r="H26" s="133">
        <v>720</v>
      </c>
      <c r="I26" s="133">
        <v>300</v>
      </c>
      <c r="J26" s="133">
        <v>900</v>
      </c>
      <c r="K26" s="133">
        <v>525</v>
      </c>
      <c r="L26" s="133">
        <v>560</v>
      </c>
      <c r="M26" s="129"/>
      <c r="N26" s="140" t="s">
        <v>58</v>
      </c>
      <c r="O26" s="139">
        <v>2916</v>
      </c>
      <c r="P26" s="139"/>
      <c r="Q26" s="139"/>
      <c r="R26" s="129">
        <f>'комплекты фурнитуры'!$C$9</f>
        <v>540</v>
      </c>
      <c r="S26" s="129"/>
      <c r="T26" s="129"/>
      <c r="U26" s="129"/>
      <c r="V26" s="129"/>
      <c r="W26" s="129"/>
      <c r="X26" s="129"/>
      <c r="Y26" s="129"/>
      <c r="Z26" s="129"/>
      <c r="AA26" s="129"/>
      <c r="AB26" s="129"/>
      <c r="AC26" s="129"/>
      <c r="AD26" s="129"/>
      <c r="AE26" s="129">
        <f>'комплекты фурнитуры'!$C$26*2</f>
        <v>540</v>
      </c>
      <c r="AF26" s="129"/>
      <c r="AG26" s="129"/>
      <c r="AH26" s="135">
        <f>SUM(Прайс[[#This Row],[КФ НСТ11]:[KFPr-SB-ZPG]])</f>
        <v>1080</v>
      </c>
      <c r="AI26" s="135"/>
      <c r="AJ26" s="129"/>
      <c r="AK26" s="129"/>
      <c r="AL26" s="129"/>
      <c r="AM26" s="135"/>
      <c r="AN26" s="135"/>
      <c r="AO26" s="135"/>
      <c r="AP26" s="135"/>
      <c r="AQ26" s="135"/>
      <c r="AR26" s="135"/>
      <c r="AS26" s="135"/>
      <c r="AT26" s="135"/>
      <c r="AU26" s="135"/>
      <c r="AV26" s="135"/>
      <c r="AW26" s="135"/>
      <c r="AX26" s="135"/>
      <c r="AY26" s="135"/>
      <c r="AZ26" s="135"/>
      <c r="BA26" s="135"/>
      <c r="BB26" s="135">
        <f>'комплекты фурнитуры'!$C$28</f>
        <v>5100</v>
      </c>
      <c r="BC26" s="135">
        <f>'комплекты фурнитуры'!$C$29</f>
        <v>6660</v>
      </c>
      <c r="BD26" s="135"/>
      <c r="BE26" s="135"/>
      <c r="BF26" s="135"/>
      <c r="BG26" s="135"/>
      <c r="BH26" s="135"/>
      <c r="BI26" s="135"/>
      <c r="BJ26" s="135"/>
      <c r="BK26" s="135"/>
      <c r="BL26" s="135"/>
      <c r="BM26" s="135"/>
      <c r="BN26" s="135">
        <f>'комплекты фурнитуры'!$C$86</f>
        <v>390</v>
      </c>
      <c r="BO26" s="135"/>
      <c r="BP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Q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R26" s="136">
        <f>Прайс[[#This Row],[Комплект для ящика Hettich ATIRA Серый, NL-470, H-70]]*2+Прайс[[#This Row],[Комплект для ящика Hettich ATIRA Серый с реллингом, NL-470, H-176]]+Прайс[[#This Row],[КФ  крепления профиля Gola]]*2</f>
        <v>17640</v>
      </c>
      <c r="BS26" s="145">
        <v>300</v>
      </c>
      <c r="BT26" s="128">
        <v>720</v>
      </c>
      <c r="BU26" s="128" t="str">
        <f>IF(OR(Прайс[[#This Row],[Тип]]="Нижний",Прайс[[#This Row],[Тип]]="Пенал"),"560",IF(Прайс[[#This Row],[Тип]]="Верхний",315,0))</f>
        <v>560</v>
      </c>
      <c r="BV26" s="137">
        <v>1.08</v>
      </c>
      <c r="BW26" s="137">
        <v>1.0649999999999999</v>
      </c>
      <c r="BX26" s="131">
        <v>0</v>
      </c>
      <c r="BY26" s="128">
        <v>0</v>
      </c>
      <c r="BZ26" s="128">
        <v>0</v>
      </c>
      <c r="CA26" s="128" t="s">
        <v>10</v>
      </c>
      <c r="CB26" s="131" t="s">
        <v>488</v>
      </c>
      <c r="CC26" s="128">
        <v>0</v>
      </c>
      <c r="CD26" s="128" t="s">
        <v>10</v>
      </c>
      <c r="CE26" s="128">
        <v>3304.8</v>
      </c>
      <c r="CF26" s="128"/>
      <c r="CG26" s="128"/>
      <c r="CH26" s="128">
        <v>3</v>
      </c>
    </row>
    <row r="27" spans="1:86" s="130" customFormat="1" ht="15" customHeight="1" x14ac:dyDescent="0.25">
      <c r="A27" s="144" t="s">
        <v>405</v>
      </c>
      <c r="B27" s="129" t="s">
        <v>6</v>
      </c>
      <c r="C27" s="129" t="s">
        <v>793</v>
      </c>
      <c r="D27" s="129" t="s">
        <v>73</v>
      </c>
      <c r="E27" s="129" t="s">
        <v>71</v>
      </c>
      <c r="F27" s="129" t="s">
        <v>88</v>
      </c>
      <c r="G27" s="133">
        <v>720</v>
      </c>
      <c r="H27" s="133">
        <v>720</v>
      </c>
      <c r="I27" s="133">
        <v>150</v>
      </c>
      <c r="J27" s="133">
        <v>150</v>
      </c>
      <c r="K27" s="133">
        <v>515</v>
      </c>
      <c r="L27" s="133">
        <v>640</v>
      </c>
      <c r="M27" s="129"/>
      <c r="N27" s="140" t="s">
        <v>53</v>
      </c>
      <c r="O27" s="139">
        <v>2224.8000000000002</v>
      </c>
      <c r="P27" s="139"/>
      <c r="Q27" s="139"/>
      <c r="R27" s="129">
        <f>'комплекты фурнитуры'!$C$9</f>
        <v>540</v>
      </c>
      <c r="S27" s="129"/>
      <c r="T27" s="129"/>
      <c r="U27" s="129"/>
      <c r="V27" s="129"/>
      <c r="W27" s="129"/>
      <c r="X27" s="129"/>
      <c r="Y27" s="129"/>
      <c r="Z27" s="129"/>
      <c r="AA27" s="129"/>
      <c r="AB27" s="129"/>
      <c r="AC27" s="129"/>
      <c r="AD27" s="129"/>
      <c r="AE27" s="129">
        <v>540</v>
      </c>
      <c r="AF27" s="129"/>
      <c r="AG27" s="129"/>
      <c r="AH27" s="135">
        <f>SUM(Прайс[[#This Row],[КФ НСТ11]:[KFPr-SB-ZPG]])</f>
        <v>1080</v>
      </c>
      <c r="AI27" s="135"/>
      <c r="AJ27" s="129"/>
      <c r="AK27" s="129"/>
      <c r="AL27" s="129"/>
      <c r="AM27" s="135"/>
      <c r="AN27" s="135"/>
      <c r="AO27" s="135"/>
      <c r="AP27" s="135"/>
      <c r="AQ27" s="135"/>
      <c r="AR27" s="135"/>
      <c r="AS27" s="135"/>
      <c r="AT27" s="135"/>
      <c r="AU27" s="135"/>
      <c r="AV27" s="135"/>
      <c r="AW27" s="135"/>
      <c r="AX27" s="135"/>
      <c r="AY27" s="135"/>
      <c r="AZ27" s="135"/>
      <c r="BA27" s="135"/>
      <c r="BB27" s="135"/>
      <c r="BC27" s="135"/>
      <c r="BD27" s="135"/>
      <c r="BE27" s="135"/>
      <c r="BF27" s="135"/>
      <c r="BG27" s="135"/>
      <c r="BH27" s="135"/>
      <c r="BI27" s="135"/>
      <c r="BJ27" s="135"/>
      <c r="BK27" s="135">
        <f>'комплекты фурнитуры'!$C$49</f>
        <v>11560</v>
      </c>
      <c r="BL27" s="135"/>
      <c r="BM27" s="135"/>
      <c r="BN27" s="135">
        <f>'комплекты фурнитуры'!$C$86</f>
        <v>390</v>
      </c>
      <c r="BO27" s="135"/>
      <c r="BP27" s="136">
        <f>Прайс[[#This Row],[KFS-SB-BYT]]+Прайс[[#This Row],[КФ евровинт]]*2+Прайс[[#This Row],[КФ  крепления профиля Gola]]</f>
        <v>11950</v>
      </c>
      <c r="BQ27" s="136">
        <f>Прайс[[#This Row],[KFS-SB-BYT]]+Прайс[[#This Row],[КФ евровинт]]*2+Прайс[[#This Row],[КФ  крепления профиля Gola]]</f>
        <v>11950</v>
      </c>
      <c r="BR27" s="136">
        <f>Прайс[[#This Row],[KFS-SB-BYT]]+Прайс[[#This Row],[КФ евровинт]]*2+Прайс[[#This Row],[КФ  крепления профиля Gola]]</f>
        <v>11950</v>
      </c>
      <c r="BS27" s="145">
        <v>300</v>
      </c>
      <c r="BT27" s="128">
        <v>720</v>
      </c>
      <c r="BU27" s="128" t="str">
        <f>IF(OR(Прайс[[#This Row],[Тип]]="Нижний",Прайс[[#This Row],[Тип]]="Пенал"),"560",IF(Прайс[[#This Row],[Тип]]="Верхний",315,0))</f>
        <v>560</v>
      </c>
      <c r="BV27" s="137">
        <v>1.08</v>
      </c>
      <c r="BW27" s="137">
        <v>1.0649999999999999</v>
      </c>
      <c r="BX27" s="131">
        <v>1.3</v>
      </c>
      <c r="BY27" s="128">
        <v>0</v>
      </c>
      <c r="BZ27" s="128">
        <v>0</v>
      </c>
      <c r="CA27" s="128" t="s">
        <v>10</v>
      </c>
      <c r="CB27" s="131" t="s">
        <v>488</v>
      </c>
      <c r="CC27" s="128">
        <v>0</v>
      </c>
      <c r="CD27" s="128" t="s">
        <v>10</v>
      </c>
      <c r="CE27" s="128">
        <v>2527.1999999999998</v>
      </c>
      <c r="CF27" s="128"/>
      <c r="CG27" s="128"/>
      <c r="CH27" s="128">
        <v>1</v>
      </c>
    </row>
    <row r="28" spans="1:86" s="130" customFormat="1" ht="15" customHeight="1" x14ac:dyDescent="0.25">
      <c r="A28" s="138" t="s">
        <v>406</v>
      </c>
      <c r="B28" s="129" t="s">
        <v>6</v>
      </c>
      <c r="C28" s="129" t="s">
        <v>794</v>
      </c>
      <c r="D28" s="129" t="s">
        <v>73</v>
      </c>
      <c r="E28" s="129" t="s">
        <v>71</v>
      </c>
      <c r="F28" s="129" t="s">
        <v>88</v>
      </c>
      <c r="G28" s="133">
        <v>720</v>
      </c>
      <c r="H28" s="133">
        <v>720</v>
      </c>
      <c r="I28" s="133">
        <v>450</v>
      </c>
      <c r="J28" s="133">
        <v>450</v>
      </c>
      <c r="K28" s="133">
        <v>515</v>
      </c>
      <c r="L28" s="133">
        <v>640</v>
      </c>
      <c r="M28" s="129"/>
      <c r="N28" s="140" t="s">
        <v>53</v>
      </c>
      <c r="O28" s="139">
        <v>2224.8000000000002</v>
      </c>
      <c r="P28" s="139"/>
      <c r="Q28" s="139"/>
      <c r="R28" s="129">
        <f>'комплекты фурнитуры'!$C$9</f>
        <v>540</v>
      </c>
      <c r="S28" s="129"/>
      <c r="T28" s="129"/>
      <c r="U28" s="129"/>
      <c r="V28" s="129"/>
      <c r="W28" s="129"/>
      <c r="X28" s="129"/>
      <c r="Y28" s="129"/>
      <c r="Z28" s="129"/>
      <c r="AA28" s="129"/>
      <c r="AB28" s="129"/>
      <c r="AC28" s="129"/>
      <c r="AD28" s="129"/>
      <c r="AE28" s="129">
        <f>'комплекты фурнитуры'!$C$26*2</f>
        <v>540</v>
      </c>
      <c r="AF28" s="129"/>
      <c r="AG28" s="129"/>
      <c r="AH28" s="135">
        <f>SUM(Прайс[[#This Row],[КФ НСТ11]:[KFPr-SB-ZPG]])</f>
        <v>1080</v>
      </c>
      <c r="AI28" s="135"/>
      <c r="AJ28" s="129"/>
      <c r="AK28" s="129"/>
      <c r="AL28" s="129"/>
      <c r="AM28" s="135"/>
      <c r="AN28" s="135"/>
      <c r="AO28" s="135"/>
      <c r="AP28" s="135"/>
      <c r="AQ28" s="135"/>
      <c r="AR28" s="135"/>
      <c r="AS28" s="135"/>
      <c r="AT28" s="135"/>
      <c r="AU28" s="135"/>
      <c r="AV28" s="135"/>
      <c r="AW28" s="135"/>
      <c r="AX28" s="135"/>
      <c r="AY28" s="135"/>
      <c r="AZ28" s="135"/>
      <c r="BA28" s="135"/>
      <c r="BB28" s="135"/>
      <c r="BC28" s="135"/>
      <c r="BD28" s="135"/>
      <c r="BE28" s="135"/>
      <c r="BF28" s="135"/>
      <c r="BG28" s="135"/>
      <c r="BH28" s="135"/>
      <c r="BI28" s="135"/>
      <c r="BJ28" s="135"/>
      <c r="BK28" s="135"/>
      <c r="BL28" s="135">
        <f>'комплекты фурнитуры'!$C$51</f>
        <v>10520</v>
      </c>
      <c r="BM28" s="135">
        <f>'комплекты фурнитуры'!$C$90</f>
        <v>10</v>
      </c>
      <c r="BN28" s="135">
        <f>'комплекты фурнитуры'!$C$86</f>
        <v>390</v>
      </c>
      <c r="BO28" s="135"/>
      <c r="BP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Q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R28" s="136">
        <f>Прайс[[#This Row],[Корзина с держателем для бутылок 414*500*520 мм]]+Прайс[[#This Row],[КФ евровинт]]*2+Прайс[[#This Row],[КФ  крепления профиля Gola]]</f>
        <v>10930</v>
      </c>
      <c r="BS28" s="145">
        <v>300</v>
      </c>
      <c r="BT28" s="128">
        <v>720</v>
      </c>
      <c r="BU28" s="128" t="str">
        <f>IF(OR(Прайс[[#This Row],[Тип]]="Нижний",Прайс[[#This Row],[Тип]]="Пенал"),"560",IF(Прайс[[#This Row],[Тип]]="Верхний",315,0))</f>
        <v>560</v>
      </c>
      <c r="BV28" s="137">
        <v>1.08</v>
      </c>
      <c r="BW28" s="137">
        <v>1.0649999999999999</v>
      </c>
      <c r="BX28" s="131">
        <v>1.3</v>
      </c>
      <c r="BY28" s="128">
        <v>0</v>
      </c>
      <c r="BZ28" s="128">
        <v>0</v>
      </c>
      <c r="CA28" s="128" t="s">
        <v>10</v>
      </c>
      <c r="CB28" s="131" t="s">
        <v>488</v>
      </c>
      <c r="CC28" s="128">
        <v>0</v>
      </c>
      <c r="CD28" s="128" t="s">
        <v>10</v>
      </c>
      <c r="CE28" s="128">
        <v>2527.1999999999998</v>
      </c>
      <c r="CF28" s="128"/>
      <c r="CG28" s="128"/>
      <c r="CH28" s="128">
        <v>1</v>
      </c>
    </row>
    <row r="29" spans="1:86" s="130" customFormat="1" ht="15" customHeight="1" x14ac:dyDescent="0.25">
      <c r="A29" s="146" t="s">
        <v>25</v>
      </c>
      <c r="B29" s="129" t="s">
        <v>6</v>
      </c>
      <c r="C29" s="129" t="s">
        <v>795</v>
      </c>
      <c r="D29" s="129" t="s">
        <v>73</v>
      </c>
      <c r="E29" s="129" t="s">
        <v>71</v>
      </c>
      <c r="F29" s="129" t="s">
        <v>89</v>
      </c>
      <c r="G29" s="133">
        <v>720</v>
      </c>
      <c r="H29" s="133">
        <v>720</v>
      </c>
      <c r="I29" s="133">
        <v>300</v>
      </c>
      <c r="J29" s="133">
        <v>600</v>
      </c>
      <c r="K29" s="133">
        <v>300</v>
      </c>
      <c r="L29" s="133">
        <v>640</v>
      </c>
      <c r="M29" s="129"/>
      <c r="N29" s="140"/>
      <c r="O29" s="139">
        <v>2224.8000000000002</v>
      </c>
      <c r="P29" s="139"/>
      <c r="Q29" s="139"/>
      <c r="R29" s="129">
        <f>'комплекты фурнитуры'!$C$9</f>
        <v>540</v>
      </c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>
        <f>'комплекты фурнитуры'!$C$26*2</f>
        <v>540</v>
      </c>
      <c r="AF29" s="129"/>
      <c r="AG29" s="129"/>
      <c r="AH29" s="135">
        <f>SUM(Прайс[[#This Row],[КФ НСТ11]:[KFPr-SB-ZPG]])</f>
        <v>1080</v>
      </c>
      <c r="AI29" s="135"/>
      <c r="AJ29" s="129"/>
      <c r="AK29" s="129"/>
      <c r="AL29" s="129"/>
      <c r="AM29" s="135">
        <f>'комплекты фурнитуры'!$C$68</f>
        <v>620</v>
      </c>
      <c r="AN29" s="135">
        <f>'комплекты фурнитуры'!$C$69</f>
        <v>130</v>
      </c>
      <c r="AO29" s="135"/>
      <c r="AP29" s="135"/>
      <c r="AQ29" s="135"/>
      <c r="AR29" s="135"/>
      <c r="AS29" s="135"/>
      <c r="AT29" s="135"/>
      <c r="AU29" s="135"/>
      <c r="AV29" s="135"/>
      <c r="AW29" s="135"/>
      <c r="AX29" s="135"/>
      <c r="AY29" s="135"/>
      <c r="AZ29" s="135"/>
      <c r="BA29" s="135"/>
      <c r="BB29" s="135"/>
      <c r="BC29" s="135"/>
      <c r="BD29" s="135"/>
      <c r="BE29" s="135"/>
      <c r="BF29" s="135"/>
      <c r="BG29" s="135"/>
      <c r="BH29" s="135"/>
      <c r="BI29" s="135"/>
      <c r="BJ29" s="135"/>
      <c r="BK29" s="135"/>
      <c r="BL29" s="135"/>
      <c r="BM29" s="135"/>
      <c r="BN29" s="135">
        <f>'комплекты фурнитуры'!$C$86</f>
        <v>390</v>
      </c>
      <c r="BO29" s="135"/>
      <c r="BP29" s="136">
        <f>Прайс[[#This Row],[КФ петли SENS накл.110 гр. с крестообр. Планкой]]*2+Прайс[[#This Row],[КФ  крепления профиля Gola]]</f>
        <v>1630</v>
      </c>
      <c r="BQ29" s="136">
        <f>Прайс[[#This Row],[КФ петли SENS накл.110 гр. с крестообр. Планкой]]*2+Прайс[[#This Row],[КФ  крепления профиля Gola]]</f>
        <v>1630</v>
      </c>
      <c r="BR29" s="136">
        <f>Прайс[[#This Row],[КФ петли SENS накл.110 гр. с крестообр. Планкой]]*2+Прайс[[#This Row],[КФ  крепления профиля Gola]]</f>
        <v>1630</v>
      </c>
      <c r="BS29" s="145">
        <v>300</v>
      </c>
      <c r="BT29" s="128">
        <v>720</v>
      </c>
      <c r="BU29" s="128" t="str">
        <f>IF(OR(Прайс[[#This Row],[Тип]]="Нижний",Прайс[[#This Row],[Тип]]="Пенал"),"560",IF(Прайс[[#This Row],[Тип]]="Верхний",315,0))</f>
        <v>560</v>
      </c>
      <c r="BV29" s="137">
        <v>1.08</v>
      </c>
      <c r="BW29" s="137">
        <v>1.0649999999999999</v>
      </c>
      <c r="BX29" s="131">
        <v>1.3</v>
      </c>
      <c r="BY29" s="128">
        <v>0</v>
      </c>
      <c r="BZ29" s="128">
        <v>0</v>
      </c>
      <c r="CA29" s="128" t="s">
        <v>10</v>
      </c>
      <c r="CB29" s="131" t="s">
        <v>488</v>
      </c>
      <c r="CC29" s="128">
        <v>0</v>
      </c>
      <c r="CD29" s="128" t="s">
        <v>10</v>
      </c>
      <c r="CE29" s="128">
        <v>2527.1999999999998</v>
      </c>
      <c r="CF29" s="128"/>
      <c r="CG29" s="128"/>
      <c r="CH29" s="128">
        <v>1</v>
      </c>
    </row>
    <row r="30" spans="1:86" s="130" customFormat="1" ht="15" customHeight="1" x14ac:dyDescent="0.25">
      <c r="A30" s="146" t="s">
        <v>26</v>
      </c>
      <c r="B30" s="129" t="s">
        <v>6</v>
      </c>
      <c r="C30" s="129" t="s">
        <v>796</v>
      </c>
      <c r="D30" s="129" t="s">
        <v>73</v>
      </c>
      <c r="E30" s="129" t="s">
        <v>71</v>
      </c>
      <c r="F30" s="129" t="s">
        <v>89</v>
      </c>
      <c r="G30" s="133">
        <v>720</v>
      </c>
      <c r="H30" s="133">
        <v>720</v>
      </c>
      <c r="I30" s="133">
        <v>600</v>
      </c>
      <c r="J30" s="133">
        <v>900</v>
      </c>
      <c r="K30" s="133">
        <v>300</v>
      </c>
      <c r="L30" s="133">
        <v>640</v>
      </c>
      <c r="M30" s="129"/>
      <c r="N30" s="140"/>
      <c r="O30" s="139">
        <v>2224.8000000000002</v>
      </c>
      <c r="P30" s="139"/>
      <c r="Q30" s="139"/>
      <c r="R30" s="129">
        <f>'комплекты фурнитуры'!$C$9</f>
        <v>540</v>
      </c>
      <c r="S30" s="129"/>
      <c r="T30" s="129"/>
      <c r="U30" s="129"/>
      <c r="V30" s="129"/>
      <c r="W30" s="129"/>
      <c r="X30" s="129"/>
      <c r="Y30" s="129"/>
      <c r="Z30" s="129"/>
      <c r="AA30" s="129"/>
      <c r="AB30" s="129"/>
      <c r="AC30" s="129"/>
      <c r="AD30" s="129"/>
      <c r="AE30" s="129">
        <f>'комплекты фурнитуры'!$C$26*2</f>
        <v>540</v>
      </c>
      <c r="AF30" s="129"/>
      <c r="AG30" s="129"/>
      <c r="AH30" s="135">
        <f>SUM(Прайс[[#This Row],[КФ НСТ11]:[KFPr-SB-ZPG]])</f>
        <v>1080</v>
      </c>
      <c r="AI30" s="135"/>
      <c r="AJ30" s="129"/>
      <c r="AK30" s="129"/>
      <c r="AL30" s="129"/>
      <c r="AM30" s="135">
        <f>'комплекты фурнитуры'!$C$68</f>
        <v>620</v>
      </c>
      <c r="AN30" s="135">
        <f>'комплекты фурнитуры'!$C$69</f>
        <v>130</v>
      </c>
      <c r="AO30" s="135"/>
      <c r="AP30" s="135"/>
      <c r="AQ30" s="135"/>
      <c r="AR30" s="135"/>
      <c r="AS30" s="135"/>
      <c r="AT30" s="135"/>
      <c r="AU30" s="135"/>
      <c r="AV30" s="135"/>
      <c r="AW30" s="135"/>
      <c r="AX30" s="135"/>
      <c r="AY30" s="135"/>
      <c r="AZ30" s="135"/>
      <c r="BA30" s="135"/>
      <c r="BB30" s="135"/>
      <c r="BC30" s="135"/>
      <c r="BD30" s="135"/>
      <c r="BE30" s="135"/>
      <c r="BF30" s="135"/>
      <c r="BG30" s="135"/>
      <c r="BH30" s="135"/>
      <c r="BI30" s="135"/>
      <c r="BJ30" s="135"/>
      <c r="BK30" s="135"/>
      <c r="BL30" s="135"/>
      <c r="BM30" s="135"/>
      <c r="BN30" s="135">
        <f>'комплекты фурнитуры'!$C$86</f>
        <v>390</v>
      </c>
      <c r="BO30" s="135"/>
      <c r="BP30" s="136">
        <f>Прайс[[#This Row],[КФ петли SENS накл.110 гр. с крестообр. Планкой]]*4+Прайс[[#This Row],[КФ  крепления профиля Gola]]</f>
        <v>2870</v>
      </c>
      <c r="BQ30" s="136">
        <f>Прайс[[#This Row],[КФ петли SENS накл.110 гр. с крестообр. Планкой]]*4+Прайс[[#This Row],[КФ  крепления профиля Gola]]</f>
        <v>2870</v>
      </c>
      <c r="BR30" s="136">
        <f>Прайс[[#This Row],[КФ петли SENS накл.110 гр. с крестообр. Планкой]]*4+Прайс[[#This Row],[КФ  крепления профиля Gola]]</f>
        <v>2870</v>
      </c>
      <c r="BS30" s="145">
        <v>300</v>
      </c>
      <c r="BT30" s="128">
        <v>720</v>
      </c>
      <c r="BU30" s="128" t="str">
        <f>IF(OR(Прайс[[#This Row],[Тип]]="Нижний",Прайс[[#This Row],[Тип]]="Пенал"),"560",IF(Прайс[[#This Row],[Тип]]="Верхний",315,0))</f>
        <v>560</v>
      </c>
      <c r="BV30" s="137">
        <v>1.08</v>
      </c>
      <c r="BW30" s="137">
        <v>1.0649999999999999</v>
      </c>
      <c r="BX30" s="131">
        <v>1.3</v>
      </c>
      <c r="BY30" s="128">
        <v>0</v>
      </c>
      <c r="BZ30" s="128">
        <v>0</v>
      </c>
      <c r="CA30" s="128" t="s">
        <v>10</v>
      </c>
      <c r="CB30" s="131" t="s">
        <v>488</v>
      </c>
      <c r="CC30" s="128">
        <v>0</v>
      </c>
      <c r="CD30" s="128" t="s">
        <v>10</v>
      </c>
      <c r="CE30" s="128">
        <v>2527.1999999999998</v>
      </c>
      <c r="CF30" s="128"/>
      <c r="CG30" s="128"/>
      <c r="CH30" s="128">
        <v>2</v>
      </c>
    </row>
    <row r="31" spans="1:86" s="130" customFormat="1" ht="15" customHeight="1" x14ac:dyDescent="0.25">
      <c r="A31" s="146" t="s">
        <v>134</v>
      </c>
      <c r="B31" s="129" t="s">
        <v>6</v>
      </c>
      <c r="C31" s="129" t="s">
        <v>797</v>
      </c>
      <c r="D31" s="129" t="s">
        <v>69</v>
      </c>
      <c r="E31" s="129" t="s">
        <v>71</v>
      </c>
      <c r="F31" s="129" t="s">
        <v>87</v>
      </c>
      <c r="G31" s="133">
        <v>720</v>
      </c>
      <c r="H31" s="133">
        <v>720</v>
      </c>
      <c r="I31" s="133">
        <v>710</v>
      </c>
      <c r="J31" s="133">
        <v>950</v>
      </c>
      <c r="K31" s="133">
        <v>360</v>
      </c>
      <c r="L31" s="133">
        <v>560</v>
      </c>
      <c r="M31" s="129"/>
      <c r="N31" s="140"/>
      <c r="O31" s="139">
        <v>3315.6</v>
      </c>
      <c r="P31" s="139"/>
      <c r="Q31" s="139"/>
      <c r="R31" s="129"/>
      <c r="S31" s="129"/>
      <c r="T31" s="129">
        <f>'комплекты фурнитуры'!$C$12</f>
        <v>810</v>
      </c>
      <c r="U31" s="129"/>
      <c r="V31" s="129"/>
      <c r="W31" s="129"/>
      <c r="X31" s="129"/>
      <c r="Y31" s="129"/>
      <c r="Z31" s="129"/>
      <c r="AA31" s="129"/>
      <c r="AB31" s="129"/>
      <c r="AC31" s="129"/>
      <c r="AD31" s="129"/>
      <c r="AE31" s="129">
        <f>'комплекты фурнитуры'!$C$26*2</f>
        <v>540</v>
      </c>
      <c r="AF31" s="129"/>
      <c r="AG31" s="129"/>
      <c r="AH31" s="135">
        <f>SUM(Прайс[[#This Row],[КФ НСТ11]:[KFPr-SB-ZPG]])</f>
        <v>1350</v>
      </c>
      <c r="AI31" s="135"/>
      <c r="AJ31" s="129">
        <f>'комплекты фурнитуры'!$C$84</f>
        <v>30</v>
      </c>
      <c r="AK31" s="129"/>
      <c r="AL31" s="129"/>
      <c r="AM31" s="135"/>
      <c r="AN31" s="135"/>
      <c r="AO31" s="135">
        <f>'комплекты фурнитуры'!$C$62</f>
        <v>1300</v>
      </c>
      <c r="AP31" s="135"/>
      <c r="AQ31" s="135"/>
      <c r="AR31" s="135"/>
      <c r="AS31" s="135"/>
      <c r="AT31" s="135"/>
      <c r="AU31" s="135"/>
      <c r="AV31" s="135"/>
      <c r="AW31" s="135"/>
      <c r="AX31" s="135"/>
      <c r="AY31" s="135"/>
      <c r="AZ31" s="135"/>
      <c r="BA31" s="135"/>
      <c r="BB31" s="135"/>
      <c r="BC31" s="135"/>
      <c r="BD31" s="135"/>
      <c r="BE31" s="135"/>
      <c r="BF31" s="135"/>
      <c r="BG31" s="135"/>
      <c r="BH31" s="135"/>
      <c r="BI31" s="135"/>
      <c r="BJ31" s="135"/>
      <c r="BK31" s="135"/>
      <c r="BL31" s="135"/>
      <c r="BM31" s="135"/>
      <c r="BN31" s="135">
        <f>'комплекты фурнитуры'!$C$86</f>
        <v>390</v>
      </c>
      <c r="BO31" s="135"/>
      <c r="BP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1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1" s="128">
        <v>300</v>
      </c>
      <c r="BT31" s="128">
        <v>720</v>
      </c>
      <c r="BU31" s="128">
        <v>315</v>
      </c>
      <c r="BV31" s="137">
        <v>1.08</v>
      </c>
      <c r="BW31" s="137">
        <v>1.0649999999999999</v>
      </c>
      <c r="BX31" s="131">
        <v>1.3</v>
      </c>
      <c r="BY31" s="128">
        <v>0</v>
      </c>
      <c r="BZ31" s="128">
        <v>2</v>
      </c>
      <c r="CA31" s="128" t="s">
        <v>10</v>
      </c>
      <c r="CB31" s="131" t="s">
        <v>488</v>
      </c>
      <c r="CC31" s="128">
        <v>1</v>
      </c>
      <c r="CD31" s="128" t="s">
        <v>10</v>
      </c>
      <c r="CE31" s="128">
        <v>3780</v>
      </c>
      <c r="CF31" s="128"/>
      <c r="CG31" s="128"/>
      <c r="CH31" s="128">
        <v>1</v>
      </c>
    </row>
    <row r="32" spans="1:86" s="130" customFormat="1" ht="15" customHeight="1" x14ac:dyDescent="0.25">
      <c r="A32" s="146" t="s">
        <v>133</v>
      </c>
      <c r="B32" s="129" t="s">
        <v>6</v>
      </c>
      <c r="C32" s="129" t="s">
        <v>798</v>
      </c>
      <c r="D32" s="129" t="s">
        <v>69</v>
      </c>
      <c r="E32" s="129" t="s">
        <v>71</v>
      </c>
      <c r="F32" s="129" t="s">
        <v>87</v>
      </c>
      <c r="G32" s="133">
        <v>720</v>
      </c>
      <c r="H32" s="133">
        <v>720</v>
      </c>
      <c r="I32" s="133">
        <v>810</v>
      </c>
      <c r="J32" s="133">
        <v>1050</v>
      </c>
      <c r="K32" s="133">
        <v>360</v>
      </c>
      <c r="L32" s="133">
        <v>560</v>
      </c>
      <c r="M32" s="129"/>
      <c r="N32" s="140"/>
      <c r="O32" s="139">
        <v>3315.6</v>
      </c>
      <c r="P32" s="139"/>
      <c r="Q32" s="139"/>
      <c r="R32" s="129"/>
      <c r="S32" s="129"/>
      <c r="T32" s="129">
        <f>'комплекты фурнитуры'!$C$12</f>
        <v>810</v>
      </c>
      <c r="U32" s="129"/>
      <c r="V32" s="129"/>
      <c r="W32" s="129"/>
      <c r="X32" s="129"/>
      <c r="Y32" s="129"/>
      <c r="Z32" s="129"/>
      <c r="AA32" s="129"/>
      <c r="AB32" s="129"/>
      <c r="AC32" s="129"/>
      <c r="AD32" s="129"/>
      <c r="AE32" s="129">
        <f>'комплекты фурнитуры'!$C$26*2</f>
        <v>540</v>
      </c>
      <c r="AF32" s="129"/>
      <c r="AG32" s="129"/>
      <c r="AH32" s="135">
        <f>SUM(Прайс[[#This Row],[КФ НСТ11]:[KFPr-SB-ZPG]])</f>
        <v>1350</v>
      </c>
      <c r="AI32" s="135"/>
      <c r="AJ32" s="129">
        <f>'комплекты фурнитуры'!$C$84</f>
        <v>30</v>
      </c>
      <c r="AK32" s="129"/>
      <c r="AL32" s="129"/>
      <c r="AM32" s="135"/>
      <c r="AN32" s="135"/>
      <c r="AO32" s="135">
        <f>'комплекты фурнитуры'!$C$62</f>
        <v>1300</v>
      </c>
      <c r="AP32" s="135"/>
      <c r="AQ32" s="135"/>
      <c r="AR32" s="135"/>
      <c r="AS32" s="135"/>
      <c r="AT32" s="135"/>
      <c r="AU32" s="135"/>
      <c r="AV32" s="135"/>
      <c r="AW32" s="135"/>
      <c r="AX32" s="135"/>
      <c r="AY32" s="135"/>
      <c r="AZ32" s="135"/>
      <c r="BA32" s="135"/>
      <c r="BB32" s="135"/>
      <c r="BC32" s="135"/>
      <c r="BD32" s="135"/>
      <c r="BE32" s="135"/>
      <c r="BF32" s="135"/>
      <c r="BG32" s="135"/>
      <c r="BH32" s="135"/>
      <c r="BI32" s="135"/>
      <c r="BJ32" s="135"/>
      <c r="BK32" s="135"/>
      <c r="BL32" s="135"/>
      <c r="BM32" s="135"/>
      <c r="BN32" s="135">
        <f>'комплекты фурнитуры'!$C$86</f>
        <v>390</v>
      </c>
      <c r="BO32" s="135"/>
      <c r="BP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Q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R32" s="136">
        <f>Прайс[[#This Row],[КФ  крепления профиля Gola]]+Прайс[[#This Row],[КФ петли вклад. 95 гр. с крестообр. планкой]]*2+Прайс[[#This Row],[KFPr-SB-SPL]]</f>
        <v>3020</v>
      </c>
      <c r="BS32" s="128">
        <v>300</v>
      </c>
      <c r="BT32" s="128">
        <v>720</v>
      </c>
      <c r="BU32" s="128">
        <v>315</v>
      </c>
      <c r="BV32" s="137">
        <v>1.08</v>
      </c>
      <c r="BW32" s="137">
        <v>1.0649999999999999</v>
      </c>
      <c r="BX32" s="131">
        <v>1.3</v>
      </c>
      <c r="BY32" s="128">
        <v>0</v>
      </c>
      <c r="BZ32" s="128">
        <v>2</v>
      </c>
      <c r="CA32" s="128" t="s">
        <v>10</v>
      </c>
      <c r="CB32" s="131" t="s">
        <v>488</v>
      </c>
      <c r="CC32" s="128">
        <v>0</v>
      </c>
      <c r="CD32" s="128" t="s">
        <v>10</v>
      </c>
      <c r="CE32" s="128">
        <v>3780</v>
      </c>
      <c r="CF32" s="128"/>
      <c r="CG32" s="128"/>
      <c r="CH32" s="128">
        <v>1</v>
      </c>
    </row>
    <row r="33" spans="1:90" s="130" customFormat="1" ht="15" customHeight="1" x14ac:dyDescent="0.25">
      <c r="A33" s="147" t="s">
        <v>27</v>
      </c>
      <c r="B33" s="129" t="s">
        <v>6</v>
      </c>
      <c r="C33" s="129" t="s">
        <v>882</v>
      </c>
      <c r="D33" s="129" t="s">
        <v>73</v>
      </c>
      <c r="E33" s="129" t="s">
        <v>10</v>
      </c>
      <c r="F33" s="129" t="s">
        <v>91</v>
      </c>
      <c r="G33" s="133">
        <v>240</v>
      </c>
      <c r="H33" s="133">
        <v>2400</v>
      </c>
      <c r="I33" s="133">
        <v>50</v>
      </c>
      <c r="J33" s="133">
        <v>100</v>
      </c>
      <c r="K33" s="133">
        <v>315</v>
      </c>
      <c r="L33" s="133">
        <v>700</v>
      </c>
      <c r="M33" s="129"/>
      <c r="N33" s="140"/>
      <c r="O33" s="139">
        <v>1640</v>
      </c>
      <c r="P33" s="139"/>
      <c r="Q33" s="139"/>
      <c r="R33" s="129"/>
      <c r="S33" s="129"/>
      <c r="T33" s="129"/>
      <c r="U33" s="129"/>
      <c r="V33" s="129"/>
      <c r="W33" s="129"/>
      <c r="X33" s="129"/>
      <c r="Y33" s="129"/>
      <c r="Z33" s="129"/>
      <c r="AA33" s="129"/>
      <c r="AB33" s="129"/>
      <c r="AC33" s="129"/>
      <c r="AD33" s="129">
        <f>'комплекты фурнитуры'!$C$24</f>
        <v>590</v>
      </c>
      <c r="AE33" s="129"/>
      <c r="AF33" s="129"/>
      <c r="AG33" s="129"/>
      <c r="AH33" s="135">
        <f>SUM(Прайс[[#This Row],[КФ НСТ11]:[KFPr-SB-ZPG]])</f>
        <v>590</v>
      </c>
      <c r="AI33" s="135"/>
      <c r="AJ33" s="129"/>
      <c r="AK33" s="129"/>
      <c r="AL33" s="129"/>
      <c r="AM33" s="135"/>
      <c r="AN33" s="135"/>
      <c r="AO33" s="135"/>
      <c r="AP33" s="135"/>
      <c r="AQ33" s="135"/>
      <c r="AR33" s="135"/>
      <c r="AS33" s="135"/>
      <c r="AT33" s="135"/>
      <c r="AU33" s="135"/>
      <c r="AV33" s="135"/>
      <c r="AW33" s="135"/>
      <c r="AX33" s="135"/>
      <c r="AY33" s="135"/>
      <c r="AZ33" s="135"/>
      <c r="BA33" s="135"/>
      <c r="BB33" s="135"/>
      <c r="BC33" s="135"/>
      <c r="BD33" s="135"/>
      <c r="BE33" s="135"/>
      <c r="BF33" s="135"/>
      <c r="BG33" s="135"/>
      <c r="BH33" s="135"/>
      <c r="BI33" s="135"/>
      <c r="BJ33" s="135"/>
      <c r="BK33" s="135"/>
      <c r="BL33" s="135"/>
      <c r="BM33" s="135"/>
      <c r="BN33" s="135"/>
      <c r="BO33" s="135"/>
      <c r="BP33" s="136">
        <v>0</v>
      </c>
      <c r="BQ33" s="131">
        <v>0</v>
      </c>
      <c r="BR33" s="131">
        <v>0</v>
      </c>
      <c r="BS33" s="128">
        <v>100</v>
      </c>
      <c r="BT33" s="128">
        <v>720</v>
      </c>
      <c r="BU33" s="128">
        <v>560</v>
      </c>
      <c r="BV33" s="137">
        <v>1.08</v>
      </c>
      <c r="BW33" s="137">
        <v>1.0649999999999999</v>
      </c>
      <c r="BX33" s="131">
        <v>1.3</v>
      </c>
      <c r="BY33" s="128">
        <v>0</v>
      </c>
      <c r="BZ33" s="128">
        <v>0</v>
      </c>
      <c r="CA33" s="128" t="s">
        <v>10</v>
      </c>
      <c r="CB33" s="131" t="s">
        <v>487</v>
      </c>
      <c r="CC33" s="128">
        <v>0</v>
      </c>
      <c r="CD33" s="128" t="s">
        <v>10</v>
      </c>
      <c r="CE33" s="128">
        <v>1870</v>
      </c>
      <c r="CF33" s="128"/>
      <c r="CG33" s="128"/>
      <c r="CH33" s="128">
        <v>1</v>
      </c>
    </row>
    <row r="34" spans="1:90" s="130" customFormat="1" ht="15" customHeight="1" x14ac:dyDescent="0.25">
      <c r="A34" s="147" t="s">
        <v>2</v>
      </c>
      <c r="B34" s="129" t="s">
        <v>7</v>
      </c>
      <c r="C34" s="129" t="s">
        <v>799</v>
      </c>
      <c r="D34" s="129" t="s">
        <v>8</v>
      </c>
      <c r="E34" s="129" t="s">
        <v>10</v>
      </c>
      <c r="F34" s="129" t="s">
        <v>87</v>
      </c>
      <c r="G34" s="133">
        <v>240</v>
      </c>
      <c r="H34" s="133">
        <v>1250</v>
      </c>
      <c r="I34" s="133">
        <v>150</v>
      </c>
      <c r="J34" s="133">
        <v>900</v>
      </c>
      <c r="K34" s="133">
        <v>250</v>
      </c>
      <c r="L34" s="133">
        <v>560</v>
      </c>
      <c r="M34" s="129"/>
      <c r="N34" s="140"/>
      <c r="O34" s="139">
        <v>1510</v>
      </c>
      <c r="P34" s="139"/>
      <c r="Q34" s="139"/>
      <c r="R34" s="129">
        <f>'комплекты фурнитуры'!$C$9</f>
        <v>540</v>
      </c>
      <c r="S34" s="129"/>
      <c r="T34" s="129"/>
      <c r="U34" s="129"/>
      <c r="V34" s="129"/>
      <c r="W34" s="129"/>
      <c r="X34" s="129"/>
      <c r="Y34" s="129"/>
      <c r="Z34" s="129"/>
      <c r="AA34" s="129"/>
      <c r="AB34" s="129"/>
      <c r="AC34" s="129"/>
      <c r="AD34" s="129"/>
      <c r="AE34" s="129"/>
      <c r="AF34" s="129">
        <f>'комплекты фурнитуры'!$C$78</f>
        <v>210</v>
      </c>
      <c r="AG34" s="129">
        <f>'комплекты фурнитуры'!$C$79</f>
        <v>20</v>
      </c>
      <c r="AH34" s="135">
        <f>SUM(Прайс[[#This Row],[КФ НСТ11]:[KFPr-SB-ZPG]])</f>
        <v>770</v>
      </c>
      <c r="AI34" s="135"/>
      <c r="AJ34" s="129"/>
      <c r="AK34" s="129"/>
      <c r="AL34" s="129"/>
      <c r="AM34" s="135"/>
      <c r="AN34" s="135"/>
      <c r="AO34" s="135"/>
      <c r="AP34" s="135"/>
      <c r="AQ34" s="135"/>
      <c r="AR34" s="135"/>
      <c r="AS34" s="135"/>
      <c r="AT34" s="135"/>
      <c r="AU34" s="135"/>
      <c r="AV34" s="135"/>
      <c r="AW34" s="135"/>
      <c r="AX34" s="135"/>
      <c r="AY34" s="135"/>
      <c r="AZ34" s="135"/>
      <c r="BA34" s="135"/>
      <c r="BB34" s="135"/>
      <c r="BC34" s="135"/>
      <c r="BD34" s="135"/>
      <c r="BE34" s="135"/>
      <c r="BF34" s="135"/>
      <c r="BG34" s="135"/>
      <c r="BH34" s="135"/>
      <c r="BI34" s="135"/>
      <c r="BJ34" s="135"/>
      <c r="BK34" s="135"/>
      <c r="BL34" s="135"/>
      <c r="BM34" s="135"/>
      <c r="BN34" s="135"/>
      <c r="BO34" s="135"/>
      <c r="BP34" s="136">
        <v>0</v>
      </c>
      <c r="BQ34" s="131">
        <v>0</v>
      </c>
      <c r="BR34" s="131">
        <v>0</v>
      </c>
      <c r="BS34" s="128">
        <v>300</v>
      </c>
      <c r="BT34" s="128">
        <v>720</v>
      </c>
      <c r="BU34" s="128">
        <f>IF(OR(Прайс[[#This Row],[Тип]]="Нижний",Прайс[[#This Row],[Тип]]="Пенал"),"560",IF(Прайс[[#This Row],[Тип]]="Верхний",315,0))</f>
        <v>315</v>
      </c>
      <c r="BV34" s="137">
        <v>1.08</v>
      </c>
      <c r="BW34" s="137">
        <v>1.0649999999999999</v>
      </c>
      <c r="BX34" s="131">
        <v>1.3</v>
      </c>
      <c r="BY34" s="128">
        <v>0</v>
      </c>
      <c r="BZ34" s="128">
        <v>3</v>
      </c>
      <c r="CA34" s="128" t="s">
        <v>10</v>
      </c>
      <c r="CB34" s="131" t="s">
        <v>487</v>
      </c>
      <c r="CC34" s="128">
        <v>1</v>
      </c>
      <c r="CD34" s="128" t="s">
        <v>71</v>
      </c>
      <c r="CE34" s="128">
        <v>1690</v>
      </c>
      <c r="CF34" s="128"/>
      <c r="CG34" s="128"/>
      <c r="CH34" s="128">
        <v>0</v>
      </c>
    </row>
    <row r="35" spans="1:90" s="130" customFormat="1" ht="15" customHeight="1" x14ac:dyDescent="0.25">
      <c r="A35" s="147" t="s">
        <v>77</v>
      </c>
      <c r="B35" s="129" t="s">
        <v>7</v>
      </c>
      <c r="C35" s="129" t="s">
        <v>800</v>
      </c>
      <c r="D35" s="129" t="s">
        <v>73</v>
      </c>
      <c r="E35" s="129" t="s">
        <v>10</v>
      </c>
      <c r="F35" s="129" t="s">
        <v>87</v>
      </c>
      <c r="G35" s="133">
        <v>360</v>
      </c>
      <c r="H35" s="133">
        <v>1250</v>
      </c>
      <c r="I35" s="133">
        <v>150</v>
      </c>
      <c r="J35" s="133">
        <v>600</v>
      </c>
      <c r="K35" s="133">
        <v>250</v>
      </c>
      <c r="L35" s="133">
        <v>560</v>
      </c>
      <c r="M35" s="129"/>
      <c r="N35" s="140"/>
      <c r="O35" s="139">
        <v>1510</v>
      </c>
      <c r="P35" s="139"/>
      <c r="Q35" s="139">
        <v>540</v>
      </c>
      <c r="R35" s="129"/>
      <c r="S35" s="129"/>
      <c r="T35" s="129"/>
      <c r="U35" s="129"/>
      <c r="V35" s="129"/>
      <c r="W35" s="129"/>
      <c r="X35" s="129"/>
      <c r="Y35" s="129"/>
      <c r="Z35" s="129"/>
      <c r="AA35" s="129"/>
      <c r="AB35" s="129"/>
      <c r="AC35" s="129"/>
      <c r="AD35" s="129"/>
      <c r="AE35" s="129"/>
      <c r="AF35" s="129">
        <f>'комплекты фурнитуры'!$C$78</f>
        <v>210</v>
      </c>
      <c r="AG35" s="129">
        <f>'комплекты фурнитуры'!$C$79</f>
        <v>20</v>
      </c>
      <c r="AH35" s="135">
        <f>SUM(Прайс[[#This Row],[КФ НСТ11]:[KFPr-SB-ZPG]])</f>
        <v>770</v>
      </c>
      <c r="AI35" s="135"/>
      <c r="AJ35" s="129"/>
      <c r="AK35" s="129"/>
      <c r="AL35" s="129"/>
      <c r="AM35" s="135">
        <f>'комплекты фурнитуры'!$C$68</f>
        <v>620</v>
      </c>
      <c r="AN35" s="135">
        <f>'комплекты фурнитуры'!$C$69</f>
        <v>130</v>
      </c>
      <c r="AO35" s="135"/>
      <c r="AP35" s="135"/>
      <c r="AQ35" s="135"/>
      <c r="AR35" s="135"/>
      <c r="AS35" s="135"/>
      <c r="AT35" s="135"/>
      <c r="AU35" s="135"/>
      <c r="AV35" s="135"/>
      <c r="AW35" s="135"/>
      <c r="AX35" s="135"/>
      <c r="AY35" s="135"/>
      <c r="AZ35" s="135"/>
      <c r="BA35" s="135"/>
      <c r="BB35" s="135"/>
      <c r="BC35" s="135"/>
      <c r="BD35" s="135"/>
      <c r="BE35" s="135"/>
      <c r="BF35" s="135"/>
      <c r="BG35" s="135"/>
      <c r="BH35" s="135"/>
      <c r="BI35" s="135"/>
      <c r="BJ35" s="135"/>
      <c r="BK35" s="135"/>
      <c r="BL35" s="135"/>
      <c r="BM35" s="135"/>
      <c r="BN35" s="135"/>
      <c r="BO35" s="135"/>
      <c r="BP35" s="136">
        <f>Прайс[[#This Row],[КФ петли SENS накл.110 гр. с крестообр. Планкой]]*2</f>
        <v>1240</v>
      </c>
      <c r="BQ35" s="131">
        <f>Прайс[[#This Row],[KFP-SB-N110]]*2</f>
        <v>260</v>
      </c>
      <c r="BR35" s="131">
        <f>Прайс[[#This Row],[KFP-SB-N110]]*2</f>
        <v>260</v>
      </c>
      <c r="BS35" s="128">
        <v>300</v>
      </c>
      <c r="BT35" s="128">
        <v>720</v>
      </c>
      <c r="BU35" s="128">
        <f>IF(OR(Прайс[[#This Row],[Тип]]="Нижний",Прайс[[#This Row],[Тип]]="Пенал"),"560",IF(Прайс[[#This Row],[Тип]]="Верхний",315,0))</f>
        <v>315</v>
      </c>
      <c r="BV35" s="137">
        <v>1.08</v>
      </c>
      <c r="BW35" s="137">
        <v>1.0649999999999999</v>
      </c>
      <c r="BX35" s="131">
        <v>1.3</v>
      </c>
      <c r="BY35" s="128">
        <v>0</v>
      </c>
      <c r="BZ35" s="128">
        <v>3</v>
      </c>
      <c r="CA35" s="128" t="s">
        <v>71</v>
      </c>
      <c r="CB35" s="131" t="s">
        <v>487</v>
      </c>
      <c r="CC35" s="128">
        <v>1</v>
      </c>
      <c r="CD35" s="128" t="s">
        <v>71</v>
      </c>
      <c r="CE35" s="128">
        <v>1690</v>
      </c>
      <c r="CF35" s="128"/>
      <c r="CG35" s="128"/>
      <c r="CH35" s="128">
        <v>1</v>
      </c>
    </row>
    <row r="36" spans="1:90" s="130" customFormat="1" ht="15" customHeight="1" x14ac:dyDescent="0.25">
      <c r="A36" s="147" t="s">
        <v>78</v>
      </c>
      <c r="B36" s="129" t="s">
        <v>7</v>
      </c>
      <c r="C36" s="129" t="s">
        <v>801</v>
      </c>
      <c r="D36" s="129" t="s">
        <v>73</v>
      </c>
      <c r="E36" s="129" t="s">
        <v>10</v>
      </c>
      <c r="F36" s="129" t="s">
        <v>99</v>
      </c>
      <c r="G36" s="133">
        <v>800</v>
      </c>
      <c r="H36" s="133">
        <v>960</v>
      </c>
      <c r="I36" s="133">
        <v>450</v>
      </c>
      <c r="J36" s="133">
        <v>600</v>
      </c>
      <c r="K36" s="133">
        <v>350</v>
      </c>
      <c r="L36" s="133">
        <v>500</v>
      </c>
      <c r="M36" s="129"/>
      <c r="N36" s="140"/>
      <c r="O36" s="139">
        <v>1510</v>
      </c>
      <c r="P36" s="139">
        <v>740</v>
      </c>
      <c r="Q36" s="139"/>
      <c r="R36" s="129"/>
      <c r="S36" s="129"/>
      <c r="T36" s="129"/>
      <c r="U36" s="129"/>
      <c r="V36" s="129"/>
      <c r="W36" s="129"/>
      <c r="X36" s="129"/>
      <c r="Y36" s="129"/>
      <c r="Z36" s="129"/>
      <c r="AA36" s="129"/>
      <c r="AB36" s="129"/>
      <c r="AC36" s="129"/>
      <c r="AD36" s="129"/>
      <c r="AE36" s="129"/>
      <c r="AF36" s="129">
        <f>'комплекты фурнитуры'!$C$78</f>
        <v>210</v>
      </c>
      <c r="AG36" s="129">
        <f>'комплекты фурнитуры'!$C$79</f>
        <v>20</v>
      </c>
      <c r="AH36" s="135">
        <f>SUM(Прайс[[#This Row],[КФ НСТ11]:[KFPr-SB-ZPG]])</f>
        <v>970</v>
      </c>
      <c r="AI36" s="135"/>
      <c r="AJ36" s="129"/>
      <c r="AK36" s="129"/>
      <c r="AL36" s="129"/>
      <c r="AM36" s="135">
        <f>'комплекты фурнитуры'!$C$68</f>
        <v>620</v>
      </c>
      <c r="AN36" s="135">
        <f>'комплекты фурнитуры'!$C$69</f>
        <v>130</v>
      </c>
      <c r="AO36" s="135"/>
      <c r="AP36" s="135"/>
      <c r="AQ36" s="135"/>
      <c r="AR36" s="135"/>
      <c r="AS36" s="135"/>
      <c r="AT36" s="135"/>
      <c r="AU36" s="135"/>
      <c r="AV36" s="135"/>
      <c r="AW36" s="135"/>
      <c r="AX36" s="135"/>
      <c r="AY36" s="135"/>
      <c r="AZ36" s="135"/>
      <c r="BA36" s="135"/>
      <c r="BB36" s="135"/>
      <c r="BC36" s="135"/>
      <c r="BD36" s="135"/>
      <c r="BE36" s="135"/>
      <c r="BF36" s="135"/>
      <c r="BG36" s="135"/>
      <c r="BH36" s="135"/>
      <c r="BI36" s="135"/>
      <c r="BJ36" s="135"/>
      <c r="BK36" s="135"/>
      <c r="BL36" s="135"/>
      <c r="BM36" s="135"/>
      <c r="BN36" s="135"/>
      <c r="BO36" s="135"/>
      <c r="BP36" s="136">
        <f>Прайс[[#This Row],[КФ петли SENS накл.110 гр. с крестообр. Планкой]]*2</f>
        <v>1240</v>
      </c>
      <c r="BQ36" s="131">
        <f>Прайс[[#This Row],[KFP-SB-N110]]*2</f>
        <v>260</v>
      </c>
      <c r="BR36" s="131">
        <f>Прайс[[#This Row],[KFP-SB-N110]]*2</f>
        <v>260</v>
      </c>
      <c r="BS36" s="128">
        <v>300</v>
      </c>
      <c r="BT36" s="128">
        <v>720</v>
      </c>
      <c r="BU36" s="128">
        <f>IF(OR(Прайс[[#This Row],[Тип]]="Нижний",Прайс[[#This Row],[Тип]]="Пенал"),"560",IF(Прайс[[#This Row],[Тип]]="Верхний",315,0))</f>
        <v>315</v>
      </c>
      <c r="BV36" s="137">
        <v>1.08</v>
      </c>
      <c r="BW36" s="137">
        <v>1.0649999999999999</v>
      </c>
      <c r="BX36" s="131">
        <v>1.03</v>
      </c>
      <c r="BY36" s="128">
        <v>1</v>
      </c>
      <c r="BZ36" s="128">
        <v>1</v>
      </c>
      <c r="CA36" s="128" t="s">
        <v>71</v>
      </c>
      <c r="CB36" s="131" t="s">
        <v>487</v>
      </c>
      <c r="CC36" s="128">
        <v>1</v>
      </c>
      <c r="CD36" s="128" t="s">
        <v>71</v>
      </c>
      <c r="CE36" s="128">
        <v>1690</v>
      </c>
      <c r="CF36" s="128"/>
      <c r="CG36" s="128"/>
      <c r="CH36" s="128">
        <v>1</v>
      </c>
    </row>
    <row r="37" spans="1:90" s="130" customFormat="1" ht="15" customHeight="1" x14ac:dyDescent="0.25">
      <c r="A37" s="147" t="s">
        <v>79</v>
      </c>
      <c r="B37" s="129" t="s">
        <v>7</v>
      </c>
      <c r="C37" s="129" t="s">
        <v>802</v>
      </c>
      <c r="D37" s="129" t="s">
        <v>73</v>
      </c>
      <c r="E37" s="129" t="s">
        <v>10</v>
      </c>
      <c r="F37" s="129" t="s">
        <v>92</v>
      </c>
      <c r="G37" s="133">
        <v>240</v>
      </c>
      <c r="H37" s="133">
        <v>600</v>
      </c>
      <c r="I37" s="133">
        <v>350</v>
      </c>
      <c r="J37" s="133">
        <v>700</v>
      </c>
      <c r="K37" s="133">
        <v>315</v>
      </c>
      <c r="L37" s="133">
        <v>560</v>
      </c>
      <c r="M37" s="129"/>
      <c r="N37" s="140" t="s">
        <v>59</v>
      </c>
      <c r="O37" s="139">
        <v>1510</v>
      </c>
      <c r="P37" s="139"/>
      <c r="Q37" s="139"/>
      <c r="R37" s="129">
        <f>'комплекты фурнитуры'!$C$9</f>
        <v>540</v>
      </c>
      <c r="S37" s="129"/>
      <c r="T37" s="129"/>
      <c r="U37" s="129"/>
      <c r="V37" s="129"/>
      <c r="W37" s="129"/>
      <c r="X37" s="129"/>
      <c r="Y37" s="129"/>
      <c r="Z37" s="129"/>
      <c r="AA37" s="129"/>
      <c r="AB37" s="129"/>
      <c r="AC37" s="129"/>
      <c r="AD37" s="129"/>
      <c r="AE37" s="129"/>
      <c r="AF37" s="129">
        <f>'комплекты фурнитуры'!$C$78</f>
        <v>210</v>
      </c>
      <c r="AG37" s="129">
        <f>'комплекты фурнитуры'!$C$79</f>
        <v>20</v>
      </c>
      <c r="AH37" s="135">
        <f>SUM(Прайс[[#This Row],[КФ НСТ11]:[KFPr-SB-ZPG]])</f>
        <v>770</v>
      </c>
      <c r="AI37" s="135"/>
      <c r="AJ37" s="129"/>
      <c r="AK37" s="129"/>
      <c r="AL37" s="129"/>
      <c r="AM37" s="135"/>
      <c r="AN37" s="135">
        <f>'комплекты фурнитуры'!$C$69</f>
        <v>130</v>
      </c>
      <c r="AO37" s="135"/>
      <c r="AP37" s="135"/>
      <c r="AQ37" s="135"/>
      <c r="AR37" s="135"/>
      <c r="AS37" s="135"/>
      <c r="AT37" s="135"/>
      <c r="AU37" s="135"/>
      <c r="AV37" s="135"/>
      <c r="AW37" s="135">
        <f>'комплекты фурнитуры'!$C$73</f>
        <v>6080</v>
      </c>
      <c r="AX37" s="135">
        <f>'комплекты фурнитуры'!$C$74</f>
        <v>6940</v>
      </c>
      <c r="AY37" s="135">
        <f>'комплекты фурнитуры'!$C$76</f>
        <v>2290</v>
      </c>
      <c r="AZ37" s="135"/>
      <c r="BA37" s="135"/>
      <c r="BB37" s="135"/>
      <c r="BC37" s="135"/>
      <c r="BD37" s="135"/>
      <c r="BE37" s="135"/>
      <c r="BF37" s="135"/>
      <c r="BG37" s="135"/>
      <c r="BH37" s="135"/>
      <c r="BI37" s="135"/>
      <c r="BJ37" s="135"/>
      <c r="BK37" s="135"/>
      <c r="BL37" s="135"/>
      <c r="BM37" s="135"/>
      <c r="BN37" s="135"/>
      <c r="BO37" s="135"/>
      <c r="BP37" s="136">
        <f>Прайс[[#This Row],[KFP-SP-PPGK]]</f>
        <v>6080</v>
      </c>
      <c r="BQ37" s="131">
        <f>Прайс[[#This Row],[KFP-SP-PPA]]+Прайс[[#This Row],[KFP-SB-N110]]*2</f>
        <v>2550</v>
      </c>
      <c r="BR37" s="131">
        <v>0</v>
      </c>
      <c r="BS37" s="128">
        <v>300</v>
      </c>
      <c r="BT37" s="128">
        <v>720</v>
      </c>
      <c r="BU37" s="128">
        <f>IF(OR(Прайс[[#This Row],[Тип]]="Нижний",Прайс[[#This Row],[Тип]]="Пенал"),"560",IF(Прайс[[#This Row],[Тип]]="Верхний",315,0))</f>
        <v>315</v>
      </c>
      <c r="BV37" s="137">
        <v>1.08</v>
      </c>
      <c r="BW37" s="137">
        <v>1.0649999999999999</v>
      </c>
      <c r="BX37" s="131">
        <v>1.3</v>
      </c>
      <c r="BY37" s="128">
        <v>0</v>
      </c>
      <c r="BZ37" s="128">
        <v>0</v>
      </c>
      <c r="CA37" s="128" t="s">
        <v>10</v>
      </c>
      <c r="CB37" s="131" t="s">
        <v>489</v>
      </c>
      <c r="CC37" s="128">
        <v>0</v>
      </c>
      <c r="CD37" s="128" t="s">
        <v>10</v>
      </c>
      <c r="CE37" s="128">
        <v>1690</v>
      </c>
      <c r="CF37" s="128"/>
      <c r="CG37" s="128"/>
      <c r="CH37" s="128">
        <v>1</v>
      </c>
    </row>
    <row r="38" spans="1:90" s="130" customFormat="1" ht="15" customHeight="1" x14ac:dyDescent="0.25">
      <c r="A38" s="147" t="s">
        <v>80</v>
      </c>
      <c r="B38" s="129" t="s">
        <v>7</v>
      </c>
      <c r="C38" s="129" t="s">
        <v>803</v>
      </c>
      <c r="D38" s="129" t="s">
        <v>73</v>
      </c>
      <c r="E38" s="129" t="s">
        <v>10</v>
      </c>
      <c r="F38" s="129" t="s">
        <v>99</v>
      </c>
      <c r="G38" s="133">
        <v>600</v>
      </c>
      <c r="H38" s="133">
        <v>800</v>
      </c>
      <c r="I38" s="133">
        <v>450</v>
      </c>
      <c r="J38" s="133">
        <v>600</v>
      </c>
      <c r="K38" s="133">
        <v>350</v>
      </c>
      <c r="L38" s="133">
        <v>500</v>
      </c>
      <c r="M38" s="129"/>
      <c r="N38" s="140"/>
      <c r="O38" s="139">
        <v>2120</v>
      </c>
      <c r="P38" s="139"/>
      <c r="Q38" s="139"/>
      <c r="R38" s="129"/>
      <c r="S38" s="129"/>
      <c r="T38" s="129"/>
      <c r="U38" s="129"/>
      <c r="V38" s="129"/>
      <c r="W38" s="129"/>
      <c r="X38" s="129"/>
      <c r="Y38" s="129">
        <f>'комплекты фурнитуры'!$C$19</f>
        <v>740</v>
      </c>
      <c r="Z38" s="129"/>
      <c r="AA38" s="129"/>
      <c r="AB38" s="129"/>
      <c r="AC38" s="129"/>
      <c r="AD38" s="129"/>
      <c r="AE38" s="129"/>
      <c r="AF38" s="129">
        <f>'комплекты фурнитуры'!$C$78</f>
        <v>210</v>
      </c>
      <c r="AG38" s="129">
        <f>'комплекты фурнитуры'!$C$79</f>
        <v>20</v>
      </c>
      <c r="AH38" s="135">
        <f>SUM(Прайс[[#This Row],[КФ НСТ11]:[KFPr-SB-ZPG]])</f>
        <v>970</v>
      </c>
      <c r="AI38" s="135"/>
      <c r="AJ38" s="129"/>
      <c r="AK38" s="129"/>
      <c r="AL38" s="129"/>
      <c r="AM38" s="135"/>
      <c r="AN38" s="135">
        <f>'комплекты фурнитуры'!$C$69</f>
        <v>130</v>
      </c>
      <c r="AO38" s="135"/>
      <c r="AP38" s="135"/>
      <c r="AQ38" s="135"/>
      <c r="AR38" s="135"/>
      <c r="AS38" s="135"/>
      <c r="AT38" s="135"/>
      <c r="AU38" s="135"/>
      <c r="AV38" s="135"/>
      <c r="AW38" s="135">
        <f>'комплекты фурнитуры'!$C$73</f>
        <v>6080</v>
      </c>
      <c r="AX38" s="135"/>
      <c r="AY38" s="135">
        <f>'комплекты фурнитуры'!$C$76</f>
        <v>2290</v>
      </c>
      <c r="AZ38" s="135"/>
      <c r="BA38" s="135"/>
      <c r="BB38" s="135"/>
      <c r="BC38" s="135"/>
      <c r="BD38" s="135"/>
      <c r="BE38" s="135"/>
      <c r="BF38" s="135"/>
      <c r="BG38" s="135"/>
      <c r="BH38" s="135"/>
      <c r="BI38" s="135"/>
      <c r="BJ38" s="135"/>
      <c r="BK38" s="135"/>
      <c r="BL38" s="135"/>
      <c r="BM38" s="135"/>
      <c r="BN38" s="135"/>
      <c r="BO38" s="135"/>
      <c r="BP38" s="136">
        <f>Прайс[[#This Row],[KFP-SP-PPGK]]</f>
        <v>6080</v>
      </c>
      <c r="BQ38" s="131">
        <f>Прайс[[#This Row],[KFP-SP-PPA]]+Прайс[[#This Row],[KFP-SB-N110]]*2</f>
        <v>2550</v>
      </c>
      <c r="BR38" s="131">
        <v>0</v>
      </c>
      <c r="BS38" s="128">
        <v>600</v>
      </c>
      <c r="BT38" s="128">
        <v>720</v>
      </c>
      <c r="BU38" s="128">
        <v>350</v>
      </c>
      <c r="BV38" s="137">
        <v>1.08</v>
      </c>
      <c r="BW38" s="137">
        <v>1.0649999999999999</v>
      </c>
      <c r="BX38" s="131">
        <v>1.03</v>
      </c>
      <c r="BY38" s="128">
        <v>0</v>
      </c>
      <c r="BZ38" s="128">
        <v>0</v>
      </c>
      <c r="CA38" s="128" t="s">
        <v>10</v>
      </c>
      <c r="CB38" s="131" t="s">
        <v>489</v>
      </c>
      <c r="CC38" s="128">
        <v>0</v>
      </c>
      <c r="CD38" s="128" t="s">
        <v>10</v>
      </c>
      <c r="CE38" s="128">
        <v>2460</v>
      </c>
      <c r="CF38" s="128"/>
      <c r="CG38" s="128"/>
      <c r="CH38" s="128">
        <v>1</v>
      </c>
    </row>
    <row r="39" spans="1:90" s="130" customFormat="1" ht="15" customHeight="1" x14ac:dyDescent="0.25">
      <c r="A39" s="147" t="s">
        <v>81</v>
      </c>
      <c r="B39" s="129" t="s">
        <v>7</v>
      </c>
      <c r="C39" s="129" t="s">
        <v>804</v>
      </c>
      <c r="D39" s="129" t="s">
        <v>73</v>
      </c>
      <c r="E39" s="129" t="s">
        <v>10</v>
      </c>
      <c r="F39" s="129" t="s">
        <v>87</v>
      </c>
      <c r="G39" s="133">
        <v>360</v>
      </c>
      <c r="H39" s="133">
        <v>1250</v>
      </c>
      <c r="I39" s="133">
        <v>400</v>
      </c>
      <c r="J39" s="133">
        <v>900</v>
      </c>
      <c r="K39" s="133">
        <v>250</v>
      </c>
      <c r="L39" s="133">
        <v>560</v>
      </c>
      <c r="M39" s="129"/>
      <c r="N39" s="140"/>
      <c r="O39" s="139">
        <v>1510</v>
      </c>
      <c r="P39" s="139"/>
      <c r="Q39" s="139">
        <v>540</v>
      </c>
      <c r="R39" s="129"/>
      <c r="S39" s="129"/>
      <c r="T39" s="129"/>
      <c r="U39" s="129"/>
      <c r="V39" s="129"/>
      <c r="W39" s="129"/>
      <c r="X39" s="129"/>
      <c r="Y39" s="129"/>
      <c r="Z39" s="129"/>
      <c r="AA39" s="129"/>
      <c r="AB39" s="129"/>
      <c r="AC39" s="129"/>
      <c r="AD39" s="129"/>
      <c r="AE39" s="129"/>
      <c r="AF39" s="129">
        <f>'комплекты фурнитуры'!$C$78</f>
        <v>210</v>
      </c>
      <c r="AG39" s="129">
        <f>'комплекты фурнитуры'!$C$79</f>
        <v>20</v>
      </c>
      <c r="AH39" s="135">
        <f>SUM(Прайс[[#This Row],[КФ НСТ11]:[KFPr-SB-ZPG]])</f>
        <v>770</v>
      </c>
      <c r="AI39" s="135"/>
      <c r="AJ39" s="129"/>
      <c r="AK39" s="129"/>
      <c r="AL39" s="129"/>
      <c r="AM39" s="135">
        <f>'комплекты фурнитуры'!$C$68</f>
        <v>620</v>
      </c>
      <c r="AN39" s="135">
        <f>'комплекты фурнитуры'!$C$69</f>
        <v>130</v>
      </c>
      <c r="AO39" s="135"/>
      <c r="AP39" s="135"/>
      <c r="AQ39" s="135"/>
      <c r="AR39" s="135"/>
      <c r="AS39" s="135"/>
      <c r="AT39" s="135"/>
      <c r="AU39" s="135"/>
      <c r="AV39" s="135"/>
      <c r="AW39" s="135"/>
      <c r="AX39" s="135"/>
      <c r="AY39" s="135"/>
      <c r="AZ39" s="135"/>
      <c r="BA39" s="135"/>
      <c r="BB39" s="135"/>
      <c r="BC39" s="135"/>
      <c r="BD39" s="135"/>
      <c r="BE39" s="135"/>
      <c r="BF39" s="135"/>
      <c r="BG39" s="135"/>
      <c r="BH39" s="135"/>
      <c r="BI39" s="135"/>
      <c r="BJ39" s="135"/>
      <c r="BK39" s="135"/>
      <c r="BL39" s="135"/>
      <c r="BM39" s="135"/>
      <c r="BN39" s="135"/>
      <c r="BO39" s="135"/>
      <c r="BP39" s="136">
        <f>Прайс[[#This Row],[КФ петли SENS накл.110 гр. с крестообр. Планкой]]*4</f>
        <v>2480</v>
      </c>
      <c r="BQ39" s="131">
        <f>Прайс[[#This Row],[KFP-SB-N110]]*4</f>
        <v>520</v>
      </c>
      <c r="BR39" s="131">
        <f>Прайс[[#This Row],[KFP-SB-N110]]*4</f>
        <v>520</v>
      </c>
      <c r="BS39" s="128">
        <v>300</v>
      </c>
      <c r="BT39" s="128">
        <v>720</v>
      </c>
      <c r="BU39" s="128">
        <f>IF(OR(Прайс[[#This Row],[Тип]]="Нижний",Прайс[[#This Row],[Тип]]="Пенал"),"560",IF(Прайс[[#This Row],[Тип]]="Верхний",315,0))</f>
        <v>315</v>
      </c>
      <c r="BV39" s="137">
        <v>1.08</v>
      </c>
      <c r="BW39" s="137">
        <v>1.0649999999999999</v>
      </c>
      <c r="BX39" s="131">
        <v>1.3</v>
      </c>
      <c r="BY39" s="128">
        <v>0</v>
      </c>
      <c r="BZ39" s="128">
        <v>3</v>
      </c>
      <c r="CA39" s="128" t="s">
        <v>71</v>
      </c>
      <c r="CB39" s="131" t="s">
        <v>487</v>
      </c>
      <c r="CC39" s="128">
        <v>0</v>
      </c>
      <c r="CD39" s="128" t="s">
        <v>71</v>
      </c>
      <c r="CE39" s="128">
        <v>1690</v>
      </c>
      <c r="CF39" s="128"/>
      <c r="CG39" s="128"/>
      <c r="CH39" s="128">
        <v>2</v>
      </c>
      <c r="CJ39" s="130" t="s">
        <v>534</v>
      </c>
    </row>
    <row r="40" spans="1:90" s="130" customFormat="1" ht="15" customHeight="1" x14ac:dyDescent="0.25">
      <c r="A40" s="147" t="s">
        <v>28</v>
      </c>
      <c r="B40" s="129" t="s">
        <v>7</v>
      </c>
      <c r="C40" s="129" t="s">
        <v>805</v>
      </c>
      <c r="D40" s="129" t="s">
        <v>73</v>
      </c>
      <c r="E40" s="129" t="s">
        <v>10</v>
      </c>
      <c r="F40" s="129" t="s">
        <v>92</v>
      </c>
      <c r="G40" s="133">
        <v>720</v>
      </c>
      <c r="H40" s="133">
        <v>720</v>
      </c>
      <c r="I40" s="133">
        <v>400</v>
      </c>
      <c r="J40" s="133">
        <v>900</v>
      </c>
      <c r="K40" s="133">
        <v>300</v>
      </c>
      <c r="L40" s="133">
        <v>400</v>
      </c>
      <c r="M40" s="129"/>
      <c r="N40" s="140" t="s">
        <v>60</v>
      </c>
      <c r="O40" s="139">
        <v>1510</v>
      </c>
      <c r="P40" s="139"/>
      <c r="Q40" s="139"/>
      <c r="R40" s="129">
        <f>'комплекты фурнитуры'!$C$9</f>
        <v>540</v>
      </c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>
        <f>'комплекты фурнитуры'!$C$78</f>
        <v>210</v>
      </c>
      <c r="AG40" s="129">
        <f>'комплекты фурнитуры'!$C$79</f>
        <v>20</v>
      </c>
      <c r="AH40" s="135">
        <f>SUM(Прайс[[#This Row],[КФ НСТ11]:[KFPr-SB-ZPG]])</f>
        <v>770</v>
      </c>
      <c r="AI40" s="135"/>
      <c r="AJ40" s="129"/>
      <c r="AK40" s="129"/>
      <c r="AL40" s="129"/>
      <c r="AM40" s="135"/>
      <c r="AN40" s="135"/>
      <c r="AO40" s="135"/>
      <c r="AP40" s="135"/>
      <c r="AQ40" s="135"/>
      <c r="AR40" s="135"/>
      <c r="AS40" s="135"/>
      <c r="AT40" s="135"/>
      <c r="AU40" s="135"/>
      <c r="AV40" s="135"/>
      <c r="AW40" s="135"/>
      <c r="AX40" s="135"/>
      <c r="AY40" s="135"/>
      <c r="AZ40" s="135">
        <f>'комплекты фурнитуры'!$C$75</f>
        <v>13990</v>
      </c>
      <c r="BA40" s="135"/>
      <c r="BB40" s="135"/>
      <c r="BC40" s="135"/>
      <c r="BD40" s="135"/>
      <c r="BE40" s="135"/>
      <c r="BF40" s="135"/>
      <c r="BG40" s="135"/>
      <c r="BH40" s="135"/>
      <c r="BI40" s="135"/>
      <c r="BJ40" s="135"/>
      <c r="BK40" s="135"/>
      <c r="BL40" s="135"/>
      <c r="BM40" s="135"/>
      <c r="BN40" s="135"/>
      <c r="BO40" s="135"/>
      <c r="BP40" s="136">
        <f>Прайс[[#This Row],[KFP-SB-PPHF_W]]</f>
        <v>13990</v>
      </c>
      <c r="BQ40" s="136">
        <f>Прайс[[#This Row],[KFP-SB-PPHF_W]]</f>
        <v>13990</v>
      </c>
      <c r="BR40" s="136">
        <f>Прайс[[#This Row],[KFP-SB-PPHF_W]]</f>
        <v>13990</v>
      </c>
      <c r="BS40" s="128">
        <v>300</v>
      </c>
      <c r="BT40" s="128">
        <v>720</v>
      </c>
      <c r="BU40" s="128">
        <f>IF(OR(Прайс[[#This Row],[Тип]]="Нижний",Прайс[[#This Row],[Тип]]="Пенал"),"560",IF(Прайс[[#This Row],[Тип]]="Верхний",315,0))</f>
        <v>315</v>
      </c>
      <c r="BV40" s="137">
        <v>1.08</v>
      </c>
      <c r="BW40" s="137">
        <v>1.0649999999999999</v>
      </c>
      <c r="BX40" s="131">
        <v>1.3</v>
      </c>
      <c r="BY40" s="128">
        <v>1</v>
      </c>
      <c r="BZ40" s="128">
        <v>1</v>
      </c>
      <c r="CA40" s="128" t="s">
        <v>10</v>
      </c>
      <c r="CB40" s="131" t="s">
        <v>488</v>
      </c>
      <c r="CC40" s="128">
        <v>1</v>
      </c>
      <c r="CD40" s="128" t="s">
        <v>71</v>
      </c>
      <c r="CE40" s="128">
        <v>1690</v>
      </c>
      <c r="CF40" s="128"/>
      <c r="CG40" s="128"/>
      <c r="CH40" s="128">
        <v>2</v>
      </c>
    </row>
    <row r="41" spans="1:90" s="130" customFormat="1" ht="15" customHeight="1" x14ac:dyDescent="0.25">
      <c r="A41" s="147" t="s">
        <v>485</v>
      </c>
      <c r="B41" s="129" t="s">
        <v>7</v>
      </c>
      <c r="C41" s="129" t="s">
        <v>806</v>
      </c>
      <c r="D41" s="129" t="s">
        <v>69</v>
      </c>
      <c r="E41" s="129" t="s">
        <v>10</v>
      </c>
      <c r="F41" s="129" t="s">
        <v>87</v>
      </c>
      <c r="G41" s="133">
        <v>360</v>
      </c>
      <c r="H41" s="133">
        <v>1250</v>
      </c>
      <c r="I41" s="133">
        <v>595</v>
      </c>
      <c r="J41" s="133">
        <v>1000</v>
      </c>
      <c r="K41" s="133">
        <v>315</v>
      </c>
      <c r="L41" s="133">
        <v>560</v>
      </c>
      <c r="M41" s="129"/>
      <c r="N41" s="140"/>
      <c r="O41" s="139">
        <v>2580</v>
      </c>
      <c r="P41" s="139"/>
      <c r="Q41" s="139"/>
      <c r="R41" s="129"/>
      <c r="S41" s="129"/>
      <c r="T41" s="129"/>
      <c r="U41" s="129"/>
      <c r="V41" s="129"/>
      <c r="W41" s="129"/>
      <c r="X41" s="129"/>
      <c r="Y41" s="129"/>
      <c r="Z41" s="129"/>
      <c r="AA41" s="129">
        <f>'комплекты фурнитуры'!$C$21</f>
        <v>1130</v>
      </c>
      <c r="AB41" s="129"/>
      <c r="AC41" s="129"/>
      <c r="AD41" s="129"/>
      <c r="AE41" s="129"/>
      <c r="AF41" s="129">
        <f>'комплекты фурнитуры'!$C$78</f>
        <v>210</v>
      </c>
      <c r="AG41" s="129">
        <f>'комплекты фурнитуры'!$C$79</f>
        <v>20</v>
      </c>
      <c r="AH41" s="135">
        <f>SUM(Прайс[[#This Row],[КФ НСТ11]:[KFPr-SB-ZPG]])</f>
        <v>1360</v>
      </c>
      <c r="AI41" s="135"/>
      <c r="AJ41" s="129">
        <f>'комплекты фурнитуры'!$C$84</f>
        <v>30</v>
      </c>
      <c r="AK41" s="129">
        <f>'комплекты фурнитуры'!$C$96</f>
        <v>20</v>
      </c>
      <c r="AL41" s="129"/>
      <c r="AM41" s="135"/>
      <c r="AN41" s="135"/>
      <c r="AO41" s="135">
        <f>'комплекты фурнитуры'!$C$62</f>
        <v>1300</v>
      </c>
      <c r="AP41" s="135">
        <f>'комплекты фурнитуры'!$C$64</f>
        <v>480</v>
      </c>
      <c r="AQ41" s="135"/>
      <c r="AR41" s="135"/>
      <c r="AS41" s="135"/>
      <c r="AT41" s="135"/>
      <c r="AU41" s="135"/>
      <c r="AV41" s="135"/>
      <c r="AW41" s="135"/>
      <c r="AX41" s="135"/>
      <c r="AY41" s="135"/>
      <c r="AZ41" s="135"/>
      <c r="BA41" s="135"/>
      <c r="BB41" s="135"/>
      <c r="BC41" s="135"/>
      <c r="BD41" s="135"/>
      <c r="BE41" s="135"/>
      <c r="BF41" s="135"/>
      <c r="BG41" s="135"/>
      <c r="BH41" s="135"/>
      <c r="BI41" s="135"/>
      <c r="BJ41" s="135"/>
      <c r="BK41" s="135"/>
      <c r="BL41" s="135"/>
      <c r="BM41" s="135"/>
      <c r="BN41" s="135"/>
      <c r="BO41" s="135"/>
      <c r="BP41" s="136">
        <f>Прайс[[#This Row],[KFPr-SB-SPL]]+Прайс[[#This Row],[KFPr-SB-SMRZ_16мм]]+Прайс[[#This Row],[КФ петли вклад. 95 гр. с крестообр. планкой]]*2</f>
        <v>2650</v>
      </c>
      <c r="BQ41" s="131">
        <f>Прайс[[#This Row],[KFPr-SB-SPL]]+Прайс[[#This Row],[KFPr-SB-SMRZ_16мм]]+Прайс[[#This Row],[KFP-SB-PY94]]*2</f>
        <v>1010</v>
      </c>
      <c r="BR41" s="131">
        <f>Прайс[[#This Row],[KFPr-SB-SPL]]+Прайс[[#This Row],[KFPr-SB-SMRZ_16мм]]+Прайс[[#This Row],[KFP-SB-PY94]]*2</f>
        <v>1010</v>
      </c>
      <c r="BS41" s="128">
        <v>600</v>
      </c>
      <c r="BT41" s="128">
        <v>720</v>
      </c>
      <c r="BU41" s="128">
        <v>560</v>
      </c>
      <c r="BV41" s="137">
        <v>1.08</v>
      </c>
      <c r="BW41" s="137">
        <v>1.0649999999999999</v>
      </c>
      <c r="BX41" s="131">
        <v>0</v>
      </c>
      <c r="BY41" s="128">
        <v>0</v>
      </c>
      <c r="BZ41" s="128">
        <v>2</v>
      </c>
      <c r="CA41" s="128" t="s">
        <v>71</v>
      </c>
      <c r="CB41" s="131" t="s">
        <v>487</v>
      </c>
      <c r="CC41" s="128">
        <v>1</v>
      </c>
      <c r="CD41" s="128" t="s">
        <v>71</v>
      </c>
      <c r="CE41" s="128">
        <v>2900</v>
      </c>
      <c r="CF41" s="128"/>
      <c r="CG41" s="128"/>
      <c r="CH41" s="128">
        <v>1</v>
      </c>
      <c r="CJ41" s="130" t="s">
        <v>542</v>
      </c>
      <c r="CL41" s="130" t="s">
        <v>541</v>
      </c>
    </row>
    <row r="42" spans="1:90" s="130" customFormat="1" ht="15" customHeight="1" x14ac:dyDescent="0.25">
      <c r="A42" s="148" t="s">
        <v>29</v>
      </c>
      <c r="B42" s="129" t="s">
        <v>7</v>
      </c>
      <c r="C42" s="129" t="s">
        <v>807</v>
      </c>
      <c r="D42" s="129" t="s">
        <v>73</v>
      </c>
      <c r="E42" s="129" t="s">
        <v>10</v>
      </c>
      <c r="F42" s="129" t="s">
        <v>93</v>
      </c>
      <c r="G42" s="133">
        <v>440</v>
      </c>
      <c r="H42" s="133">
        <v>1210</v>
      </c>
      <c r="I42" s="133">
        <v>500</v>
      </c>
      <c r="J42" s="133">
        <v>600</v>
      </c>
      <c r="K42" s="133">
        <v>300</v>
      </c>
      <c r="L42" s="133">
        <v>400</v>
      </c>
      <c r="M42" s="129"/>
      <c r="N42" s="140"/>
      <c r="O42" s="139">
        <v>2540</v>
      </c>
      <c r="P42" s="139"/>
      <c r="Q42" s="139"/>
      <c r="R42" s="129"/>
      <c r="S42" s="129"/>
      <c r="T42" s="129"/>
      <c r="U42" s="129"/>
      <c r="V42" s="129"/>
      <c r="W42" s="129"/>
      <c r="X42" s="129"/>
      <c r="Y42" s="129"/>
      <c r="Z42" s="129"/>
      <c r="AA42" s="129"/>
      <c r="AB42" s="129"/>
      <c r="AC42" s="129">
        <f>'комплекты фурнитуры'!$C$23</f>
        <v>750</v>
      </c>
      <c r="AD42" s="129"/>
      <c r="AE42" s="129"/>
      <c r="AF42" s="129">
        <f>'комплекты фурнитуры'!$C$78</f>
        <v>210</v>
      </c>
      <c r="AG42" s="129">
        <f>'комплекты фурнитуры'!$C$79</f>
        <v>20</v>
      </c>
      <c r="AH42" s="135">
        <f>SUM(Прайс[[#This Row],[КФ НСТ11]:[KFPr-SB-ZPG]])</f>
        <v>980</v>
      </c>
      <c r="AI42" s="135"/>
      <c r="AJ42" s="129"/>
      <c r="AK42" s="129"/>
      <c r="AL42" s="129"/>
      <c r="AM42" s="135">
        <f>'комплекты фурнитуры'!$C$68</f>
        <v>620</v>
      </c>
      <c r="AN42" s="135">
        <f>'комплекты фурнитуры'!$C$69</f>
        <v>130</v>
      </c>
      <c r="AO42" s="135"/>
      <c r="AP42" s="135"/>
      <c r="AQ42" s="135"/>
      <c r="AR42" s="135"/>
      <c r="AS42" s="135"/>
      <c r="AT42" s="135"/>
      <c r="AU42" s="135"/>
      <c r="AV42" s="135"/>
      <c r="AW42" s="135"/>
      <c r="AX42" s="135"/>
      <c r="AY42" s="135"/>
      <c r="AZ42" s="135"/>
      <c r="BA42" s="135"/>
      <c r="BB42" s="135"/>
      <c r="BC42" s="135"/>
      <c r="BD42" s="135"/>
      <c r="BE42" s="135"/>
      <c r="BF42" s="135"/>
      <c r="BG42" s="135"/>
      <c r="BH42" s="135"/>
      <c r="BI42" s="135"/>
      <c r="BJ42" s="135"/>
      <c r="BK42" s="135"/>
      <c r="BL42" s="135"/>
      <c r="BM42" s="135"/>
      <c r="BN42" s="135"/>
      <c r="BO42" s="135"/>
      <c r="BP42" s="136">
        <f>Прайс[[#This Row],[КФ петли SENS накл.110 гр. с крестообр. Планкой]]*2</f>
        <v>1240</v>
      </c>
      <c r="BQ42" s="131">
        <f>Прайс[[#This Row],[KFP-SB-N110]]*2</f>
        <v>260</v>
      </c>
      <c r="BR42" s="131">
        <f>Прайс[[#This Row],[KFP-SB-N110]]*2</f>
        <v>260</v>
      </c>
      <c r="BS42" s="128">
        <v>500</v>
      </c>
      <c r="BT42" s="128">
        <v>680</v>
      </c>
      <c r="BU42" s="128">
        <f>IF(OR(Прайс[[#This Row],[Тип]]="Нижний",Прайс[[#This Row],[Тип]]="Пенал"),"560",IF(Прайс[[#This Row],[Тип]]="Верхний",315,0))</f>
        <v>315</v>
      </c>
      <c r="BV42" s="137">
        <v>1.095</v>
      </c>
      <c r="BW42" s="137">
        <v>1.0649999999999999</v>
      </c>
      <c r="BX42" s="131">
        <v>1.3</v>
      </c>
      <c r="BY42" s="128">
        <v>1</v>
      </c>
      <c r="BZ42" s="128">
        <v>2</v>
      </c>
      <c r="CA42" s="128" t="s">
        <v>71</v>
      </c>
      <c r="CB42" s="131" t="s">
        <v>487</v>
      </c>
      <c r="CC42" s="128">
        <v>1</v>
      </c>
      <c r="CD42" s="128" t="s">
        <v>10</v>
      </c>
      <c r="CE42" s="128">
        <v>2890</v>
      </c>
      <c r="CF42" s="128"/>
      <c r="CG42" s="128"/>
      <c r="CH42" s="128">
        <v>1</v>
      </c>
      <c r="CJ42" s="130" t="s">
        <v>543</v>
      </c>
    </row>
    <row r="43" spans="1:90" s="130" customFormat="1" ht="15" customHeight="1" x14ac:dyDescent="0.25">
      <c r="A43" s="148" t="s">
        <v>30</v>
      </c>
      <c r="B43" s="129" t="s">
        <v>7</v>
      </c>
      <c r="C43" s="129" t="s">
        <v>808</v>
      </c>
      <c r="D43" s="129" t="s">
        <v>73</v>
      </c>
      <c r="E43" s="129" t="s">
        <v>10</v>
      </c>
      <c r="F43" s="129" t="s">
        <v>93</v>
      </c>
      <c r="G43" s="133">
        <v>440</v>
      </c>
      <c r="H43" s="133">
        <v>1210</v>
      </c>
      <c r="I43" s="133">
        <v>600</v>
      </c>
      <c r="J43" s="133">
        <v>900</v>
      </c>
      <c r="K43" s="133">
        <v>300</v>
      </c>
      <c r="L43" s="133">
        <v>400</v>
      </c>
      <c r="M43" s="129"/>
      <c r="N43" s="140"/>
      <c r="O43" s="139">
        <v>2540</v>
      </c>
      <c r="P43" s="139"/>
      <c r="Q43" s="139"/>
      <c r="R43" s="129"/>
      <c r="S43" s="129"/>
      <c r="T43" s="129"/>
      <c r="U43" s="129"/>
      <c r="V43" s="129"/>
      <c r="W43" s="129"/>
      <c r="X43" s="129"/>
      <c r="Y43" s="129"/>
      <c r="Z43" s="129"/>
      <c r="AA43" s="129"/>
      <c r="AB43" s="129"/>
      <c r="AC43" s="129">
        <f>'комплекты фурнитуры'!$C$23</f>
        <v>750</v>
      </c>
      <c r="AD43" s="129"/>
      <c r="AE43" s="129"/>
      <c r="AF43" s="129">
        <f>'комплекты фурнитуры'!$C$78</f>
        <v>210</v>
      </c>
      <c r="AG43" s="129">
        <f>'комплекты фурнитуры'!$C$79</f>
        <v>20</v>
      </c>
      <c r="AH43" s="135">
        <f>SUM(Прайс[[#This Row],[КФ НСТ11]:[KFPr-SB-ZPG]])</f>
        <v>980</v>
      </c>
      <c r="AI43" s="135"/>
      <c r="AJ43" s="129"/>
      <c r="AK43" s="129"/>
      <c r="AL43" s="129"/>
      <c r="AM43" s="135">
        <f>'комплекты фурнитуры'!$C$68</f>
        <v>620</v>
      </c>
      <c r="AN43" s="135">
        <f>'комплекты фурнитуры'!$C$69</f>
        <v>130</v>
      </c>
      <c r="AO43" s="135"/>
      <c r="AP43" s="135"/>
      <c r="AQ43" s="135"/>
      <c r="AR43" s="135"/>
      <c r="AS43" s="135"/>
      <c r="AT43" s="135"/>
      <c r="AU43" s="135"/>
      <c r="AV43" s="135"/>
      <c r="AW43" s="135"/>
      <c r="AX43" s="135"/>
      <c r="AY43" s="135"/>
      <c r="AZ43" s="135"/>
      <c r="BA43" s="135"/>
      <c r="BB43" s="135"/>
      <c r="BC43" s="135"/>
      <c r="BD43" s="135"/>
      <c r="BE43" s="135"/>
      <c r="BF43" s="135"/>
      <c r="BG43" s="135"/>
      <c r="BH43" s="135"/>
      <c r="BI43" s="135"/>
      <c r="BJ43" s="135"/>
      <c r="BK43" s="135"/>
      <c r="BL43" s="135"/>
      <c r="BM43" s="135"/>
      <c r="BN43" s="135"/>
      <c r="BO43" s="135"/>
      <c r="BP43" s="136">
        <f>Прайс[[#This Row],[КФ петли SENS накл.110 гр. с крестообр. Планкой]]*4</f>
        <v>2480</v>
      </c>
      <c r="BQ43" s="131">
        <f>Прайс[[#This Row],[KFP-SB-N110]]*4</f>
        <v>520</v>
      </c>
      <c r="BR43" s="131">
        <f>Прайс[[#This Row],[KFP-SB-N110]]*4</f>
        <v>520</v>
      </c>
      <c r="BS43" s="128">
        <v>500</v>
      </c>
      <c r="BT43" s="128">
        <v>680</v>
      </c>
      <c r="BU43" s="128">
        <f>IF(OR(Прайс[[#This Row],[Тип]]="Нижний",Прайс[[#This Row],[Тип]]="Пенал"),"560",IF(Прайс[[#This Row],[Тип]]="Верхний",315,0))</f>
        <v>315</v>
      </c>
      <c r="BV43" s="137">
        <v>1.095</v>
      </c>
      <c r="BW43" s="137">
        <v>1.0649999999999999</v>
      </c>
      <c r="BX43" s="131">
        <v>1.3</v>
      </c>
      <c r="BY43" s="128">
        <v>1</v>
      </c>
      <c r="BZ43" s="128">
        <v>2</v>
      </c>
      <c r="CA43" s="128" t="s">
        <v>71</v>
      </c>
      <c r="CB43" s="131" t="s">
        <v>487</v>
      </c>
      <c r="CC43" s="128">
        <v>1</v>
      </c>
      <c r="CD43" s="128" t="s">
        <v>10</v>
      </c>
      <c r="CE43" s="128">
        <v>2890</v>
      </c>
      <c r="CF43" s="128"/>
      <c r="CG43" s="128"/>
      <c r="CH43" s="128">
        <v>2</v>
      </c>
    </row>
    <row r="44" spans="1:90" s="130" customFormat="1" ht="15" customHeight="1" x14ac:dyDescent="0.25">
      <c r="A44" s="147" t="s">
        <v>31</v>
      </c>
      <c r="B44" s="129" t="s">
        <v>7</v>
      </c>
      <c r="C44" s="129" t="s">
        <v>809</v>
      </c>
      <c r="D44" s="129" t="s">
        <v>74</v>
      </c>
      <c r="E44" s="129" t="s">
        <v>10</v>
      </c>
      <c r="F44" s="129" t="s">
        <v>87</v>
      </c>
      <c r="G44" s="133">
        <v>360</v>
      </c>
      <c r="H44" s="133">
        <v>960</v>
      </c>
      <c r="I44" s="133">
        <v>600</v>
      </c>
      <c r="J44" s="133">
        <v>600</v>
      </c>
      <c r="K44" s="133">
        <v>600</v>
      </c>
      <c r="L44" s="133">
        <v>600</v>
      </c>
      <c r="M44" s="129"/>
      <c r="N44" s="140" t="s">
        <v>53</v>
      </c>
      <c r="O44" s="139">
        <v>2530</v>
      </c>
      <c r="P44" s="139"/>
      <c r="Q44" s="139"/>
      <c r="R44" s="129"/>
      <c r="S44" s="129"/>
      <c r="T44" s="129"/>
      <c r="U44" s="129"/>
      <c r="V44" s="129"/>
      <c r="W44" s="129"/>
      <c r="X44" s="129"/>
      <c r="Y44" s="129">
        <f>'комплекты фурнитуры'!$C$19</f>
        <v>740</v>
      </c>
      <c r="Z44" s="129"/>
      <c r="AA44" s="129"/>
      <c r="AB44" s="129"/>
      <c r="AC44" s="129"/>
      <c r="AD44" s="129"/>
      <c r="AE44" s="129"/>
      <c r="AF44" s="129">
        <f>'комплекты фурнитуры'!$C$78</f>
        <v>210</v>
      </c>
      <c r="AG44" s="129">
        <f>'комплекты фурнитуры'!$C$79</f>
        <v>20</v>
      </c>
      <c r="AH44" s="135">
        <f>SUM(Прайс[[#This Row],[КФ НСТ11]:[KFPr-SB-ZPG]])</f>
        <v>970</v>
      </c>
      <c r="AI44" s="135"/>
      <c r="AJ44" s="129"/>
      <c r="AK44" s="129"/>
      <c r="AL44" s="129"/>
      <c r="AM44" s="135"/>
      <c r="AN44" s="135"/>
      <c r="AO44" s="135"/>
      <c r="AP44" s="135"/>
      <c r="AQ44" s="135">
        <f>'комплекты фурнитуры'!$C$60</f>
        <v>1560</v>
      </c>
      <c r="AR44" s="135">
        <f>'комплекты фурнитуры'!$C$61</f>
        <v>190</v>
      </c>
      <c r="AS44" s="135"/>
      <c r="AT44" s="135"/>
      <c r="AU44" s="135"/>
      <c r="AV44" s="135"/>
      <c r="AW44" s="135"/>
      <c r="AX44" s="135"/>
      <c r="AY44" s="135"/>
      <c r="AZ44" s="135"/>
      <c r="BA44" s="135"/>
      <c r="BB44" s="135"/>
      <c r="BC44" s="135"/>
      <c r="BD44" s="135"/>
      <c r="BE44" s="135"/>
      <c r="BF44" s="135"/>
      <c r="BG44" s="135"/>
      <c r="BH44" s="135"/>
      <c r="BI44" s="135"/>
      <c r="BJ44" s="135"/>
      <c r="BK44" s="135"/>
      <c r="BL44" s="135"/>
      <c r="BM44" s="135"/>
      <c r="BN44" s="135"/>
      <c r="BO44" s="135"/>
      <c r="BP44" s="136">
        <f>Прайс[[#This Row],[КKFP-SB-GT45]]*2</f>
        <v>3120</v>
      </c>
      <c r="BQ44" s="131">
        <f>Прайс[[#This Row],[KFP-SB-N45]]*2</f>
        <v>380</v>
      </c>
      <c r="BR44" s="131">
        <f>Прайс[[#This Row],[KFP-SB-N45]]*2</f>
        <v>380</v>
      </c>
      <c r="BS44" s="128">
        <v>600</v>
      </c>
      <c r="BT44" s="128">
        <v>720</v>
      </c>
      <c r="BU44" s="128">
        <v>600</v>
      </c>
      <c r="BV44" s="137">
        <v>1.08</v>
      </c>
      <c r="BW44" s="137">
        <v>1.0649999999999999</v>
      </c>
      <c r="BX44" s="131">
        <v>0</v>
      </c>
      <c r="BY44" s="128">
        <v>0</v>
      </c>
      <c r="BZ44" s="128">
        <v>3</v>
      </c>
      <c r="CA44" s="128" t="s">
        <v>71</v>
      </c>
      <c r="CB44" s="131" t="s">
        <v>487</v>
      </c>
      <c r="CC44" s="128">
        <v>1</v>
      </c>
      <c r="CD44" s="128" t="s">
        <v>10</v>
      </c>
      <c r="CE44" s="128">
        <v>2820</v>
      </c>
      <c r="CF44" s="128"/>
      <c r="CG44" s="128"/>
      <c r="CH44" s="128">
        <v>1</v>
      </c>
      <c r="CJ44" s="130" t="s">
        <v>532</v>
      </c>
    </row>
    <row r="45" spans="1:90" s="130" customFormat="1" ht="15" customHeight="1" x14ac:dyDescent="0.25">
      <c r="A45" s="147" t="s">
        <v>407</v>
      </c>
      <c r="B45" s="129" t="s">
        <v>7</v>
      </c>
      <c r="C45" s="129" t="s">
        <v>810</v>
      </c>
      <c r="D45" s="129" t="s">
        <v>73</v>
      </c>
      <c r="E45" s="129" t="s">
        <v>10</v>
      </c>
      <c r="F45" s="129" t="s">
        <v>94</v>
      </c>
      <c r="G45" s="133">
        <v>601</v>
      </c>
      <c r="H45" s="133">
        <v>1250</v>
      </c>
      <c r="I45" s="133">
        <v>450</v>
      </c>
      <c r="J45" s="133">
        <v>450</v>
      </c>
      <c r="K45" s="133">
        <v>315</v>
      </c>
      <c r="L45" s="133">
        <v>360</v>
      </c>
      <c r="M45" s="129"/>
      <c r="N45" s="140" t="s">
        <v>62</v>
      </c>
      <c r="O45" s="139">
        <v>1460</v>
      </c>
      <c r="P45" s="139"/>
      <c r="Q45" s="139"/>
      <c r="R45" s="129"/>
      <c r="S45" s="129"/>
      <c r="T45" s="129"/>
      <c r="U45" s="129"/>
      <c r="V45" s="129"/>
      <c r="W45" s="129"/>
      <c r="X45" s="129"/>
      <c r="Y45" s="129"/>
      <c r="Z45" s="129"/>
      <c r="AA45" s="129"/>
      <c r="AB45" s="129">
        <f>'комплекты фурнитуры'!$C$22</f>
        <v>340</v>
      </c>
      <c r="AC45" s="129"/>
      <c r="AD45" s="129"/>
      <c r="AE45" s="129"/>
      <c r="AF45" s="129">
        <f>'комплекты фурнитуры'!$C$78</f>
        <v>210</v>
      </c>
      <c r="AG45" s="129">
        <f>'комплекты фурнитуры'!$C$79</f>
        <v>20</v>
      </c>
      <c r="AH45" s="135">
        <f>SUM(Прайс[[#This Row],[КФ НСТ11]:[KFPr-SB-ZPG]])</f>
        <v>570</v>
      </c>
      <c r="AI45" s="135"/>
      <c r="AJ45" s="129"/>
      <c r="AK45" s="129"/>
      <c r="AL45" s="129"/>
      <c r="AM45" s="135">
        <f>'комплекты фурнитуры'!$C$68</f>
        <v>620</v>
      </c>
      <c r="AN45" s="135">
        <f>'комплекты фурнитуры'!$C$69</f>
        <v>130</v>
      </c>
      <c r="AO45" s="135"/>
      <c r="AP45" s="135"/>
      <c r="AQ45" s="135"/>
      <c r="AR45" s="135"/>
      <c r="AS45" s="135">
        <f>'комплекты фурнитуры'!$C$44</f>
        <v>1590</v>
      </c>
      <c r="AT45" s="135"/>
      <c r="AU45" s="135"/>
      <c r="AV45" s="135"/>
      <c r="AW45" s="135"/>
      <c r="AX45" s="135"/>
      <c r="AY45" s="135"/>
      <c r="AZ45" s="135"/>
      <c r="BA45" s="135"/>
      <c r="BB45" s="135"/>
      <c r="BC45" s="135"/>
      <c r="BD45" s="135"/>
      <c r="BE45" s="135"/>
      <c r="BF45" s="135"/>
      <c r="BG45" s="135"/>
      <c r="BH45" s="135"/>
      <c r="BI45" s="135"/>
      <c r="BJ45" s="135"/>
      <c r="BK45" s="135"/>
      <c r="BL45" s="135"/>
      <c r="BM45" s="135"/>
      <c r="BN45" s="135"/>
      <c r="BO45" s="135"/>
      <c r="BP45" s="136">
        <f>Прайс[[#This Row],[КФ петли SENS накл.110 гр. с крестообр. Планкой]]*2+Прайс[[#This Row],[KFS-SB-45 (посудосушители)]]</f>
        <v>2830</v>
      </c>
      <c r="BQ45" s="131">
        <f>Прайс[[#This Row],[KFP-SB-N110]]*2+Прайс[[#This Row],[KFS-SB-45 (посудосушители)]]</f>
        <v>1850</v>
      </c>
      <c r="BR45" s="131">
        <f>Прайс[[#This Row],[KFP-SB-N110]]*2+Прайс[[#This Row],[KFS-SB-45 (посудосушители)]]</f>
        <v>1850</v>
      </c>
      <c r="BS45" s="128">
        <v>450</v>
      </c>
      <c r="BT45" s="128">
        <v>720</v>
      </c>
      <c r="BU45" s="128">
        <f>IF(OR(Прайс[[#This Row],[Тип]]="Нижний",Прайс[[#This Row],[Тип]]="Пенал"),"560",IF(Прайс[[#This Row],[Тип]]="Верхний",315,0))</f>
        <v>315</v>
      </c>
      <c r="BV45" s="137">
        <v>1.095</v>
      </c>
      <c r="BW45" s="137">
        <v>1.0649999999999999</v>
      </c>
      <c r="BX45" s="131">
        <v>1.3</v>
      </c>
      <c r="BY45" s="128">
        <v>0</v>
      </c>
      <c r="BZ45" s="128">
        <v>2</v>
      </c>
      <c r="CA45" s="128" t="s">
        <v>71</v>
      </c>
      <c r="CB45" s="131" t="s">
        <v>487</v>
      </c>
      <c r="CC45" s="128">
        <v>1</v>
      </c>
      <c r="CD45" s="128" t="s">
        <v>71</v>
      </c>
      <c r="CE45" s="128">
        <v>1630</v>
      </c>
      <c r="CF45" s="128"/>
      <c r="CG45" s="128"/>
      <c r="CH45" s="128">
        <v>1</v>
      </c>
    </row>
    <row r="46" spans="1:90" s="130" customFormat="1" ht="15" customHeight="1" x14ac:dyDescent="0.25">
      <c r="A46" s="147" t="s">
        <v>408</v>
      </c>
      <c r="B46" s="129" t="s">
        <v>7</v>
      </c>
      <c r="C46" s="129" t="s">
        <v>811</v>
      </c>
      <c r="D46" s="129" t="s">
        <v>73</v>
      </c>
      <c r="E46" s="129" t="s">
        <v>10</v>
      </c>
      <c r="F46" s="129" t="s">
        <v>94</v>
      </c>
      <c r="G46" s="133">
        <v>601</v>
      </c>
      <c r="H46" s="133">
        <v>1250</v>
      </c>
      <c r="I46" s="133">
        <v>596</v>
      </c>
      <c r="J46" s="133">
        <v>596</v>
      </c>
      <c r="K46" s="133">
        <v>315</v>
      </c>
      <c r="L46" s="133">
        <v>360</v>
      </c>
      <c r="M46" s="129"/>
      <c r="N46" s="140" t="s">
        <v>62</v>
      </c>
      <c r="O46" s="139">
        <v>1460</v>
      </c>
      <c r="P46" s="139"/>
      <c r="Q46" s="139"/>
      <c r="R46" s="129"/>
      <c r="S46" s="129"/>
      <c r="T46" s="129"/>
      <c r="U46" s="129"/>
      <c r="V46" s="129"/>
      <c r="W46" s="129"/>
      <c r="X46" s="129"/>
      <c r="Y46" s="129"/>
      <c r="Z46" s="129"/>
      <c r="AA46" s="129"/>
      <c r="AB46" s="129">
        <f>'комплекты фурнитуры'!$C$22</f>
        <v>340</v>
      </c>
      <c r="AC46" s="129"/>
      <c r="AD46" s="129"/>
      <c r="AE46" s="129"/>
      <c r="AF46" s="129">
        <f>'комплекты фурнитуры'!$C$78</f>
        <v>210</v>
      </c>
      <c r="AG46" s="129">
        <f>'комплекты фурнитуры'!$C$79</f>
        <v>20</v>
      </c>
      <c r="AH46" s="135">
        <f>SUM(Прайс[[#This Row],[КФ НСТ11]:[KFPr-SB-ZPG]])</f>
        <v>570</v>
      </c>
      <c r="AI46" s="135"/>
      <c r="AJ46" s="129"/>
      <c r="AK46" s="129"/>
      <c r="AL46" s="129"/>
      <c r="AM46" s="135">
        <f>'комплекты фурнитуры'!$C$68</f>
        <v>620</v>
      </c>
      <c r="AN46" s="135">
        <f>'комплекты фурнитуры'!$C$69</f>
        <v>130</v>
      </c>
      <c r="AO46" s="135"/>
      <c r="AP46" s="135"/>
      <c r="AQ46" s="135"/>
      <c r="AR46" s="135"/>
      <c r="AS46" s="135"/>
      <c r="AT46" s="135">
        <f>'комплекты фурнитуры'!$C$41</f>
        <v>4920</v>
      </c>
      <c r="AU46" s="135"/>
      <c r="AV46" s="135"/>
      <c r="AW46" s="135"/>
      <c r="AX46" s="135"/>
      <c r="AY46" s="135"/>
      <c r="AZ46" s="135"/>
      <c r="BA46" s="135"/>
      <c r="BB46" s="135"/>
      <c r="BC46" s="135"/>
      <c r="BD46" s="135"/>
      <c r="BE46" s="135"/>
      <c r="BF46" s="135"/>
      <c r="BG46" s="135"/>
      <c r="BH46" s="135"/>
      <c r="BI46" s="135"/>
      <c r="BJ46" s="135"/>
      <c r="BK46" s="135"/>
      <c r="BL46" s="135"/>
      <c r="BM46" s="135"/>
      <c r="BN46" s="135"/>
      <c r="BO46" s="135"/>
      <c r="BP46" s="136">
        <f>Прайс[[#This Row],[КФ петли SENS накл.110 гр. с крестообр. Планкой]]*2+Прайс[[#This Row],[КФ Сушка AFF 600]]</f>
        <v>6160</v>
      </c>
      <c r="BQ46" s="131">
        <f>Прайс[[#This Row],[KFP-SB-N110]]*2+Прайс[[#This Row],[КФ Сушка AFF 600]]</f>
        <v>5180</v>
      </c>
      <c r="BR46" s="131">
        <f>Прайс[[#This Row],[KFP-SB-N110]]*2+Прайс[[#This Row],[КФ Сушка AFF 600]]</f>
        <v>5180</v>
      </c>
      <c r="BS46" s="128">
        <v>450</v>
      </c>
      <c r="BT46" s="128">
        <v>720</v>
      </c>
      <c r="BU46" s="128">
        <f>IF(OR(Прайс[[#This Row],[Тип]]="Нижний",Прайс[[#This Row],[Тип]]="Пенал"),"560",IF(Прайс[[#This Row],[Тип]]="Верхний",315,0))</f>
        <v>315</v>
      </c>
      <c r="BV46" s="137">
        <v>1.095</v>
      </c>
      <c r="BW46" s="137">
        <v>1.0649999999999999</v>
      </c>
      <c r="BX46" s="131">
        <v>1.3</v>
      </c>
      <c r="BY46" s="128">
        <v>0</v>
      </c>
      <c r="BZ46" s="128">
        <v>2</v>
      </c>
      <c r="CA46" s="128" t="s">
        <v>71</v>
      </c>
      <c r="CB46" s="131" t="s">
        <v>487</v>
      </c>
      <c r="CC46" s="128">
        <v>1</v>
      </c>
      <c r="CD46" s="128" t="s">
        <v>71</v>
      </c>
      <c r="CE46" s="128">
        <v>1630</v>
      </c>
      <c r="CF46" s="128"/>
      <c r="CG46" s="128"/>
      <c r="CH46" s="128">
        <v>1</v>
      </c>
      <c r="CJ46" s="130" t="s">
        <v>531</v>
      </c>
    </row>
    <row r="47" spans="1:90" s="130" customFormat="1" ht="15" customHeight="1" x14ac:dyDescent="0.25">
      <c r="A47" s="147" t="s">
        <v>409</v>
      </c>
      <c r="B47" s="129" t="s">
        <v>7</v>
      </c>
      <c r="C47" s="129" t="s">
        <v>812</v>
      </c>
      <c r="D47" s="129" t="s">
        <v>73</v>
      </c>
      <c r="E47" s="129" t="s">
        <v>10</v>
      </c>
      <c r="F47" s="129" t="s">
        <v>94</v>
      </c>
      <c r="G47" s="133">
        <v>601</v>
      </c>
      <c r="H47" s="133">
        <v>1250</v>
      </c>
      <c r="I47" s="133">
        <v>596</v>
      </c>
      <c r="J47" s="133">
        <v>596</v>
      </c>
      <c r="K47" s="133">
        <v>315</v>
      </c>
      <c r="L47" s="133">
        <v>360</v>
      </c>
      <c r="M47" s="129"/>
      <c r="N47" s="140" t="s">
        <v>61</v>
      </c>
      <c r="O47" s="139">
        <v>1460</v>
      </c>
      <c r="P47" s="139"/>
      <c r="Q47" s="139"/>
      <c r="R47" s="129"/>
      <c r="S47" s="129"/>
      <c r="T47" s="129"/>
      <c r="U47" s="129"/>
      <c r="V47" s="129"/>
      <c r="W47" s="129"/>
      <c r="X47" s="129"/>
      <c r="Y47" s="129"/>
      <c r="Z47" s="129"/>
      <c r="AA47" s="129"/>
      <c r="AB47" s="129">
        <f>'комплекты фурнитуры'!$C$22</f>
        <v>340</v>
      </c>
      <c r="AC47" s="129"/>
      <c r="AD47" s="129"/>
      <c r="AE47" s="129"/>
      <c r="AF47" s="129">
        <f>'комплекты фурнитуры'!$C$78</f>
        <v>210</v>
      </c>
      <c r="AG47" s="129">
        <f>'комплекты фурнитуры'!$C$79</f>
        <v>20</v>
      </c>
      <c r="AH47" s="135">
        <f>SUM(Прайс[[#This Row],[КФ НСТ11]:[KFPr-SB-ZPG]])</f>
        <v>570</v>
      </c>
      <c r="AI47" s="135"/>
      <c r="AJ47" s="129"/>
      <c r="AK47" s="129"/>
      <c r="AL47" s="129"/>
      <c r="AM47" s="135">
        <f>'комплекты фурнитуры'!$C$68</f>
        <v>620</v>
      </c>
      <c r="AN47" s="135">
        <f>'комплекты фурнитуры'!$C$69</f>
        <v>130</v>
      </c>
      <c r="AO47" s="135"/>
      <c r="AP47" s="135"/>
      <c r="AQ47" s="135"/>
      <c r="AR47" s="135"/>
      <c r="AS47" s="135"/>
      <c r="AT47" s="135">
        <f>'комплекты фурнитуры'!$C$41</f>
        <v>4920</v>
      </c>
      <c r="AU47" s="135"/>
      <c r="AV47" s="135"/>
      <c r="AW47" s="135"/>
      <c r="AX47" s="135"/>
      <c r="AY47" s="135"/>
      <c r="AZ47" s="135"/>
      <c r="BA47" s="135"/>
      <c r="BB47" s="135"/>
      <c r="BC47" s="135"/>
      <c r="BD47" s="135"/>
      <c r="BE47" s="135"/>
      <c r="BF47" s="135"/>
      <c r="BG47" s="135"/>
      <c r="BH47" s="135"/>
      <c r="BI47" s="135"/>
      <c r="BJ47" s="135"/>
      <c r="BK47" s="135"/>
      <c r="BL47" s="135"/>
      <c r="BM47" s="135"/>
      <c r="BN47" s="135"/>
      <c r="BO47" s="135"/>
      <c r="BP47" s="136">
        <f>Прайс[[#This Row],[КФ петли SENS накл.110 гр. с крестообр. Планкой]]*4+Прайс[[#This Row],[КФ Сушка AFF 600]]</f>
        <v>7400</v>
      </c>
      <c r="BQ47" s="131">
        <f>Прайс[[#This Row],[KFP-SB-N110]]*4+Прайс[[#This Row],[КФ Сушка AFF 600]]</f>
        <v>5440</v>
      </c>
      <c r="BR47" s="131">
        <f>Прайс[[#This Row],[KFP-SB-N110]]*4+Прайс[[#This Row],[КФ Сушка AFF 600]]</f>
        <v>5440</v>
      </c>
      <c r="BS47" s="128">
        <v>450</v>
      </c>
      <c r="BT47" s="128">
        <v>720</v>
      </c>
      <c r="BU47" s="128">
        <f>IF(OR(Прайс[[#This Row],[Тип]]="Нижний",Прайс[[#This Row],[Тип]]="Пенал"),"560",IF(Прайс[[#This Row],[Тип]]="Верхний",315,0))</f>
        <v>315</v>
      </c>
      <c r="BV47" s="137">
        <v>1.095</v>
      </c>
      <c r="BW47" s="137">
        <v>1.0649999999999999</v>
      </c>
      <c r="BX47" s="131">
        <v>1.3</v>
      </c>
      <c r="BY47" s="128">
        <v>0</v>
      </c>
      <c r="BZ47" s="128">
        <v>2</v>
      </c>
      <c r="CA47" s="128" t="s">
        <v>10</v>
      </c>
      <c r="CB47" s="131" t="s">
        <v>489</v>
      </c>
      <c r="CC47" s="128">
        <v>1</v>
      </c>
      <c r="CD47" s="128" t="s">
        <v>71</v>
      </c>
      <c r="CE47" s="128">
        <v>1630</v>
      </c>
      <c r="CF47" s="128"/>
      <c r="CG47" s="128"/>
      <c r="CH47" s="128">
        <v>2</v>
      </c>
      <c r="CJ47" s="130" t="s">
        <v>564</v>
      </c>
    </row>
    <row r="48" spans="1:90" s="130" customFormat="1" ht="15" customHeight="1" x14ac:dyDescent="0.25">
      <c r="A48" s="147" t="s">
        <v>410</v>
      </c>
      <c r="B48" s="129" t="s">
        <v>7</v>
      </c>
      <c r="C48" s="129" t="s">
        <v>813</v>
      </c>
      <c r="D48" s="129" t="s">
        <v>73</v>
      </c>
      <c r="E48" s="129" t="s">
        <v>10</v>
      </c>
      <c r="F48" s="129" t="s">
        <v>94</v>
      </c>
      <c r="G48" s="133">
        <v>601</v>
      </c>
      <c r="H48" s="133">
        <v>1250</v>
      </c>
      <c r="I48" s="133">
        <v>796</v>
      </c>
      <c r="J48" s="133">
        <v>796</v>
      </c>
      <c r="K48" s="133">
        <v>315</v>
      </c>
      <c r="L48" s="133">
        <v>360</v>
      </c>
      <c r="M48" s="129"/>
      <c r="N48" s="140" t="s">
        <v>61</v>
      </c>
      <c r="O48" s="139">
        <v>1460</v>
      </c>
      <c r="P48" s="139"/>
      <c r="Q48" s="139"/>
      <c r="R48" s="129"/>
      <c r="S48" s="129"/>
      <c r="T48" s="129"/>
      <c r="U48" s="129"/>
      <c r="V48" s="129"/>
      <c r="W48" s="129"/>
      <c r="X48" s="129"/>
      <c r="Y48" s="129"/>
      <c r="Z48" s="129"/>
      <c r="AA48" s="129"/>
      <c r="AB48" s="129">
        <f>'комплекты фурнитуры'!$C$22</f>
        <v>340</v>
      </c>
      <c r="AC48" s="129"/>
      <c r="AD48" s="129"/>
      <c r="AE48" s="129"/>
      <c r="AF48" s="129">
        <f>'комплекты фурнитуры'!$C$78</f>
        <v>210</v>
      </c>
      <c r="AG48" s="129">
        <f>'комплекты фурнитуры'!$C$79</f>
        <v>20</v>
      </c>
      <c r="AH48" s="135">
        <f>SUM(Прайс[[#This Row],[КФ НСТ11]:[KFPr-SB-ZPG]])</f>
        <v>570</v>
      </c>
      <c r="AI48" s="135"/>
      <c r="AJ48" s="129"/>
      <c r="AK48" s="129"/>
      <c r="AL48" s="129"/>
      <c r="AM48" s="135">
        <f>'комплекты фурнитуры'!$C$68</f>
        <v>620</v>
      </c>
      <c r="AN48" s="135">
        <f>'комплекты фурнитуры'!$C$69</f>
        <v>130</v>
      </c>
      <c r="AO48" s="135"/>
      <c r="AP48" s="135"/>
      <c r="AQ48" s="135"/>
      <c r="AR48" s="135"/>
      <c r="AS48" s="135"/>
      <c r="AT48" s="135"/>
      <c r="AU48" s="135">
        <f>'комплекты фурнитуры'!$C$42</f>
        <v>5530</v>
      </c>
      <c r="AV48" s="135"/>
      <c r="AW48" s="135"/>
      <c r="AX48" s="135"/>
      <c r="AY48" s="135"/>
      <c r="AZ48" s="135"/>
      <c r="BA48" s="135"/>
      <c r="BB48" s="135"/>
      <c r="BC48" s="135"/>
      <c r="BD48" s="135"/>
      <c r="BE48" s="135"/>
      <c r="BF48" s="135"/>
      <c r="BG48" s="135"/>
      <c r="BH48" s="135"/>
      <c r="BI48" s="135"/>
      <c r="BJ48" s="135"/>
      <c r="BK48" s="135"/>
      <c r="BL48" s="135"/>
      <c r="BM48" s="135"/>
      <c r="BN48" s="135"/>
      <c r="BO48" s="135"/>
      <c r="BP48" s="136">
        <f>Прайс[[#This Row],[КФ петли SENS накл.110 гр. с крестообр. Планкой]]*4+Прайс[[#This Row],[КФ Сушка AFF 800]]</f>
        <v>8010</v>
      </c>
      <c r="BQ48" s="131">
        <f>Прайс[[#This Row],[KFP-SB-N110]]*4+Прайс[[#This Row],[КФ Сушка AFF 800]]</f>
        <v>6050</v>
      </c>
      <c r="BR48" s="131">
        <f>Прайс[[#This Row],[KFP-SB-N110]]*4+Прайс[[#This Row],[КФ Сушка AFF 800]]</f>
        <v>6050</v>
      </c>
      <c r="BS48" s="128">
        <v>450</v>
      </c>
      <c r="BT48" s="128">
        <v>720</v>
      </c>
      <c r="BU48" s="128">
        <f>IF(OR(Прайс[[#This Row],[Тип]]="Нижний",Прайс[[#This Row],[Тип]]="Пенал"),"560",IF(Прайс[[#This Row],[Тип]]="Верхний",315,0))</f>
        <v>315</v>
      </c>
      <c r="BV48" s="137">
        <v>1.095</v>
      </c>
      <c r="BW48" s="137">
        <v>1.0649999999999999</v>
      </c>
      <c r="BX48" s="131">
        <v>1.3</v>
      </c>
      <c r="BY48" s="128">
        <v>0</v>
      </c>
      <c r="BZ48" s="128">
        <v>2</v>
      </c>
      <c r="CA48" s="128" t="s">
        <v>10</v>
      </c>
      <c r="CB48" s="131" t="s">
        <v>489</v>
      </c>
      <c r="CC48" s="128">
        <v>1</v>
      </c>
      <c r="CD48" s="128" t="s">
        <v>71</v>
      </c>
      <c r="CE48" s="128">
        <v>1630</v>
      </c>
      <c r="CF48" s="128"/>
      <c r="CG48" s="128"/>
      <c r="CH48" s="128">
        <v>2</v>
      </c>
      <c r="CJ48" s="130" t="s">
        <v>564</v>
      </c>
      <c r="CL48" s="130" t="s">
        <v>533</v>
      </c>
    </row>
    <row r="49" spans="1:90" s="130" customFormat="1" ht="15" customHeight="1" x14ac:dyDescent="0.25">
      <c r="A49" s="147" t="s">
        <v>411</v>
      </c>
      <c r="B49" s="129" t="s">
        <v>7</v>
      </c>
      <c r="C49" s="129" t="s">
        <v>814</v>
      </c>
      <c r="D49" s="129" t="s">
        <v>73</v>
      </c>
      <c r="E49" s="129" t="s">
        <v>10</v>
      </c>
      <c r="F49" s="129" t="s">
        <v>94</v>
      </c>
      <c r="G49" s="133">
        <v>601</v>
      </c>
      <c r="H49" s="133">
        <v>1250</v>
      </c>
      <c r="I49" s="133">
        <v>896</v>
      </c>
      <c r="J49" s="133">
        <v>896</v>
      </c>
      <c r="K49" s="133">
        <v>315</v>
      </c>
      <c r="L49" s="133">
        <v>360</v>
      </c>
      <c r="M49" s="129"/>
      <c r="N49" s="140" t="s">
        <v>61</v>
      </c>
      <c r="O49" s="139">
        <v>1460</v>
      </c>
      <c r="P49" s="139"/>
      <c r="Q49" s="139"/>
      <c r="R49" s="129"/>
      <c r="S49" s="129"/>
      <c r="T49" s="129"/>
      <c r="U49" s="129"/>
      <c r="V49" s="129"/>
      <c r="W49" s="129"/>
      <c r="X49" s="129"/>
      <c r="Y49" s="129"/>
      <c r="Z49" s="129"/>
      <c r="AA49" s="129"/>
      <c r="AB49" s="129">
        <f>'комплекты фурнитуры'!$C$22</f>
        <v>340</v>
      </c>
      <c r="AC49" s="129"/>
      <c r="AD49" s="129"/>
      <c r="AE49" s="129"/>
      <c r="AF49" s="129">
        <f>'комплекты фурнитуры'!$C$78</f>
        <v>210</v>
      </c>
      <c r="AG49" s="129">
        <f>'комплекты фурнитуры'!$C$79</f>
        <v>20</v>
      </c>
      <c r="AH49" s="135">
        <f>SUM(Прайс[[#This Row],[КФ НСТ11]:[KFPr-SB-ZPG]])</f>
        <v>570</v>
      </c>
      <c r="AI49" s="135"/>
      <c r="AJ49" s="129"/>
      <c r="AK49" s="129"/>
      <c r="AL49" s="129"/>
      <c r="AM49" s="135">
        <f>'комплекты фурнитуры'!$C$68</f>
        <v>620</v>
      </c>
      <c r="AN49" s="135">
        <f>'комплекты фурнитуры'!$C$69</f>
        <v>130</v>
      </c>
      <c r="AO49" s="135"/>
      <c r="AP49" s="135"/>
      <c r="AQ49" s="135"/>
      <c r="AR49" s="135"/>
      <c r="AS49" s="135"/>
      <c r="AT49" s="135"/>
      <c r="AU49" s="135"/>
      <c r="AV49" s="135">
        <f>'комплекты фурнитуры'!$C$43</f>
        <v>6130</v>
      </c>
      <c r="AW49" s="135"/>
      <c r="AX49" s="135"/>
      <c r="AY49" s="135"/>
      <c r="AZ49" s="135"/>
      <c r="BA49" s="135"/>
      <c r="BB49" s="135"/>
      <c r="BC49" s="135"/>
      <c r="BD49" s="135"/>
      <c r="BE49" s="135"/>
      <c r="BF49" s="135"/>
      <c r="BG49" s="135"/>
      <c r="BH49" s="135"/>
      <c r="BI49" s="135"/>
      <c r="BJ49" s="135"/>
      <c r="BK49" s="135"/>
      <c r="BL49" s="135"/>
      <c r="BM49" s="135"/>
      <c r="BN49" s="135"/>
      <c r="BO49" s="135"/>
      <c r="BP49" s="136">
        <f>Прайс[[#This Row],[КФ петли SENS накл.110 гр. с крестообр. Планкой]]*4+Прайс[[#This Row],[КФ Сушка AFF 900]]</f>
        <v>8610</v>
      </c>
      <c r="BQ49" s="131">
        <f>Прайс[[#This Row],[KFP-SB-N110]]*4+Прайс[[#This Row],[КФ Сушка AFF 900]]</f>
        <v>6650</v>
      </c>
      <c r="BR49" s="131">
        <f>Прайс[[#This Row],[KFP-SB-N110]]*4+Прайс[[#This Row],[КФ Сушка AFF 900]]</f>
        <v>6650</v>
      </c>
      <c r="BS49" s="128">
        <v>450</v>
      </c>
      <c r="BT49" s="128">
        <v>720</v>
      </c>
      <c r="BU49" s="128">
        <f>IF(OR(Прайс[[#This Row],[Тип]]="Нижний",Прайс[[#This Row],[Тип]]="Пенал"),"560",IF(Прайс[[#This Row],[Тип]]="Верхний",315,0))</f>
        <v>315</v>
      </c>
      <c r="BV49" s="137">
        <v>1.095</v>
      </c>
      <c r="BW49" s="137">
        <v>1.0649999999999999</v>
      </c>
      <c r="BX49" s="131">
        <v>1.3</v>
      </c>
      <c r="BY49" s="128">
        <v>0</v>
      </c>
      <c r="BZ49" s="128">
        <v>2</v>
      </c>
      <c r="CA49" s="128" t="s">
        <v>10</v>
      </c>
      <c r="CB49" s="131" t="s">
        <v>489</v>
      </c>
      <c r="CC49" s="128">
        <v>1</v>
      </c>
      <c r="CD49" s="128" t="s">
        <v>71</v>
      </c>
      <c r="CE49" s="128">
        <v>1630</v>
      </c>
      <c r="CF49" s="128"/>
      <c r="CG49" s="128"/>
      <c r="CH49" s="128">
        <v>2</v>
      </c>
      <c r="CJ49" s="130" t="s">
        <v>564</v>
      </c>
    </row>
    <row r="50" spans="1:90" s="130" customFormat="1" ht="15" customHeight="1" x14ac:dyDescent="0.25">
      <c r="A50" s="147" t="s">
        <v>412</v>
      </c>
      <c r="B50" s="129" t="s">
        <v>7</v>
      </c>
      <c r="C50" s="129" t="s">
        <v>815</v>
      </c>
      <c r="D50" s="129" t="s">
        <v>73</v>
      </c>
      <c r="E50" s="129" t="s">
        <v>10</v>
      </c>
      <c r="F50" s="129" t="s">
        <v>94</v>
      </c>
      <c r="G50" s="133">
        <v>720</v>
      </c>
      <c r="H50" s="133">
        <v>720</v>
      </c>
      <c r="I50" s="133">
        <v>450</v>
      </c>
      <c r="J50" s="133">
        <v>450</v>
      </c>
      <c r="K50" s="133">
        <v>315</v>
      </c>
      <c r="L50" s="133">
        <v>315</v>
      </c>
      <c r="M50" s="129"/>
      <c r="N50" s="140"/>
      <c r="O50" s="139">
        <v>1460</v>
      </c>
      <c r="P50" s="139"/>
      <c r="Q50" s="139"/>
      <c r="R50" s="129"/>
      <c r="S50" s="129"/>
      <c r="T50" s="129"/>
      <c r="U50" s="129"/>
      <c r="V50" s="129"/>
      <c r="W50" s="129"/>
      <c r="X50" s="129"/>
      <c r="Y50" s="129"/>
      <c r="Z50" s="129"/>
      <c r="AA50" s="129"/>
      <c r="AB50" s="129">
        <f>'комплекты фурнитуры'!$C$22</f>
        <v>340</v>
      </c>
      <c r="AC50" s="129"/>
      <c r="AD50" s="129"/>
      <c r="AE50" s="129"/>
      <c r="AF50" s="129">
        <f>'комплекты фурнитуры'!$C$78</f>
        <v>210</v>
      </c>
      <c r="AG50" s="129">
        <f>'комплекты фурнитуры'!$C$79</f>
        <v>20</v>
      </c>
      <c r="AH50" s="135">
        <f>SUM(Прайс[[#This Row],[КФ НСТ11]:[KFPr-SB-ZPG]])</f>
        <v>570</v>
      </c>
      <c r="AI50" s="135"/>
      <c r="AJ50" s="129"/>
      <c r="AK50" s="129"/>
      <c r="AL50" s="129"/>
      <c r="AM50" s="135"/>
      <c r="AN50" s="135"/>
      <c r="AO50" s="135"/>
      <c r="AP50" s="135"/>
      <c r="AQ50" s="135"/>
      <c r="AR50" s="135"/>
      <c r="AS50" s="135">
        <f>'комплекты фурнитуры'!$C$44</f>
        <v>1590</v>
      </c>
      <c r="AT50" s="135"/>
      <c r="AU50" s="135"/>
      <c r="AV50" s="135"/>
      <c r="AW50" s="135"/>
      <c r="AX50" s="135"/>
      <c r="AY50" s="135"/>
      <c r="AZ50" s="135">
        <f>'комплекты фурнитуры'!$C$75</f>
        <v>13990</v>
      </c>
      <c r="BA50" s="135"/>
      <c r="BB50" s="135"/>
      <c r="BC50" s="135"/>
      <c r="BD50" s="135"/>
      <c r="BE50" s="135"/>
      <c r="BF50" s="135"/>
      <c r="BG50" s="135"/>
      <c r="BH50" s="135"/>
      <c r="BI50" s="135"/>
      <c r="BJ50" s="135"/>
      <c r="BK50" s="135"/>
      <c r="BL50" s="135"/>
      <c r="BM50" s="135"/>
      <c r="BN50" s="135"/>
      <c r="BO50" s="135"/>
      <c r="BP50" s="136">
        <f>Прайс[[#This Row],[KFS-SB-45 (посудосушители)]]+Прайс[[#This Row],[KFP-SB-PPHF_W]]</f>
        <v>15580</v>
      </c>
      <c r="BQ50" s="136">
        <f>Прайс[[#This Row],[KFS-SB-45 (посудосушители)]]+Прайс[[#This Row],[KFP-SB-PPHF_W]]</f>
        <v>15580</v>
      </c>
      <c r="BR50" s="136">
        <f>Прайс[[#This Row],[KFS-SB-45 (посудосушители)]]+Прайс[[#This Row],[KFP-SB-PPHF_W]]</f>
        <v>15580</v>
      </c>
      <c r="BS50" s="128">
        <v>450</v>
      </c>
      <c r="BT50" s="128">
        <v>720</v>
      </c>
      <c r="BU50" s="128">
        <f>IF(OR(Прайс[[#This Row],[Тип]]="Нижний",Прайс[[#This Row],[Тип]]="Пенал"),"560",IF(Прайс[[#This Row],[Тип]]="Верхний",315,0))</f>
        <v>315</v>
      </c>
      <c r="BV50" s="137">
        <v>1.08</v>
      </c>
      <c r="BW50" s="137">
        <v>1.0649999999999999</v>
      </c>
      <c r="BX50" s="131">
        <v>1.3</v>
      </c>
      <c r="BY50" s="128">
        <v>0</v>
      </c>
      <c r="BZ50" s="128">
        <v>0</v>
      </c>
      <c r="CA50" s="128" t="s">
        <v>10</v>
      </c>
      <c r="CB50" s="131" t="s">
        <v>488</v>
      </c>
      <c r="CC50" s="128">
        <v>0</v>
      </c>
      <c r="CD50" s="128" t="s">
        <v>10</v>
      </c>
      <c r="CE50" s="128">
        <v>1630</v>
      </c>
      <c r="CF50" s="128"/>
      <c r="CG50" s="128"/>
      <c r="CH50" s="128">
        <v>2</v>
      </c>
      <c r="CJ50" s="130" t="s">
        <v>564</v>
      </c>
    </row>
    <row r="51" spans="1:90" s="130" customFormat="1" ht="15" customHeight="1" x14ac:dyDescent="0.25">
      <c r="A51" s="149" t="s">
        <v>413</v>
      </c>
      <c r="B51" s="129" t="s">
        <v>7</v>
      </c>
      <c r="C51" s="129" t="s">
        <v>816</v>
      </c>
      <c r="D51" s="129" t="s">
        <v>73</v>
      </c>
      <c r="E51" s="129" t="s">
        <v>10</v>
      </c>
      <c r="F51" s="129" t="s">
        <v>94</v>
      </c>
      <c r="G51" s="133">
        <v>240</v>
      </c>
      <c r="H51" s="133">
        <v>600</v>
      </c>
      <c r="I51" s="133">
        <v>450</v>
      </c>
      <c r="J51" s="133">
        <v>450</v>
      </c>
      <c r="K51" s="133">
        <v>315</v>
      </c>
      <c r="L51" s="133">
        <v>360</v>
      </c>
      <c r="M51" s="129"/>
      <c r="N51" s="140" t="s">
        <v>63</v>
      </c>
      <c r="O51" s="139">
        <v>1510</v>
      </c>
      <c r="P51" s="139"/>
      <c r="Q51" s="139"/>
      <c r="R51" s="129"/>
      <c r="S51" s="129"/>
      <c r="T51" s="129"/>
      <c r="U51" s="129"/>
      <c r="V51" s="129"/>
      <c r="W51" s="129"/>
      <c r="X51" s="129"/>
      <c r="Y51" s="129"/>
      <c r="Z51" s="129"/>
      <c r="AA51" s="129"/>
      <c r="AB51" s="129">
        <f>'комплекты фурнитуры'!$C$22</f>
        <v>340</v>
      </c>
      <c r="AC51" s="129"/>
      <c r="AD51" s="129"/>
      <c r="AE51" s="129"/>
      <c r="AF51" s="129">
        <f>'комплекты фурнитуры'!$C$78</f>
        <v>210</v>
      </c>
      <c r="AG51" s="129">
        <f>'комплекты фурнитуры'!$C$79</f>
        <v>20</v>
      </c>
      <c r="AH51" s="135">
        <f>SUM(Прайс[[#This Row],[КФ НСТ11]:[KFPr-SB-ZPG]])</f>
        <v>570</v>
      </c>
      <c r="AI51" s="135"/>
      <c r="AJ51" s="129"/>
      <c r="AK51" s="129"/>
      <c r="AL51" s="129"/>
      <c r="AM51" s="135"/>
      <c r="AN51" s="135"/>
      <c r="AO51" s="135"/>
      <c r="AP51" s="135"/>
      <c r="AQ51" s="135"/>
      <c r="AR51" s="135"/>
      <c r="AS51" s="135">
        <f>'комплекты фурнитуры'!D52</f>
        <v>1000</v>
      </c>
      <c r="AT51" s="135"/>
      <c r="AU51" s="135"/>
      <c r="AV51" s="135"/>
      <c r="AW51" s="135">
        <f>'комплекты фурнитуры'!$C$73</f>
        <v>6080</v>
      </c>
      <c r="AX51" s="135">
        <f>'комплекты фурнитуры'!$C$74</f>
        <v>6940</v>
      </c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J51" s="135"/>
      <c r="BK51" s="135"/>
      <c r="BL51" s="135"/>
      <c r="BM51" s="135"/>
      <c r="BN51" s="135"/>
      <c r="BO51" s="135"/>
      <c r="BP51" s="136">
        <f>Прайс[[#This Row],[KFP-SP-PPGK]]+Прайс[[#This Row],[KFS-SB-45 (посудосушители)]]</f>
        <v>7080</v>
      </c>
      <c r="BQ51" s="136">
        <f>Прайс[[#This Row],[KFP-SP-PPGK]]+Прайс[[#This Row],[KFS-SB-45 (посудосушители)]]</f>
        <v>7080</v>
      </c>
      <c r="BR51" s="136">
        <f>Прайс[[#This Row],[KFP-SP-PPGK]]+Прайс[[#This Row],[KFS-SB-45 (посудосушители)]]</f>
        <v>7080</v>
      </c>
      <c r="BS51" s="128">
        <v>300</v>
      </c>
      <c r="BT51" s="128">
        <v>720</v>
      </c>
      <c r="BU51" s="128">
        <f>IF(OR(Прайс[[#This Row],[Тип]]="Нижний",Прайс[[#This Row],[Тип]]="Пенал"),"560",IF(Прайс[[#This Row],[Тип]]="Верхний",315,0))</f>
        <v>315</v>
      </c>
      <c r="BV51" s="137">
        <v>1.08</v>
      </c>
      <c r="BW51" s="137">
        <v>1.0649999999999999</v>
      </c>
      <c r="BX51" s="131">
        <v>1.3</v>
      </c>
      <c r="BY51" s="128">
        <v>0</v>
      </c>
      <c r="BZ51" s="128">
        <v>0</v>
      </c>
      <c r="CA51" s="128" t="s">
        <v>10</v>
      </c>
      <c r="CB51" s="131" t="s">
        <v>488</v>
      </c>
      <c r="CC51" s="128">
        <v>0</v>
      </c>
      <c r="CD51" s="128" t="s">
        <v>10</v>
      </c>
      <c r="CE51" s="128">
        <v>1690</v>
      </c>
      <c r="CF51" s="128"/>
      <c r="CG51" s="128"/>
      <c r="CH51" s="128">
        <v>1</v>
      </c>
      <c r="CJ51" s="130" t="s">
        <v>564</v>
      </c>
    </row>
    <row r="52" spans="1:90" s="130" customFormat="1" ht="15" customHeight="1" x14ac:dyDescent="0.25">
      <c r="A52" s="149" t="s">
        <v>414</v>
      </c>
      <c r="B52" s="129" t="s">
        <v>7</v>
      </c>
      <c r="C52" s="129" t="s">
        <v>817</v>
      </c>
      <c r="D52" s="129" t="s">
        <v>73</v>
      </c>
      <c r="E52" s="129" t="s">
        <v>10</v>
      </c>
      <c r="F52" s="129" t="s">
        <v>94</v>
      </c>
      <c r="G52" s="133">
        <v>240</v>
      </c>
      <c r="H52" s="133">
        <v>600</v>
      </c>
      <c r="I52" s="133">
        <v>596</v>
      </c>
      <c r="J52" s="133">
        <v>596</v>
      </c>
      <c r="K52" s="133">
        <v>315</v>
      </c>
      <c r="L52" s="133">
        <v>360</v>
      </c>
      <c r="M52" s="129"/>
      <c r="N52" s="140" t="s">
        <v>63</v>
      </c>
      <c r="O52" s="139">
        <v>1510</v>
      </c>
      <c r="P52" s="139"/>
      <c r="Q52" s="139"/>
      <c r="R52" s="129"/>
      <c r="S52" s="129"/>
      <c r="T52" s="129"/>
      <c r="U52" s="129"/>
      <c r="V52" s="129"/>
      <c r="W52" s="129"/>
      <c r="X52" s="129"/>
      <c r="Y52" s="129"/>
      <c r="Z52" s="129"/>
      <c r="AA52" s="129"/>
      <c r="AB52" s="129">
        <f>'комплекты фурнитуры'!$C$22</f>
        <v>340</v>
      </c>
      <c r="AC52" s="129"/>
      <c r="AD52" s="129"/>
      <c r="AE52" s="129"/>
      <c r="AF52" s="129">
        <f>'комплекты фурнитуры'!$C$78</f>
        <v>210</v>
      </c>
      <c r="AG52" s="129">
        <f>'комплекты фурнитуры'!$C$79</f>
        <v>20</v>
      </c>
      <c r="AH52" s="135">
        <f>SUM(Прайс[[#This Row],[КФ НСТ11]:[KFPr-SB-ZPG]])</f>
        <v>570</v>
      </c>
      <c r="AI52" s="135"/>
      <c r="AJ52" s="129"/>
      <c r="AK52" s="129"/>
      <c r="AL52" s="129"/>
      <c r="AM52" s="135"/>
      <c r="AN52" s="135"/>
      <c r="AO52" s="135"/>
      <c r="AP52" s="135"/>
      <c r="AQ52" s="135"/>
      <c r="AR52" s="135"/>
      <c r="AS52" s="135"/>
      <c r="AT52" s="135">
        <f>'комплекты фурнитуры'!D53</f>
        <v>1000</v>
      </c>
      <c r="AU52" s="135"/>
      <c r="AV52" s="135"/>
      <c r="AW52" s="135">
        <f>'комплекты фурнитуры'!$C$73</f>
        <v>6080</v>
      </c>
      <c r="AX52" s="135">
        <f>'комплекты фурнитуры'!$C$74</f>
        <v>6940</v>
      </c>
      <c r="AY52" s="135"/>
      <c r="AZ52" s="135"/>
      <c r="BA52" s="135"/>
      <c r="BB52" s="135"/>
      <c r="BC52" s="135"/>
      <c r="BD52" s="135"/>
      <c r="BE52" s="135"/>
      <c r="BF52" s="135"/>
      <c r="BG52" s="135"/>
      <c r="BH52" s="135"/>
      <c r="BI52" s="135"/>
      <c r="BJ52" s="135"/>
      <c r="BK52" s="135"/>
      <c r="BL52" s="135"/>
      <c r="BM52" s="135"/>
      <c r="BN52" s="135"/>
      <c r="BO52" s="135"/>
      <c r="BP52" s="136">
        <f>Прайс[[#This Row],[KFP-SP-PPGK]]+Прайс[[#This Row],[КФ Сушка AFF 600]]</f>
        <v>7080</v>
      </c>
      <c r="BQ52" s="136">
        <f>Прайс[[#This Row],[KFP-SP-PPGK]]+Прайс[[#This Row],[КФ Сушка AFF 600]]</f>
        <v>7080</v>
      </c>
      <c r="BR52" s="136">
        <f>Прайс[[#This Row],[KFP-SP-PPGK]]+Прайс[[#This Row],[КФ Сушка AFF 600]]</f>
        <v>7080</v>
      </c>
      <c r="BS52" s="128">
        <v>300</v>
      </c>
      <c r="BT52" s="128">
        <v>720</v>
      </c>
      <c r="BU52" s="128">
        <f>IF(OR(Прайс[[#This Row],[Тип]]="Нижний",Прайс[[#This Row],[Тип]]="Пенал"),"560",IF(Прайс[[#This Row],[Тип]]="Верхний",315,0))</f>
        <v>315</v>
      </c>
      <c r="BV52" s="137">
        <v>1.08</v>
      </c>
      <c r="BW52" s="137">
        <v>1.0649999999999999</v>
      </c>
      <c r="BX52" s="131">
        <v>1.3</v>
      </c>
      <c r="BY52" s="128">
        <v>0</v>
      </c>
      <c r="BZ52" s="128">
        <v>0</v>
      </c>
      <c r="CA52" s="128" t="s">
        <v>10</v>
      </c>
      <c r="CB52" s="131" t="s">
        <v>488</v>
      </c>
      <c r="CC52" s="128">
        <v>0</v>
      </c>
      <c r="CD52" s="128" t="s">
        <v>10</v>
      </c>
      <c r="CE52" s="128">
        <v>1690</v>
      </c>
      <c r="CF52" s="128"/>
      <c r="CG52" s="128"/>
      <c r="CH52" s="128">
        <v>1</v>
      </c>
    </row>
    <row r="53" spans="1:90" s="130" customFormat="1" ht="15" customHeight="1" x14ac:dyDescent="0.25">
      <c r="A53" s="149" t="s">
        <v>523</v>
      </c>
      <c r="B53" s="129" t="s">
        <v>7</v>
      </c>
      <c r="C53" s="129" t="s">
        <v>818</v>
      </c>
      <c r="D53" s="129" t="s">
        <v>73</v>
      </c>
      <c r="E53" s="129" t="s">
        <v>10</v>
      </c>
      <c r="F53" s="129" t="s">
        <v>94</v>
      </c>
      <c r="G53" s="133">
        <v>240</v>
      </c>
      <c r="H53" s="133">
        <v>600</v>
      </c>
      <c r="I53" s="133">
        <v>896</v>
      </c>
      <c r="J53" s="133">
        <v>896</v>
      </c>
      <c r="K53" s="133">
        <v>315</v>
      </c>
      <c r="L53" s="133">
        <v>360</v>
      </c>
      <c r="M53" s="129"/>
      <c r="N53" s="140" t="s">
        <v>63</v>
      </c>
      <c r="O53" s="139">
        <v>1510</v>
      </c>
      <c r="P53" s="139"/>
      <c r="Q53" s="13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>
        <f>'комплекты фурнитуры'!$C$22</f>
        <v>340</v>
      </c>
      <c r="AC53" s="129"/>
      <c r="AD53" s="129"/>
      <c r="AE53" s="129"/>
      <c r="AF53" s="129">
        <f>'комплекты фурнитуры'!$C$78</f>
        <v>210</v>
      </c>
      <c r="AG53" s="129">
        <f>'комплекты фурнитуры'!$C$79</f>
        <v>20</v>
      </c>
      <c r="AH53" s="135">
        <f>SUM(Прайс[[#This Row],[КФ НСТ11]:[KFPr-SB-ZPG]])</f>
        <v>570</v>
      </c>
      <c r="AI53" s="135"/>
      <c r="AJ53" s="129"/>
      <c r="AK53" s="129"/>
      <c r="AL53" s="129"/>
      <c r="AM53" s="135"/>
      <c r="AN53" s="135"/>
      <c r="AO53" s="135"/>
      <c r="AP53" s="135"/>
      <c r="AQ53" s="135"/>
      <c r="AR53" s="135"/>
      <c r="AS53" s="135"/>
      <c r="AT53" s="135">
        <f>'комплекты фурнитуры'!D54</f>
        <v>1000</v>
      </c>
      <c r="AU53" s="135"/>
      <c r="AV53" s="135"/>
      <c r="AW53" s="135">
        <f>'комплекты фурнитуры'!$C$73</f>
        <v>6080</v>
      </c>
      <c r="AX53" s="135">
        <f>'комплекты фурнитуры'!$C$74</f>
        <v>6940</v>
      </c>
      <c r="AY53" s="135"/>
      <c r="AZ53" s="135"/>
      <c r="BA53" s="135"/>
      <c r="BB53" s="135"/>
      <c r="BC53" s="135"/>
      <c r="BD53" s="135"/>
      <c r="BE53" s="135"/>
      <c r="BF53" s="135"/>
      <c r="BG53" s="135"/>
      <c r="BH53" s="135"/>
      <c r="BI53" s="135"/>
      <c r="BJ53" s="135"/>
      <c r="BK53" s="135"/>
      <c r="BL53" s="135"/>
      <c r="BM53" s="135"/>
      <c r="BN53" s="135"/>
      <c r="BO53" s="135"/>
      <c r="BP53" s="136">
        <f>Прайс[[#This Row],[KFP-SP-PPGK]]+Прайс[[#This Row],[КФ Сушка AFF 600]]</f>
        <v>7080</v>
      </c>
      <c r="BQ53" s="136">
        <f>Прайс[[#This Row],[KFP-SP-PPGK]]+Прайс[[#This Row],[КФ Сушка AFF 600]]</f>
        <v>7080</v>
      </c>
      <c r="BR53" s="136">
        <f>Прайс[[#This Row],[KFP-SP-PPGK]]+Прайс[[#This Row],[КФ Сушка AFF 600]]</f>
        <v>7080</v>
      </c>
      <c r="BS53" s="128">
        <v>300</v>
      </c>
      <c r="BT53" s="128">
        <v>720</v>
      </c>
      <c r="BU53" s="128">
        <f>IF(OR(Прайс[[#This Row],[Тип]]="Нижний",Прайс[[#This Row],[Тип]]="Пенал"),"560",IF(Прайс[[#This Row],[Тип]]="Верхний",315,0))</f>
        <v>315</v>
      </c>
      <c r="BV53" s="137">
        <v>1.08</v>
      </c>
      <c r="BW53" s="137">
        <v>1.0649999999999999</v>
      </c>
      <c r="BX53" s="131">
        <v>1.3</v>
      </c>
      <c r="BY53" s="128">
        <v>0</v>
      </c>
      <c r="BZ53" s="128">
        <v>0</v>
      </c>
      <c r="CA53" s="128" t="s">
        <v>10</v>
      </c>
      <c r="CB53" s="131" t="s">
        <v>488</v>
      </c>
      <c r="CC53" s="128">
        <v>0</v>
      </c>
      <c r="CD53" s="128" t="s">
        <v>10</v>
      </c>
      <c r="CE53" s="128">
        <v>1690</v>
      </c>
      <c r="CF53" s="128"/>
      <c r="CG53" s="128"/>
      <c r="CH53" s="128">
        <v>1</v>
      </c>
    </row>
    <row r="54" spans="1:90" s="130" customFormat="1" ht="15" customHeight="1" x14ac:dyDescent="0.25">
      <c r="A54" s="147" t="s">
        <v>32</v>
      </c>
      <c r="B54" s="129" t="s">
        <v>7</v>
      </c>
      <c r="C54" s="129" t="s">
        <v>819</v>
      </c>
      <c r="D54" s="129" t="s">
        <v>76</v>
      </c>
      <c r="E54" s="129" t="s">
        <v>10</v>
      </c>
      <c r="F54" s="129" t="s">
        <v>87</v>
      </c>
      <c r="G54" s="133">
        <v>480</v>
      </c>
      <c r="H54" s="133">
        <v>960</v>
      </c>
      <c r="I54" s="133">
        <v>315</v>
      </c>
      <c r="J54" s="133">
        <v>315</v>
      </c>
      <c r="K54" s="133">
        <v>315</v>
      </c>
      <c r="L54" s="133">
        <v>315</v>
      </c>
      <c r="M54" s="129"/>
      <c r="N54" s="140" t="s">
        <v>64</v>
      </c>
      <c r="O54" s="139">
        <v>1770</v>
      </c>
      <c r="P54" s="139"/>
      <c r="Q54" s="139"/>
      <c r="R54" s="129"/>
      <c r="S54" s="129"/>
      <c r="T54" s="129"/>
      <c r="U54" s="129"/>
      <c r="V54" s="129"/>
      <c r="W54" s="129"/>
      <c r="X54" s="129">
        <f>'комплекты фурнитуры'!$C$18</f>
        <v>840</v>
      </c>
      <c r="Y54" s="129"/>
      <c r="Z54" s="129"/>
      <c r="AA54" s="129"/>
      <c r="AB54" s="129"/>
      <c r="AC54" s="129"/>
      <c r="AD54" s="129"/>
      <c r="AE54" s="129"/>
      <c r="AF54" s="129"/>
      <c r="AG54" s="129"/>
      <c r="AH54" s="135">
        <f>SUM(Прайс[[#This Row],[КФ НСТ11]:[KFPr-SB-ZPG]])</f>
        <v>840</v>
      </c>
      <c r="AI54" s="135">
        <f>'комплекты фурнитуры'!$C$85</f>
        <v>40</v>
      </c>
      <c r="AJ54" s="129"/>
      <c r="AK54" s="129"/>
      <c r="AL54" s="129"/>
      <c r="AM54" s="135">
        <f>'комплекты фурнитуры'!$C$68</f>
        <v>620</v>
      </c>
      <c r="AN54" s="135">
        <f>'комплекты фурнитуры'!$C$69</f>
        <v>130</v>
      </c>
      <c r="AO54" s="135"/>
      <c r="AP54" s="135"/>
      <c r="AQ54" s="135"/>
      <c r="AR54" s="135"/>
      <c r="AS54" s="135"/>
      <c r="AT54" s="135"/>
      <c r="AU54" s="135"/>
      <c r="AV54" s="135"/>
      <c r="AW54" s="135"/>
      <c r="AX54" s="135"/>
      <c r="AY54" s="135"/>
      <c r="AZ54" s="135"/>
      <c r="BA54" s="135"/>
      <c r="BB54" s="135"/>
      <c r="BC54" s="135"/>
      <c r="BD54" s="135"/>
      <c r="BE54" s="135"/>
      <c r="BF54" s="135"/>
      <c r="BG54" s="135"/>
      <c r="BH54" s="135"/>
      <c r="BI54" s="135"/>
      <c r="BJ54" s="135"/>
      <c r="BK54" s="135"/>
      <c r="BL54" s="135"/>
      <c r="BM54" s="135"/>
      <c r="BN54" s="135"/>
      <c r="BO54" s="135"/>
      <c r="BP54" s="136">
        <f>Прайс[[#This Row],[ KFPr-SB-StK ]]*2+Прайс[[#This Row],[КФ петли SENS накл.110 гр. с крестообр. Планкой]]*2</f>
        <v>1320</v>
      </c>
      <c r="BQ54" s="131">
        <f>Прайс[[#This Row],[ KFPr-SB-StK ]]*2+Прайс[[#This Row],[KFP-SB-N110]]*2</f>
        <v>340</v>
      </c>
      <c r="BR54" s="131">
        <f>Прайс[[#This Row],[ KFPr-SB-StK ]]*2+Прайс[[#This Row],[KFP-SB-N110]]*2</f>
        <v>340</v>
      </c>
      <c r="BS54" s="128">
        <v>315</v>
      </c>
      <c r="BT54" s="128">
        <v>720</v>
      </c>
      <c r="BU54" s="128">
        <f>IF(OR(Прайс[[#This Row],[Тип]]="Нижний",Прайс[[#This Row],[Тип]]="Пенал"),"560",IF(Прайс[[#This Row],[Тип]]="Верхний",315,0))</f>
        <v>315</v>
      </c>
      <c r="BV54" s="137">
        <v>1.08</v>
      </c>
      <c r="BW54" s="137">
        <v>1.0649999999999999</v>
      </c>
      <c r="BX54" s="131">
        <v>0</v>
      </c>
      <c r="BY54" s="128">
        <v>0</v>
      </c>
      <c r="BZ54" s="128">
        <v>0</v>
      </c>
      <c r="CA54" s="128" t="s">
        <v>10</v>
      </c>
      <c r="CB54" s="131" t="s">
        <v>487</v>
      </c>
      <c r="CC54" s="128">
        <v>0</v>
      </c>
      <c r="CD54" s="128" t="s">
        <v>10</v>
      </c>
      <c r="CE54" s="128">
        <v>1970</v>
      </c>
      <c r="CF54" s="128"/>
      <c r="CG54" s="128"/>
      <c r="CH54" s="128">
        <v>1</v>
      </c>
    </row>
    <row r="55" spans="1:90" s="130" customFormat="1" ht="15" customHeight="1" x14ac:dyDescent="0.25">
      <c r="A55" s="147" t="s">
        <v>82</v>
      </c>
      <c r="B55" s="129" t="s">
        <v>7</v>
      </c>
      <c r="C55" s="129" t="s">
        <v>820</v>
      </c>
      <c r="D55" s="129" t="s">
        <v>73</v>
      </c>
      <c r="E55" s="129" t="s">
        <v>71</v>
      </c>
      <c r="F55" s="129" t="s">
        <v>87</v>
      </c>
      <c r="G55" s="133">
        <v>360</v>
      </c>
      <c r="H55" s="133">
        <v>1250</v>
      </c>
      <c r="I55" s="133">
        <v>150</v>
      </c>
      <c r="J55" s="133">
        <v>600</v>
      </c>
      <c r="K55" s="133">
        <v>250</v>
      </c>
      <c r="L55" s="133">
        <v>560</v>
      </c>
      <c r="M55" s="129"/>
      <c r="N55" s="140"/>
      <c r="O55" s="139">
        <v>1510</v>
      </c>
      <c r="P55" s="139"/>
      <c r="Q55" s="139"/>
      <c r="R55" s="129">
        <f>'комплекты фурнитуры'!$C$9</f>
        <v>540</v>
      </c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>
        <f>'комплекты фурнитуры'!$C$78</f>
        <v>210</v>
      </c>
      <c r="AG55" s="129">
        <f>'комплекты фурнитуры'!$C$79</f>
        <v>20</v>
      </c>
      <c r="AH55" s="135">
        <f>SUM(Прайс[[#This Row],[КФ НСТ11]:[KFPr-SB-ZPG]])</f>
        <v>770</v>
      </c>
      <c r="AI55" s="135"/>
      <c r="AJ55" s="129"/>
      <c r="AK55" s="129"/>
      <c r="AL55" s="129"/>
      <c r="AM55" s="135">
        <f>'комплекты фурнитуры'!$C$68</f>
        <v>620</v>
      </c>
      <c r="AN55" s="135">
        <f>'комплекты фурнитуры'!$C$69</f>
        <v>130</v>
      </c>
      <c r="AO55" s="135"/>
      <c r="AP55" s="135"/>
      <c r="AQ55" s="135"/>
      <c r="AR55" s="135"/>
      <c r="AS55" s="135"/>
      <c r="AT55" s="135"/>
      <c r="AU55" s="135"/>
      <c r="AV55" s="135"/>
      <c r="AW55" s="135"/>
      <c r="AX55" s="135"/>
      <c r="AY55" s="135"/>
      <c r="AZ55" s="135"/>
      <c r="BA55" s="135"/>
      <c r="BB55" s="135"/>
      <c r="BC55" s="135"/>
      <c r="BD55" s="135"/>
      <c r="BE55" s="135"/>
      <c r="BF55" s="135"/>
      <c r="BG55" s="135"/>
      <c r="BH55" s="135"/>
      <c r="BI55" s="135"/>
      <c r="BJ55" s="135"/>
      <c r="BK55" s="135"/>
      <c r="BL55" s="135"/>
      <c r="BM55" s="135"/>
      <c r="BN55" s="135"/>
      <c r="BO55" s="135">
        <f>'комплекты фурнитуры'!$C$87</f>
        <v>1110</v>
      </c>
      <c r="BP55" s="136">
        <f>Прайс[[#This Row],[ KFPr-SB-StK ]]*2+Прайс[[#This Row],[КФ петли SENS накл.110 гр. с крестообр. Планкой]]*2</f>
        <v>1240</v>
      </c>
      <c r="BQ55" s="131">
        <f>Прайс[[#This Row],[ KFPr-SB-StK ]]*2+Прайс[[#This Row],[KFP-SB-N110]]*2</f>
        <v>260</v>
      </c>
      <c r="BR55" s="131">
        <f>Прайс[[#This Row],[ KFPr-SB-StK ]]*2+Прайс[[#This Row],[KFP-SB-N110]]*2</f>
        <v>260</v>
      </c>
      <c r="BS55" s="128">
        <v>300</v>
      </c>
      <c r="BT55" s="128">
        <v>720</v>
      </c>
      <c r="BU55" s="128">
        <f>IF(OR(Прайс[[#This Row],[Тип]]="Нижний",Прайс[[#This Row],[Тип]]="Пенал"),"560",IF(Прайс[[#This Row],[Тип]]="Верхний",315,0))</f>
        <v>315</v>
      </c>
      <c r="BV55" s="137">
        <v>1.08</v>
      </c>
      <c r="BW55" s="137">
        <v>1.0649999999999999</v>
      </c>
      <c r="BX55" s="131">
        <v>1.3</v>
      </c>
      <c r="BY55" s="128">
        <v>0</v>
      </c>
      <c r="BZ55" s="128">
        <v>3</v>
      </c>
      <c r="CA55" s="128" t="s">
        <v>10</v>
      </c>
      <c r="CB55" s="131" t="s">
        <v>489</v>
      </c>
      <c r="CC55" s="128">
        <v>1</v>
      </c>
      <c r="CD55" s="128" t="s">
        <v>71</v>
      </c>
      <c r="CE55" s="128">
        <v>1690</v>
      </c>
      <c r="CF55" s="128"/>
      <c r="CG55" s="128"/>
      <c r="CH55" s="128">
        <v>1</v>
      </c>
    </row>
    <row r="56" spans="1:90" s="130" customFormat="1" ht="15" customHeight="1" x14ac:dyDescent="0.25">
      <c r="A56" s="147" t="s">
        <v>33</v>
      </c>
      <c r="B56" s="129" t="s">
        <v>7</v>
      </c>
      <c r="C56" s="129" t="s">
        <v>821</v>
      </c>
      <c r="D56" s="129" t="s">
        <v>73</v>
      </c>
      <c r="E56" s="129" t="s">
        <v>71</v>
      </c>
      <c r="F56" s="129" t="s">
        <v>87</v>
      </c>
      <c r="G56" s="133">
        <v>360</v>
      </c>
      <c r="H56" s="133">
        <v>1250</v>
      </c>
      <c r="I56" s="133">
        <v>400</v>
      </c>
      <c r="J56" s="133">
        <v>900</v>
      </c>
      <c r="K56" s="133">
        <v>250</v>
      </c>
      <c r="L56" s="133">
        <v>560</v>
      </c>
      <c r="M56" s="129"/>
      <c r="N56" s="140"/>
      <c r="O56" s="139">
        <v>1510</v>
      </c>
      <c r="P56" s="139"/>
      <c r="Q56" s="139"/>
      <c r="R56" s="129">
        <f>'комплекты фурнитуры'!$C$9</f>
        <v>540</v>
      </c>
      <c r="S56" s="129"/>
      <c r="T56" s="129"/>
      <c r="U56" s="129"/>
      <c r="V56" s="129"/>
      <c r="W56" s="129"/>
      <c r="X56" s="129"/>
      <c r="Y56" s="129"/>
      <c r="Z56" s="129"/>
      <c r="AA56" s="129"/>
      <c r="AB56" s="129"/>
      <c r="AC56" s="129"/>
      <c r="AD56" s="129"/>
      <c r="AE56" s="129"/>
      <c r="AF56" s="129">
        <f>'комплекты фурнитуры'!$C$78</f>
        <v>210</v>
      </c>
      <c r="AG56" s="129">
        <f>'комплекты фурнитуры'!$C$79</f>
        <v>20</v>
      </c>
      <c r="AH56" s="135">
        <f>SUM(Прайс[[#This Row],[КФ НСТ11]:[KFPr-SB-ZPG]])</f>
        <v>770</v>
      </c>
      <c r="AI56" s="135"/>
      <c r="AJ56" s="129"/>
      <c r="AK56" s="129"/>
      <c r="AL56" s="129"/>
      <c r="AM56" s="135">
        <f>'комплекты фурнитуры'!$C$68</f>
        <v>620</v>
      </c>
      <c r="AN56" s="135">
        <f>'комплекты фурнитуры'!$C$69</f>
        <v>130</v>
      </c>
      <c r="AO56" s="135"/>
      <c r="AP56" s="135"/>
      <c r="AQ56" s="135"/>
      <c r="AR56" s="135"/>
      <c r="AS56" s="135"/>
      <c r="AT56" s="135"/>
      <c r="AU56" s="135"/>
      <c r="AV56" s="135"/>
      <c r="AW56" s="135"/>
      <c r="AX56" s="135"/>
      <c r="AY56" s="135"/>
      <c r="AZ56" s="135"/>
      <c r="BA56" s="135"/>
      <c r="BB56" s="135"/>
      <c r="BC56" s="135"/>
      <c r="BD56" s="135"/>
      <c r="BE56" s="135"/>
      <c r="BF56" s="135"/>
      <c r="BG56" s="135"/>
      <c r="BH56" s="135"/>
      <c r="BI56" s="135"/>
      <c r="BJ56" s="135"/>
      <c r="BK56" s="135"/>
      <c r="BL56" s="135"/>
      <c r="BM56" s="135"/>
      <c r="BN56" s="135"/>
      <c r="BO56" s="135">
        <f>'комплекты фурнитуры'!$C$87</f>
        <v>1110</v>
      </c>
      <c r="BP56" s="136">
        <f>Прайс[[#This Row],[ KFPr-SB-StK ]]*2+Прайс[[#This Row],[КФ петли SENS накл.110 гр. с крестообр. Планкой]]*4</f>
        <v>2480</v>
      </c>
      <c r="BQ56" s="131">
        <f>Прайс[[#This Row],[ KFPr-SB-StK ]]*2+Прайс[[#This Row],[KFP-SB-N110]]*4</f>
        <v>520</v>
      </c>
      <c r="BR56" s="131">
        <f>Прайс[[#This Row],[ KFPr-SB-StK ]]*2+Прайс[[#This Row],[KFP-SB-N110]]*4</f>
        <v>520</v>
      </c>
      <c r="BS56" s="128">
        <v>300</v>
      </c>
      <c r="BT56" s="128">
        <v>720</v>
      </c>
      <c r="BU56" s="128">
        <f>IF(OR(Прайс[[#This Row],[Тип]]="Нижний",Прайс[[#This Row],[Тип]]="Пенал"),"560",IF(Прайс[[#This Row],[Тип]]="Верхний",315,0))</f>
        <v>315</v>
      </c>
      <c r="BV56" s="137">
        <v>1.08</v>
      </c>
      <c r="BW56" s="137">
        <v>1.0649999999999999</v>
      </c>
      <c r="BX56" s="131">
        <v>1.3</v>
      </c>
      <c r="BY56" s="128">
        <v>0</v>
      </c>
      <c r="BZ56" s="128">
        <v>3</v>
      </c>
      <c r="CA56" s="128" t="s">
        <v>10</v>
      </c>
      <c r="CB56" s="131" t="s">
        <v>489</v>
      </c>
      <c r="CC56" s="128">
        <v>1</v>
      </c>
      <c r="CD56" s="128" t="s">
        <v>71</v>
      </c>
      <c r="CE56" s="128">
        <v>1690</v>
      </c>
      <c r="CF56" s="128"/>
      <c r="CG56" s="128"/>
      <c r="CH56" s="128">
        <v>2</v>
      </c>
      <c r="CJ56" s="150" t="s">
        <v>525</v>
      </c>
      <c r="CL56" s="130" t="s">
        <v>524</v>
      </c>
    </row>
    <row r="57" spans="1:90" s="130" customFormat="1" ht="15" customHeight="1" x14ac:dyDescent="0.25">
      <c r="A57" s="147" t="s">
        <v>34</v>
      </c>
      <c r="B57" s="129" t="s">
        <v>7</v>
      </c>
      <c r="C57" s="129" t="s">
        <v>822</v>
      </c>
      <c r="D57" s="129" t="s">
        <v>73</v>
      </c>
      <c r="E57" s="129" t="s">
        <v>71</v>
      </c>
      <c r="F57" s="129" t="s">
        <v>92</v>
      </c>
      <c r="G57" s="133">
        <v>720</v>
      </c>
      <c r="H57" s="133">
        <v>720</v>
      </c>
      <c r="I57" s="133">
        <v>400</v>
      </c>
      <c r="J57" s="133">
        <v>900</v>
      </c>
      <c r="K57" s="133">
        <v>300</v>
      </c>
      <c r="L57" s="133">
        <v>400</v>
      </c>
      <c r="M57" s="129"/>
      <c r="N57" s="140"/>
      <c r="O57" s="139">
        <v>1510</v>
      </c>
      <c r="P57" s="139"/>
      <c r="Q57" s="139"/>
      <c r="R57" s="129">
        <f>'комплекты фурнитуры'!$C$9</f>
        <v>540</v>
      </c>
      <c r="S57" s="129"/>
      <c r="T57" s="129"/>
      <c r="U57" s="129"/>
      <c r="V57" s="129"/>
      <c r="W57" s="129"/>
      <c r="X57" s="129"/>
      <c r="Y57" s="129"/>
      <c r="Z57" s="129"/>
      <c r="AA57" s="129"/>
      <c r="AB57" s="129"/>
      <c r="AC57" s="129"/>
      <c r="AD57" s="129"/>
      <c r="AE57" s="129"/>
      <c r="AF57" s="129">
        <f>'комплекты фурнитуры'!$C$78</f>
        <v>210</v>
      </c>
      <c r="AG57" s="129">
        <f>'комплекты фурнитуры'!$C$79</f>
        <v>20</v>
      </c>
      <c r="AH57" s="135">
        <f>SUM(Прайс[[#This Row],[КФ НСТ11]:[KFPr-SB-ZPG]])</f>
        <v>770</v>
      </c>
      <c r="AI57" s="135"/>
      <c r="AJ57" s="129"/>
      <c r="AK57" s="129"/>
      <c r="AL57" s="129"/>
      <c r="AM57" s="135"/>
      <c r="AN57" s="135"/>
      <c r="AO57" s="135"/>
      <c r="AP57" s="135"/>
      <c r="AQ57" s="135"/>
      <c r="AR57" s="135"/>
      <c r="AS57" s="135"/>
      <c r="AT57" s="135"/>
      <c r="AU57" s="135"/>
      <c r="AV57" s="135"/>
      <c r="AW57" s="135"/>
      <c r="AX57" s="135"/>
      <c r="AY57" s="135"/>
      <c r="AZ57" s="135">
        <f>'комплекты фурнитуры'!$C$75</f>
        <v>13990</v>
      </c>
      <c r="BA57" s="135"/>
      <c r="BB57" s="135"/>
      <c r="BC57" s="135"/>
      <c r="BD57" s="135"/>
      <c r="BE57" s="135"/>
      <c r="BF57" s="135"/>
      <c r="BG57" s="135"/>
      <c r="BH57" s="135"/>
      <c r="BI57" s="135"/>
      <c r="BJ57" s="135"/>
      <c r="BK57" s="135"/>
      <c r="BL57" s="135"/>
      <c r="BM57" s="135"/>
      <c r="BN57" s="135"/>
      <c r="BO57" s="135">
        <f>'комплекты фурнитуры'!$C$87</f>
        <v>1110</v>
      </c>
      <c r="BP57" s="136">
        <f>Прайс[[#This Row],[KFP-SB-PPHF_W]]</f>
        <v>13990</v>
      </c>
      <c r="BQ57" s="136">
        <f>Прайс[[#This Row],[KFP-SB-PPHF_W]]</f>
        <v>13990</v>
      </c>
      <c r="BR57" s="136">
        <f>Прайс[[#This Row],[KFP-SB-PPHF_W]]</f>
        <v>13990</v>
      </c>
      <c r="BS57" s="128">
        <v>300</v>
      </c>
      <c r="BT57" s="128">
        <v>720</v>
      </c>
      <c r="BU57" s="128">
        <f>IF(OR(Прайс[[#This Row],[Тип]]="Нижний",Прайс[[#This Row],[Тип]]="Пенал"),"560",IF(Прайс[[#This Row],[Тип]]="Верхний",315,0))</f>
        <v>315</v>
      </c>
      <c r="BV57" s="137">
        <v>1.08</v>
      </c>
      <c r="BW57" s="137">
        <v>1.0649999999999999</v>
      </c>
      <c r="BX57" s="131">
        <v>1.3</v>
      </c>
      <c r="BY57" s="128">
        <v>1</v>
      </c>
      <c r="BZ57" s="128">
        <v>1</v>
      </c>
      <c r="CA57" s="128" t="s">
        <v>10</v>
      </c>
      <c r="CB57" s="131" t="s">
        <v>488</v>
      </c>
      <c r="CC57" s="128">
        <v>1</v>
      </c>
      <c r="CD57" s="128" t="s">
        <v>71</v>
      </c>
      <c r="CE57" s="128">
        <v>1690</v>
      </c>
      <c r="CF57" s="128"/>
      <c r="CG57" s="128"/>
      <c r="CH57" s="128">
        <v>2</v>
      </c>
      <c r="CJ57" s="130" t="s">
        <v>527</v>
      </c>
    </row>
    <row r="58" spans="1:90" s="227" customFormat="1" ht="15" customHeight="1" x14ac:dyDescent="0.25">
      <c r="A58" s="217" t="s">
        <v>890</v>
      </c>
      <c r="B58" s="218" t="s">
        <v>7</v>
      </c>
      <c r="C58" s="218" t="s">
        <v>891</v>
      </c>
      <c r="D58" s="218" t="s">
        <v>69</v>
      </c>
      <c r="E58" s="218" t="s">
        <v>71</v>
      </c>
      <c r="F58" s="218" t="s">
        <v>87</v>
      </c>
      <c r="G58" s="219">
        <v>360</v>
      </c>
      <c r="H58" s="219">
        <v>1250</v>
      </c>
      <c r="I58" s="219">
        <v>595</v>
      </c>
      <c r="J58" s="219">
        <v>1000</v>
      </c>
      <c r="K58" s="219">
        <v>315</v>
      </c>
      <c r="L58" s="219">
        <v>560</v>
      </c>
      <c r="M58" s="218"/>
      <c r="N58" s="220"/>
      <c r="O58" s="221">
        <v>2580</v>
      </c>
      <c r="P58" s="221"/>
      <c r="Q58" s="221"/>
      <c r="R58" s="218"/>
      <c r="S58" s="218"/>
      <c r="T58" s="218"/>
      <c r="U58" s="218"/>
      <c r="V58" s="218"/>
      <c r="W58" s="218"/>
      <c r="X58" s="218"/>
      <c r="Y58" s="218"/>
      <c r="Z58" s="218"/>
      <c r="AA58" s="218">
        <f>'комплекты фурнитуры'!$C$21</f>
        <v>1130</v>
      </c>
      <c r="AB58" s="218"/>
      <c r="AC58" s="218"/>
      <c r="AD58" s="218"/>
      <c r="AE58" s="218"/>
      <c r="AF58" s="218">
        <f>'комплекты фурнитуры'!$C$78</f>
        <v>210</v>
      </c>
      <c r="AG58" s="218">
        <f>'комплекты фурнитуры'!$C$79</f>
        <v>20</v>
      </c>
      <c r="AH58" s="222">
        <f>SUM(Прайс[[#This Row],[КФ НСТ11]:[KFPr-SB-ZPG]])</f>
        <v>1360</v>
      </c>
      <c r="AI58" s="222"/>
      <c r="AJ58" s="218">
        <f>'комплекты фурнитуры'!$C$84</f>
        <v>30</v>
      </c>
      <c r="AK58" s="218"/>
      <c r="AL58" s="218"/>
      <c r="AM58" s="222"/>
      <c r="AN58" s="222"/>
      <c r="AO58" s="222">
        <f>'комплекты фурнитуры'!$C$62</f>
        <v>1300</v>
      </c>
      <c r="AP58" s="222">
        <f>'комплекты фурнитуры'!$C$64</f>
        <v>480</v>
      </c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  <c r="BM58" s="222"/>
      <c r="BN58" s="222"/>
      <c r="BO58" s="222">
        <f>'комплекты фурнитуры'!$C$87</f>
        <v>1110</v>
      </c>
      <c r="BP58" s="223">
        <f>Прайс[[#This Row],[KFPr-SB-SPL]]+Прайс[[#This Row],[КФ петли вклад. 95 гр. с крестообр. планкой]]*2</f>
        <v>2630</v>
      </c>
      <c r="BQ58" s="224">
        <f>Прайс[[#This Row],[KFP-SB-PY94]]*2</f>
        <v>960</v>
      </c>
      <c r="BR58" s="224">
        <f>Прайс[[#This Row],[KFP-SB-PY94]]*2</f>
        <v>960</v>
      </c>
      <c r="BS58" s="225">
        <v>600</v>
      </c>
      <c r="BT58" s="225">
        <v>720</v>
      </c>
      <c r="BU58" s="225">
        <f>IF(OR(Прайс[[#This Row],[Тип]]="Нижний",Прайс[[#This Row],[Тип]]="Пенал"),"560",IF(Прайс[[#This Row],[Тип]]="Верхний",315,0))</f>
        <v>315</v>
      </c>
      <c r="BV58" s="226">
        <v>1.08</v>
      </c>
      <c r="BW58" s="226">
        <v>1.0649999999999999</v>
      </c>
      <c r="BX58" s="224">
        <v>0</v>
      </c>
      <c r="BY58" s="225">
        <v>1</v>
      </c>
      <c r="BZ58" s="225">
        <v>3</v>
      </c>
      <c r="CA58" s="225" t="s">
        <v>10</v>
      </c>
      <c r="CB58" s="224" t="s">
        <v>489</v>
      </c>
      <c r="CC58" s="225">
        <v>1</v>
      </c>
      <c r="CD58" s="225" t="s">
        <v>10</v>
      </c>
      <c r="CE58" s="225">
        <v>2900</v>
      </c>
      <c r="CF58" s="225"/>
      <c r="CG58" s="225"/>
      <c r="CH58" s="225">
        <v>1</v>
      </c>
      <c r="CJ58" s="227" t="s">
        <v>526</v>
      </c>
    </row>
    <row r="59" spans="1:90" s="130" customFormat="1" ht="15" customHeight="1" x14ac:dyDescent="0.25">
      <c r="A59" s="147" t="s">
        <v>27</v>
      </c>
      <c r="B59" s="129" t="s">
        <v>7</v>
      </c>
      <c r="C59" s="129" t="s">
        <v>883</v>
      </c>
      <c r="D59" s="129" t="s">
        <v>73</v>
      </c>
      <c r="E59" s="129" t="s">
        <v>10</v>
      </c>
      <c r="F59" s="129" t="s">
        <v>91</v>
      </c>
      <c r="G59" s="133">
        <v>240</v>
      </c>
      <c r="H59" s="133">
        <v>2400</v>
      </c>
      <c r="I59" s="133">
        <v>50</v>
      </c>
      <c r="J59" s="133">
        <v>100</v>
      </c>
      <c r="K59" s="133">
        <v>315</v>
      </c>
      <c r="L59" s="133">
        <v>700</v>
      </c>
      <c r="M59" s="129"/>
      <c r="N59" s="140"/>
      <c r="O59" s="139">
        <v>1640</v>
      </c>
      <c r="P59" s="139"/>
      <c r="Q59" s="139"/>
      <c r="R59" s="129"/>
      <c r="S59" s="129"/>
      <c r="T59" s="129"/>
      <c r="U59" s="129"/>
      <c r="V59" s="129"/>
      <c r="W59" s="129"/>
      <c r="X59" s="129"/>
      <c r="Y59" s="129"/>
      <c r="Z59" s="129"/>
      <c r="AA59" s="129"/>
      <c r="AB59" s="129"/>
      <c r="AC59" s="129"/>
      <c r="AD59" s="129">
        <f>'комплекты фурнитуры'!$C$24</f>
        <v>590</v>
      </c>
      <c r="AE59" s="129"/>
      <c r="AF59" s="129"/>
      <c r="AG59" s="129"/>
      <c r="AH59" s="135">
        <f>SUM(Прайс[[#This Row],[КФ НСТ11]:[KFPr-SB-ZPG]])</f>
        <v>590</v>
      </c>
      <c r="AI59" s="135"/>
      <c r="AJ59" s="129"/>
      <c r="AK59" s="129"/>
      <c r="AL59" s="129"/>
      <c r="AM59" s="135"/>
      <c r="AN59" s="135"/>
      <c r="AO59" s="135"/>
      <c r="AP59" s="135"/>
      <c r="AQ59" s="135"/>
      <c r="AR59" s="135"/>
      <c r="AS59" s="135"/>
      <c r="AT59" s="135"/>
      <c r="AU59" s="135"/>
      <c r="AV59" s="135"/>
      <c r="AW59" s="135"/>
      <c r="AX59" s="135"/>
      <c r="AY59" s="135"/>
      <c r="AZ59" s="135"/>
      <c r="BA59" s="135"/>
      <c r="BB59" s="135"/>
      <c r="BC59" s="135"/>
      <c r="BD59" s="135"/>
      <c r="BE59" s="135"/>
      <c r="BF59" s="135"/>
      <c r="BG59" s="135"/>
      <c r="BH59" s="135"/>
      <c r="BI59" s="135"/>
      <c r="BJ59" s="135"/>
      <c r="BK59" s="135"/>
      <c r="BL59" s="135"/>
      <c r="BM59" s="135"/>
      <c r="BN59" s="135"/>
      <c r="BO59" s="135"/>
      <c r="BP59" s="136">
        <v>0</v>
      </c>
      <c r="BQ59" s="131">
        <v>0</v>
      </c>
      <c r="BR59" s="131">
        <v>0</v>
      </c>
      <c r="BS59" s="128">
        <v>100</v>
      </c>
      <c r="BT59" s="128">
        <v>720</v>
      </c>
      <c r="BU59" s="128">
        <v>560</v>
      </c>
      <c r="BV59" s="137">
        <v>1.08</v>
      </c>
      <c r="BW59" s="137">
        <v>1.0649999999999999</v>
      </c>
      <c r="BX59" s="131">
        <v>1.3</v>
      </c>
      <c r="BY59" s="128">
        <v>0</v>
      </c>
      <c r="BZ59" s="128">
        <v>0</v>
      </c>
      <c r="CA59" s="128" t="s">
        <v>10</v>
      </c>
      <c r="CB59" s="131" t="s">
        <v>487</v>
      </c>
      <c r="CC59" s="128">
        <v>0</v>
      </c>
      <c r="CD59" s="128" t="s">
        <v>10</v>
      </c>
      <c r="CE59" s="128">
        <v>1870</v>
      </c>
      <c r="CF59" s="128"/>
      <c r="CG59" s="128"/>
      <c r="CH59" s="128">
        <v>1</v>
      </c>
    </row>
    <row r="60" spans="1:90" s="130" customFormat="1" ht="15" customHeight="1" x14ac:dyDescent="0.25">
      <c r="A60" s="148" t="s">
        <v>35</v>
      </c>
      <c r="B60" s="129" t="s">
        <v>7</v>
      </c>
      <c r="C60" s="129" t="s">
        <v>823</v>
      </c>
      <c r="D60" s="129" t="s">
        <v>75</v>
      </c>
      <c r="E60" s="129" t="s">
        <v>10</v>
      </c>
      <c r="F60" s="129" t="s">
        <v>87</v>
      </c>
      <c r="G60" s="133">
        <v>720</v>
      </c>
      <c r="H60" s="133">
        <v>720</v>
      </c>
      <c r="I60" s="133">
        <v>210</v>
      </c>
      <c r="J60" s="133">
        <v>210</v>
      </c>
      <c r="K60" s="133">
        <v>300</v>
      </c>
      <c r="L60" s="133">
        <v>500</v>
      </c>
      <c r="M60" s="129"/>
      <c r="N60" s="140" t="s">
        <v>55</v>
      </c>
      <c r="O60" s="139">
        <v>1840</v>
      </c>
      <c r="P60" s="139"/>
      <c r="Q60" s="139"/>
      <c r="R60" s="129"/>
      <c r="S60" s="129"/>
      <c r="T60" s="129"/>
      <c r="U60" s="129"/>
      <c r="V60" s="129">
        <f>'комплекты фурнитуры'!$C$15</f>
        <v>940</v>
      </c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35">
        <f>SUM(Прайс[[#This Row],[КФ НСТ11]:[KFPr-SB-ZPG]])</f>
        <v>940</v>
      </c>
      <c r="AI60" s="135">
        <f>'комплекты фурнитуры'!$C$85</f>
        <v>40</v>
      </c>
      <c r="AJ60" s="129"/>
      <c r="AK60" s="129"/>
      <c r="AL60" s="129"/>
      <c r="AM60" s="135"/>
      <c r="AN60" s="135"/>
      <c r="AO60" s="135"/>
      <c r="AP60" s="135"/>
      <c r="AQ60" s="135">
        <f>'комплекты фурнитуры'!$C$60</f>
        <v>1560</v>
      </c>
      <c r="AR60" s="135">
        <f>'комплекты фурнитуры'!$C$61</f>
        <v>190</v>
      </c>
      <c r="AS60" s="135"/>
      <c r="AT60" s="135"/>
      <c r="AU60" s="135"/>
      <c r="AV60" s="135"/>
      <c r="AW60" s="135"/>
      <c r="AX60" s="135"/>
      <c r="AY60" s="135"/>
      <c r="AZ60" s="135"/>
      <c r="BA60" s="135"/>
      <c r="BB60" s="135"/>
      <c r="BC60" s="135"/>
      <c r="BD60" s="135"/>
      <c r="BE60" s="135"/>
      <c r="BF60" s="135"/>
      <c r="BG60" s="135"/>
      <c r="BH60" s="135"/>
      <c r="BI60" s="135"/>
      <c r="BJ60" s="135"/>
      <c r="BK60" s="135"/>
      <c r="BL60" s="135"/>
      <c r="BM60" s="135"/>
      <c r="BN60" s="135"/>
      <c r="BO60" s="135"/>
      <c r="BP60" s="136">
        <f>Прайс[[#This Row],[ KFPr-SB-StK ]]*2+Прайс[[#This Row],[КKFP-SB-GT45]]*2</f>
        <v>3200</v>
      </c>
      <c r="BQ60" s="131">
        <f>Прайс[[#This Row],[ KFPr-SB-StK ]]*2+Прайс[[#This Row],[KFP-SB-N45]]*2</f>
        <v>460</v>
      </c>
      <c r="BR60" s="131">
        <f>Прайс[[#This Row],[KFP-SB-N45]]*2</f>
        <v>380</v>
      </c>
      <c r="BS60" s="128">
        <v>210</v>
      </c>
      <c r="BT60" s="128">
        <v>960</v>
      </c>
      <c r="BU60" s="128">
        <f>IF(OR(Прайс[[#This Row],[Тип]]="Нижний",Прайс[[#This Row],[Тип]]="Пенал"),"560",IF(Прайс[[#This Row],[Тип]]="Верхний",315,0))</f>
        <v>315</v>
      </c>
      <c r="BV60" s="137">
        <v>1.08</v>
      </c>
      <c r="BW60" s="137">
        <v>1.0649999999999999</v>
      </c>
      <c r="BX60" s="131">
        <v>1.3</v>
      </c>
      <c r="BY60" s="128">
        <v>1</v>
      </c>
      <c r="BZ60" s="128">
        <v>3</v>
      </c>
      <c r="CA60" s="128" t="s">
        <v>71</v>
      </c>
      <c r="CB60" s="131" t="s">
        <v>487</v>
      </c>
      <c r="CC60" s="128">
        <v>2</v>
      </c>
      <c r="CD60" s="128" t="s">
        <v>10</v>
      </c>
      <c r="CE60" s="128">
        <v>2070</v>
      </c>
      <c r="CF60" s="128"/>
      <c r="CG60" s="128"/>
      <c r="CH60" s="128">
        <v>1</v>
      </c>
      <c r="CJ60" s="130" t="s">
        <v>528</v>
      </c>
    </row>
    <row r="61" spans="1:90" s="130" customFormat="1" ht="15" customHeight="1" x14ac:dyDescent="0.25">
      <c r="A61" s="147" t="s">
        <v>36</v>
      </c>
      <c r="B61" s="129" t="s">
        <v>9</v>
      </c>
      <c r="C61" s="129" t="s">
        <v>824</v>
      </c>
      <c r="D61" s="129" t="s">
        <v>73</v>
      </c>
      <c r="E61" s="129" t="s">
        <v>10</v>
      </c>
      <c r="F61" s="129" t="s">
        <v>87</v>
      </c>
      <c r="G61" s="133">
        <v>1220</v>
      </c>
      <c r="H61" s="133">
        <v>1500</v>
      </c>
      <c r="I61" s="133">
        <v>150</v>
      </c>
      <c r="J61" s="133">
        <v>600</v>
      </c>
      <c r="K61" s="133">
        <v>300</v>
      </c>
      <c r="L61" s="133">
        <v>640</v>
      </c>
      <c r="M61" s="129"/>
      <c r="N61" s="140"/>
      <c r="O61" s="139">
        <v>4820</v>
      </c>
      <c r="P61" s="139"/>
      <c r="Q61" s="139"/>
      <c r="R61" s="129"/>
      <c r="S61" s="129"/>
      <c r="T61" s="129"/>
      <c r="U61" s="129"/>
      <c r="V61" s="129"/>
      <c r="W61" s="129"/>
      <c r="X61" s="129"/>
      <c r="Y61" s="129">
        <f>'комплекты фурнитуры'!$C$19</f>
        <v>740</v>
      </c>
      <c r="Z61" s="129"/>
      <c r="AA61" s="129"/>
      <c r="AB61" s="129"/>
      <c r="AC61" s="129"/>
      <c r="AD61" s="129"/>
      <c r="AE61" s="129">
        <f>'комплекты фурнитуры'!$C$26*2</f>
        <v>540</v>
      </c>
      <c r="AF61" s="129"/>
      <c r="AG61" s="129"/>
      <c r="AH61" s="135">
        <f>SUM(Прайс[[#This Row],[КФ НСТ11]:[KFPr-SB-ZPG]])</f>
        <v>1280</v>
      </c>
      <c r="AI61" s="135"/>
      <c r="AJ61" s="129"/>
      <c r="AK61" s="129"/>
      <c r="AL61" s="151"/>
      <c r="AM61" s="135">
        <f>'комплекты фурнитуры'!$C$68</f>
        <v>620</v>
      </c>
      <c r="AN61" s="135">
        <f>'комплекты фурнитуры'!$C$69</f>
        <v>130</v>
      </c>
      <c r="AO61" s="135"/>
      <c r="AP61" s="135"/>
      <c r="AQ61" s="135"/>
      <c r="AR61" s="135"/>
      <c r="AS61" s="135"/>
      <c r="AT61" s="135"/>
      <c r="AU61" s="135"/>
      <c r="AV61" s="135"/>
      <c r="AW61" s="142"/>
      <c r="AX61" s="135"/>
      <c r="AY61" s="142"/>
      <c r="AZ61" s="135"/>
      <c r="BA61" s="135"/>
      <c r="BB61" s="142"/>
      <c r="BC61" s="142"/>
      <c r="BD61" s="142"/>
      <c r="BE61" s="142"/>
      <c r="BF61" s="142"/>
      <c r="BG61" s="142"/>
      <c r="BH61" s="142"/>
      <c r="BI61" s="142"/>
      <c r="BJ61" s="135"/>
      <c r="BK61" s="135"/>
      <c r="BL61" s="135"/>
      <c r="BM61" s="135"/>
      <c r="BN61" s="135"/>
      <c r="BO61" s="135"/>
      <c r="BP61" s="136">
        <f>Прайс[[#This Row],[КФ петли SENS накл.110 гр. с крестообр. Планкой]]*3</f>
        <v>1860</v>
      </c>
      <c r="BQ61" s="131">
        <f>Прайс[[#This Row],[KFP-SB-N110]]*3</f>
        <v>390</v>
      </c>
      <c r="BR61" s="131">
        <f>Прайс[[#This Row],[KFP-SB-N110]]*3</f>
        <v>390</v>
      </c>
      <c r="BS61" s="128">
        <v>600</v>
      </c>
      <c r="BT61" s="128">
        <v>1320</v>
      </c>
      <c r="BU61" s="128" t="str">
        <f>IF(OR(Прайс[[#This Row],[Тип]]="Нижний",Прайс[[#This Row],[Тип]]="Пенал"),"560",IF(Прайс[[#This Row],[Тип]]="Верхний",315,0))</f>
        <v>560</v>
      </c>
      <c r="BV61" s="137">
        <v>1.08</v>
      </c>
      <c r="BW61" s="137">
        <v>1.0649999999999999</v>
      </c>
      <c r="BX61" s="131">
        <v>1.3</v>
      </c>
      <c r="BY61" s="128">
        <v>2</v>
      </c>
      <c r="BZ61" s="128">
        <v>2</v>
      </c>
      <c r="CA61" s="128" t="s">
        <v>71</v>
      </c>
      <c r="CB61" s="131" t="s">
        <v>487</v>
      </c>
      <c r="CC61" s="128">
        <v>2</v>
      </c>
      <c r="CD61" s="128" t="s">
        <v>71</v>
      </c>
      <c r="CE61" s="128">
        <v>5530</v>
      </c>
      <c r="CF61" s="128"/>
      <c r="CG61" s="128"/>
      <c r="CH61" s="128">
        <v>1</v>
      </c>
    </row>
    <row r="62" spans="1:90" s="130" customFormat="1" ht="15" customHeight="1" x14ac:dyDescent="0.25">
      <c r="A62" s="147" t="s">
        <v>37</v>
      </c>
      <c r="B62" s="129" t="s">
        <v>9</v>
      </c>
      <c r="C62" s="129" t="s">
        <v>825</v>
      </c>
      <c r="D62" s="129" t="s">
        <v>73</v>
      </c>
      <c r="E62" s="129" t="s">
        <v>71</v>
      </c>
      <c r="F62" s="129" t="s">
        <v>87</v>
      </c>
      <c r="G62" s="133">
        <v>1220</v>
      </c>
      <c r="H62" s="133">
        <v>1500</v>
      </c>
      <c r="I62" s="133">
        <v>150</v>
      </c>
      <c r="J62" s="133">
        <v>600</v>
      </c>
      <c r="K62" s="133">
        <v>300</v>
      </c>
      <c r="L62" s="133">
        <v>640</v>
      </c>
      <c r="M62" s="129"/>
      <c r="N62" s="140"/>
      <c r="O62" s="139">
        <v>5205.6000000000004</v>
      </c>
      <c r="P62" s="139">
        <v>740</v>
      </c>
      <c r="Q62" s="139"/>
      <c r="R62" s="129"/>
      <c r="S62" s="129"/>
      <c r="T62" s="129"/>
      <c r="U62" s="129"/>
      <c r="V62" s="129"/>
      <c r="W62" s="129"/>
      <c r="X62" s="129"/>
      <c r="Y62" s="129"/>
      <c r="Z62" s="129"/>
      <c r="AA62" s="129"/>
      <c r="AB62" s="129"/>
      <c r="AC62" s="129"/>
      <c r="AD62" s="129"/>
      <c r="AE62" s="129">
        <f>'комплекты фурнитуры'!$C$26*2</f>
        <v>540</v>
      </c>
      <c r="AF62" s="129"/>
      <c r="AG62" s="129"/>
      <c r="AH62" s="135">
        <f>SUM(Прайс[[#This Row],[КФ НСТ11]:[KFPr-SB-ZPG]])</f>
        <v>1280</v>
      </c>
      <c r="AI62" s="135"/>
      <c r="AJ62" s="129"/>
      <c r="AK62" s="129"/>
      <c r="AL62" s="151">
        <f>'комплекты фурнитуры'!$C$91</f>
        <v>290</v>
      </c>
      <c r="AM62" s="135">
        <f>'комплекты фурнитуры'!$C$68</f>
        <v>620</v>
      </c>
      <c r="AN62" s="142"/>
      <c r="AO62" s="135"/>
      <c r="AP62" s="135"/>
      <c r="AQ62" s="135"/>
      <c r="AR62" s="135"/>
      <c r="AS62" s="135"/>
      <c r="AT62" s="135"/>
      <c r="AU62" s="135"/>
      <c r="AV62" s="135"/>
      <c r="AW62" s="142"/>
      <c r="AX62" s="135"/>
      <c r="AY62" s="142"/>
      <c r="AZ62" s="135"/>
      <c r="BA62" s="135"/>
      <c r="BB62" s="142"/>
      <c r="BC62" s="142"/>
      <c r="BD62" s="142"/>
      <c r="BE62" s="142"/>
      <c r="BF62" s="142"/>
      <c r="BG62" s="142"/>
      <c r="BH62" s="142"/>
      <c r="BI62" s="142"/>
      <c r="BJ62" s="135"/>
      <c r="BK62" s="135"/>
      <c r="BL62" s="135"/>
      <c r="BM62" s="135"/>
      <c r="BN62" s="135"/>
      <c r="BO62" s="135"/>
      <c r="BP62" s="136">
        <f>Прайс[[#This Row],[КФ KEKU]]*4+Прайс[[#This Row],[КФ петли SENS накл.110 гр. с крестообр. Планкой]]*3</f>
        <v>3020</v>
      </c>
      <c r="BQ62" s="136">
        <f>Прайс[[#This Row],[КФ KEKU]]*4+Прайс[[#This Row],[КФ петли SENS накл.110 гр. с крестообр. Планкой]]*3</f>
        <v>3020</v>
      </c>
      <c r="BR62" s="136">
        <f>Прайс[[#This Row],[КФ KEKU]]*4+Прайс[[#This Row],[КФ петли SENS накл.110 гр. с крестообр. Планкой]]*3</f>
        <v>3020</v>
      </c>
      <c r="BS62" s="128">
        <v>600</v>
      </c>
      <c r="BT62" s="128">
        <v>1320</v>
      </c>
      <c r="BU62" s="128" t="str">
        <f>IF(OR(Прайс[[#This Row],[Тип]]="Нижний",Прайс[[#This Row],[Тип]]="Пенал"),"560",IF(Прайс[[#This Row],[Тип]]="Верхний",315,0))</f>
        <v>560</v>
      </c>
      <c r="BV62" s="137">
        <v>1.08</v>
      </c>
      <c r="BW62" s="137">
        <v>1.0649999999999999</v>
      </c>
      <c r="BX62" s="131">
        <v>1.3</v>
      </c>
      <c r="BY62" s="128">
        <v>2</v>
      </c>
      <c r="BZ62" s="128">
        <v>2</v>
      </c>
      <c r="CA62" s="128" t="s">
        <v>10</v>
      </c>
      <c r="CB62" s="131" t="s">
        <v>488</v>
      </c>
      <c r="CC62" s="128">
        <v>2</v>
      </c>
      <c r="CD62" s="128" t="s">
        <v>71</v>
      </c>
      <c r="CE62" s="128">
        <v>5972.4</v>
      </c>
      <c r="CF62" s="128"/>
      <c r="CG62" s="128"/>
      <c r="CH62" s="128">
        <v>1</v>
      </c>
    </row>
    <row r="63" spans="1:90" s="130" customFormat="1" ht="15" customHeight="1" x14ac:dyDescent="0.25">
      <c r="A63" s="147" t="s">
        <v>519</v>
      </c>
      <c r="B63" s="129" t="s">
        <v>9</v>
      </c>
      <c r="C63" s="129" t="s">
        <v>826</v>
      </c>
      <c r="D63" s="129" t="s">
        <v>73</v>
      </c>
      <c r="E63" s="129" t="s">
        <v>10</v>
      </c>
      <c r="F63" s="129" t="s">
        <v>96</v>
      </c>
      <c r="G63" s="133">
        <v>1187</v>
      </c>
      <c r="H63" s="133">
        <v>1187</v>
      </c>
      <c r="I63" s="133">
        <v>600</v>
      </c>
      <c r="J63" s="133">
        <v>600</v>
      </c>
      <c r="K63" s="133">
        <v>560</v>
      </c>
      <c r="L63" s="133">
        <v>560</v>
      </c>
      <c r="M63" s="129"/>
      <c r="N63" s="140" t="s">
        <v>65</v>
      </c>
      <c r="O63" s="139">
        <v>4820</v>
      </c>
      <c r="P63" s="139"/>
      <c r="Q63" s="139"/>
      <c r="R63" s="129"/>
      <c r="S63" s="129"/>
      <c r="T63" s="129"/>
      <c r="U63" s="129"/>
      <c r="V63" s="129"/>
      <c r="W63" s="129"/>
      <c r="X63" s="129"/>
      <c r="Y63" s="129">
        <f>'комплекты фурнитуры'!$C$19</f>
        <v>740</v>
      </c>
      <c r="Z63" s="129"/>
      <c r="AA63" s="129"/>
      <c r="AB63" s="129"/>
      <c r="AC63" s="129"/>
      <c r="AD63" s="129"/>
      <c r="AE63" s="129">
        <f>'комплекты фурнитуры'!$C$26*2</f>
        <v>540</v>
      </c>
      <c r="AF63" s="129"/>
      <c r="AG63" s="129"/>
      <c r="AH63" s="135">
        <f>SUM(Прайс[[#This Row],[КФ НСТ11]:[KFPr-SB-ZPG]])</f>
        <v>1280</v>
      </c>
      <c r="AI63" s="135"/>
      <c r="AJ63" s="129"/>
      <c r="AK63" s="129"/>
      <c r="AL63" s="151"/>
      <c r="AM63" s="135">
        <f>'комплекты фурнитуры'!$C$68</f>
        <v>620</v>
      </c>
      <c r="AN63" s="135">
        <f>'комплекты фурнитуры'!$C$69</f>
        <v>130</v>
      </c>
      <c r="AO63" s="135"/>
      <c r="AP63" s="135"/>
      <c r="AQ63" s="135"/>
      <c r="AR63" s="135"/>
      <c r="AS63" s="135"/>
      <c r="AT63" s="135"/>
      <c r="AU63" s="135"/>
      <c r="AV63" s="135"/>
      <c r="AW63" s="142"/>
      <c r="AX63" s="135"/>
      <c r="AY63" s="142"/>
      <c r="AZ63" s="135"/>
      <c r="BA63" s="135"/>
      <c r="BB63" s="142"/>
      <c r="BC63" s="142"/>
      <c r="BD63" s="142"/>
      <c r="BE63" s="142"/>
      <c r="BF63" s="142"/>
      <c r="BG63" s="142"/>
      <c r="BH63" s="142"/>
      <c r="BI63" s="142"/>
      <c r="BJ63" s="135"/>
      <c r="BK63" s="135"/>
      <c r="BL63" s="135"/>
      <c r="BM63" s="135"/>
      <c r="BN63" s="135"/>
      <c r="BO63" s="135"/>
      <c r="BP63" s="136">
        <f>Прайс[[#This Row],[КФ петли SENS накл.110 гр. с крестообр. Планкой]]*2</f>
        <v>1240</v>
      </c>
      <c r="BQ63" s="131">
        <f>Прайс[[#This Row],[KFP-SB-N110]]*2</f>
        <v>260</v>
      </c>
      <c r="BR63" s="131">
        <f>Прайс[[#This Row],[KFP-SB-N110]]*2</f>
        <v>260</v>
      </c>
      <c r="BS63" s="128">
        <v>600</v>
      </c>
      <c r="BT63" s="128">
        <v>1320</v>
      </c>
      <c r="BU63" s="128" t="str">
        <f>IF(OR(Прайс[[#This Row],[Тип]]="Нижний",Прайс[[#This Row],[Тип]]="Пенал"),"560",IF(Прайс[[#This Row],[Тип]]="Верхний",315,0))</f>
        <v>560</v>
      </c>
      <c r="BV63" s="137">
        <v>1.08</v>
      </c>
      <c r="BW63" s="137">
        <v>1.0649999999999999</v>
      </c>
      <c r="BX63" s="131">
        <v>1.3</v>
      </c>
      <c r="BY63" s="128">
        <v>1</v>
      </c>
      <c r="BZ63" s="128">
        <v>1</v>
      </c>
      <c r="CA63" s="128" t="s">
        <v>71</v>
      </c>
      <c r="CB63" s="131" t="s">
        <v>487</v>
      </c>
      <c r="CC63" s="128">
        <v>1</v>
      </c>
      <c r="CD63" s="128" t="s">
        <v>10</v>
      </c>
      <c r="CE63" s="128">
        <v>5530</v>
      </c>
      <c r="CF63" s="128"/>
      <c r="CG63" s="128"/>
      <c r="CH63" s="128">
        <v>1</v>
      </c>
    </row>
    <row r="64" spans="1:90" s="130" customFormat="1" ht="15" customHeight="1" x14ac:dyDescent="0.25">
      <c r="A64" s="147" t="s">
        <v>520</v>
      </c>
      <c r="B64" s="129" t="s">
        <v>9</v>
      </c>
      <c r="C64" s="129" t="s">
        <v>827</v>
      </c>
      <c r="D64" s="129" t="s">
        <v>73</v>
      </c>
      <c r="E64" s="129" t="s">
        <v>10</v>
      </c>
      <c r="F64" s="129" t="s">
        <v>96</v>
      </c>
      <c r="G64" s="133">
        <v>1320</v>
      </c>
      <c r="H64" s="133">
        <v>1320</v>
      </c>
      <c r="I64" s="133">
        <v>600</v>
      </c>
      <c r="J64" s="133">
        <v>600</v>
      </c>
      <c r="K64" s="133">
        <v>560</v>
      </c>
      <c r="L64" s="133">
        <v>560</v>
      </c>
      <c r="M64" s="129"/>
      <c r="N64" s="140" t="s">
        <v>65</v>
      </c>
      <c r="O64" s="139">
        <v>4820</v>
      </c>
      <c r="P64" s="139"/>
      <c r="Q64" s="139"/>
      <c r="R64" s="129"/>
      <c r="S64" s="129"/>
      <c r="T64" s="129"/>
      <c r="U64" s="129"/>
      <c r="V64" s="129"/>
      <c r="W64" s="129"/>
      <c r="X64" s="129"/>
      <c r="Y64" s="129">
        <f>'комплекты фурнитуры'!$C$19</f>
        <v>740</v>
      </c>
      <c r="Z64" s="129"/>
      <c r="AA64" s="129"/>
      <c r="AB64" s="129"/>
      <c r="AC64" s="129"/>
      <c r="AD64" s="129"/>
      <c r="AE64" s="129">
        <f>'комплекты фурнитуры'!$C$26*2</f>
        <v>540</v>
      </c>
      <c r="AF64" s="129"/>
      <c r="AG64" s="129"/>
      <c r="AH64" s="135">
        <f>SUM(Прайс[[#This Row],[КФ НСТ11]:[KFPr-SB-ZPG]])</f>
        <v>1280</v>
      </c>
      <c r="AI64" s="135"/>
      <c r="AJ64" s="129"/>
      <c r="AK64" s="129"/>
      <c r="AL64" s="151"/>
      <c r="AM64" s="135">
        <f>'комплекты фурнитуры'!$C$68</f>
        <v>620</v>
      </c>
      <c r="AN64" s="135">
        <f>'комплекты фурнитуры'!$C$69</f>
        <v>130</v>
      </c>
      <c r="AO64" s="135"/>
      <c r="AP64" s="135"/>
      <c r="AQ64" s="135"/>
      <c r="AR64" s="135"/>
      <c r="AS64" s="135"/>
      <c r="AT64" s="135"/>
      <c r="AU64" s="135"/>
      <c r="AV64" s="135"/>
      <c r="AW64" s="142"/>
      <c r="AX64" s="135"/>
      <c r="AY64" s="142"/>
      <c r="AZ64" s="135"/>
      <c r="BA64" s="135"/>
      <c r="BB64" s="142"/>
      <c r="BC64" s="142"/>
      <c r="BD64" s="142"/>
      <c r="BE64" s="142"/>
      <c r="BF64" s="142"/>
      <c r="BG64" s="142"/>
      <c r="BH64" s="142"/>
      <c r="BI64" s="142"/>
      <c r="BJ64" s="135"/>
      <c r="BK64" s="135"/>
      <c r="BL64" s="135"/>
      <c r="BM64" s="135"/>
      <c r="BN64" s="135"/>
      <c r="BO64" s="135"/>
      <c r="BP64" s="136">
        <f>Прайс[[#This Row],[КФ петли SENS накл.110 гр. с крестообр. Планкой]]*2</f>
        <v>1240</v>
      </c>
      <c r="BQ64" s="131">
        <f>Прайс[[#This Row],[KFP-SB-N110]]*2</f>
        <v>260</v>
      </c>
      <c r="BR64" s="131">
        <f>Прайс[[#This Row],[KFP-SB-N110]]*2</f>
        <v>260</v>
      </c>
      <c r="BS64" s="128">
        <v>600</v>
      </c>
      <c r="BT64" s="128">
        <v>1320</v>
      </c>
      <c r="BU64" s="128" t="str">
        <f>IF(OR(Прайс[[#This Row],[Тип]]="Нижний",Прайс[[#This Row],[Тип]]="Пенал"),"560",IF(Прайс[[#This Row],[Тип]]="Верхний",315,0))</f>
        <v>560</v>
      </c>
      <c r="BV64" s="137">
        <v>1.08</v>
      </c>
      <c r="BW64" s="137">
        <v>1.0649999999999999</v>
      </c>
      <c r="BX64" s="131">
        <v>1.3</v>
      </c>
      <c r="BY64" s="128">
        <v>1</v>
      </c>
      <c r="BZ64" s="128">
        <v>1</v>
      </c>
      <c r="CA64" s="128" t="s">
        <v>71</v>
      </c>
      <c r="CB64" s="131" t="s">
        <v>487</v>
      </c>
      <c r="CC64" s="128">
        <v>1</v>
      </c>
      <c r="CD64" s="128" t="s">
        <v>10</v>
      </c>
      <c r="CE64" s="128">
        <v>5530</v>
      </c>
      <c r="CF64" s="128"/>
      <c r="CG64" s="128"/>
      <c r="CH64" s="128">
        <v>1</v>
      </c>
    </row>
    <row r="65" spans="1:89" s="130" customFormat="1" ht="14.25" customHeight="1" x14ac:dyDescent="0.25">
      <c r="A65" s="152" t="s">
        <v>38</v>
      </c>
      <c r="B65" s="129" t="s">
        <v>9</v>
      </c>
      <c r="C65" s="129" t="s">
        <v>828</v>
      </c>
      <c r="D65" s="129" t="s">
        <v>73</v>
      </c>
      <c r="E65" s="129" t="s">
        <v>10</v>
      </c>
      <c r="F65" s="129" t="s">
        <v>96</v>
      </c>
      <c r="G65" s="133">
        <v>720</v>
      </c>
      <c r="H65" s="133">
        <v>1320</v>
      </c>
      <c r="I65" s="133">
        <v>600</v>
      </c>
      <c r="J65" s="133">
        <v>600</v>
      </c>
      <c r="K65" s="133">
        <v>560</v>
      </c>
      <c r="L65" s="133">
        <v>560</v>
      </c>
      <c r="M65" s="129"/>
      <c r="N65" s="140" t="s">
        <v>66</v>
      </c>
      <c r="O65" s="139">
        <v>5170</v>
      </c>
      <c r="P65" s="139"/>
      <c r="Q65" s="139"/>
      <c r="R65" s="129"/>
      <c r="S65" s="129"/>
      <c r="T65" s="129"/>
      <c r="U65" s="129"/>
      <c r="V65" s="129"/>
      <c r="W65" s="129"/>
      <c r="X65" s="129"/>
      <c r="Y65" s="129">
        <f>'комплекты фурнитуры'!$C$19</f>
        <v>740</v>
      </c>
      <c r="Z65" s="129"/>
      <c r="AA65" s="129"/>
      <c r="AB65" s="129"/>
      <c r="AC65" s="129"/>
      <c r="AD65" s="129"/>
      <c r="AE65" s="129">
        <f>'комплекты фурнитуры'!$C$26*2</f>
        <v>540</v>
      </c>
      <c r="AF65" s="129"/>
      <c r="AG65" s="129"/>
      <c r="AH65" s="135">
        <f>SUM(Прайс[[#This Row],[КФ НСТ11]:[KFPr-SB-ZPG]])</f>
        <v>1280</v>
      </c>
      <c r="AI65" s="135"/>
      <c r="AJ65" s="129"/>
      <c r="AK65" s="129"/>
      <c r="AL65" s="151"/>
      <c r="AM65" s="142"/>
      <c r="AN65" s="142"/>
      <c r="AO65" s="135"/>
      <c r="AP65" s="135"/>
      <c r="AQ65" s="135"/>
      <c r="AR65" s="135"/>
      <c r="AS65" s="135"/>
      <c r="AT65" s="135"/>
      <c r="AU65" s="135"/>
      <c r="AV65" s="135"/>
      <c r="AW65" s="142"/>
      <c r="AX65" s="135"/>
      <c r="AY65" s="142"/>
      <c r="AZ65" s="135"/>
      <c r="BA65" s="135"/>
      <c r="BB65" s="142"/>
      <c r="BC65" s="135">
        <f>'комплекты фурнитуры'!$C$29</f>
        <v>6660</v>
      </c>
      <c r="BD65" s="142"/>
      <c r="BE65" s="135">
        <f>'комплекты фурнитуры'!$C$34</f>
        <v>940</v>
      </c>
      <c r="BF65" s="135">
        <f>'комплекты фурнитуры'!$C$36</f>
        <v>170</v>
      </c>
      <c r="BG65" s="142"/>
      <c r="BH65" s="135"/>
      <c r="BI65" s="135">
        <f>'комплекты фурнитуры'!$C$39</f>
        <v>6440</v>
      </c>
      <c r="BJ65" s="135"/>
      <c r="BK65" s="135"/>
      <c r="BL65" s="135"/>
      <c r="BM65" s="135"/>
      <c r="BN65" s="135"/>
      <c r="BO65" s="135"/>
      <c r="BP65" s="136">
        <f>Прайс[[#This Row],[Комплект для ящика Hettich ATIRA Серый с реллингом, NL-470, H-176]]</f>
        <v>6660</v>
      </c>
      <c r="BQ65" s="131">
        <f>Прайс[[#This Row],[KFN-SB-M15]]+Прайс[[#This Row],[KFN-SB-MD]]</f>
        <v>1110</v>
      </c>
      <c r="BR65" s="131">
        <f>Прайс[[#This Row],[Комплект ящика INNOTECH ATIRA полного выдв. с  PUSH TO OPEN , Н70,NL470,цвет серебристый]]</f>
        <v>6440</v>
      </c>
      <c r="BS65" s="128">
        <v>600</v>
      </c>
      <c r="BT65" s="128">
        <v>1320</v>
      </c>
      <c r="BU65" s="128" t="str">
        <f>IF(OR(Прайс[[#This Row],[Тип]]="Нижний",Прайс[[#This Row],[Тип]]="Пенал"),"560",IF(Прайс[[#This Row],[Тип]]="Верхний",315,0))</f>
        <v>560</v>
      </c>
      <c r="BV65" s="137">
        <v>1.08</v>
      </c>
      <c r="BW65" s="137">
        <v>1.0649999999999999</v>
      </c>
      <c r="BX65" s="131">
        <v>0</v>
      </c>
      <c r="BY65" s="128">
        <v>0</v>
      </c>
      <c r="BZ65" s="128">
        <v>0</v>
      </c>
      <c r="CA65" s="128" t="s">
        <v>10</v>
      </c>
      <c r="CB65" s="131" t="s">
        <v>489</v>
      </c>
      <c r="CC65" s="128">
        <v>0</v>
      </c>
      <c r="CD65" s="128" t="s">
        <v>10</v>
      </c>
      <c r="CE65" s="128">
        <v>5900</v>
      </c>
      <c r="CF65" s="128"/>
      <c r="CG65" s="128"/>
      <c r="CH65" s="128">
        <v>1</v>
      </c>
    </row>
    <row r="66" spans="1:89" s="130" customFormat="1" ht="15" customHeight="1" x14ac:dyDescent="0.25">
      <c r="A66" s="147" t="s">
        <v>39</v>
      </c>
      <c r="B66" s="129" t="s">
        <v>9</v>
      </c>
      <c r="C66" s="129" t="s">
        <v>829</v>
      </c>
      <c r="D66" s="129" t="s">
        <v>73</v>
      </c>
      <c r="E66" s="129" t="s">
        <v>10</v>
      </c>
      <c r="F66" s="129" t="s">
        <v>87</v>
      </c>
      <c r="G66" s="133">
        <v>2000</v>
      </c>
      <c r="H66" s="133">
        <v>2280</v>
      </c>
      <c r="I66" s="133">
        <v>150</v>
      </c>
      <c r="J66" s="133">
        <v>600</v>
      </c>
      <c r="K66" s="133">
        <v>300</v>
      </c>
      <c r="L66" s="133">
        <v>640</v>
      </c>
      <c r="M66" s="129"/>
      <c r="N66" s="140"/>
      <c r="O66" s="139">
        <v>6460</v>
      </c>
      <c r="P66" s="139"/>
      <c r="Q66" s="139"/>
      <c r="R66" s="129"/>
      <c r="S66" s="129"/>
      <c r="T66" s="129"/>
      <c r="U66" s="129"/>
      <c r="V66" s="129"/>
      <c r="W66" s="129"/>
      <c r="X66" s="129"/>
      <c r="Y66" s="129">
        <f>'комплекты фурнитуры'!$C$19</f>
        <v>740</v>
      </c>
      <c r="Z66" s="129"/>
      <c r="AA66" s="129"/>
      <c r="AB66" s="129"/>
      <c r="AC66" s="129"/>
      <c r="AD66" s="129"/>
      <c r="AE66" s="129">
        <f>'комплекты фурнитуры'!$C$26*2</f>
        <v>540</v>
      </c>
      <c r="AF66" s="129"/>
      <c r="AG66" s="129"/>
      <c r="AH66" s="135">
        <f>SUM(Прайс[[#This Row],[КФ НСТ11]:[KFPr-SB-ZPG]])</f>
        <v>1280</v>
      </c>
      <c r="AI66" s="135"/>
      <c r="AJ66" s="129"/>
      <c r="AK66" s="129"/>
      <c r="AL66" s="151"/>
      <c r="AM66" s="135">
        <f>'комплекты фурнитуры'!$C$68</f>
        <v>620</v>
      </c>
      <c r="AN66" s="135">
        <f>'комплекты фурнитуры'!$C$69</f>
        <v>130</v>
      </c>
      <c r="AO66" s="135"/>
      <c r="AP66" s="135"/>
      <c r="AQ66" s="135"/>
      <c r="AR66" s="135"/>
      <c r="AS66" s="135"/>
      <c r="AT66" s="135"/>
      <c r="AU66" s="135"/>
      <c r="AV66" s="135"/>
      <c r="AW66" s="142"/>
      <c r="AX66" s="135"/>
      <c r="AY66" s="142"/>
      <c r="AZ66" s="135"/>
      <c r="BA66" s="135"/>
      <c r="BB66" s="142"/>
      <c r="BC66" s="142"/>
      <c r="BD66" s="142"/>
      <c r="BE66" s="142"/>
      <c r="BF66" s="142"/>
      <c r="BG66" s="142"/>
      <c r="BH66" s="142"/>
      <c r="BI66" s="142"/>
      <c r="BJ66" s="135"/>
      <c r="BK66" s="135"/>
      <c r="BL66" s="135"/>
      <c r="BM66" s="135"/>
      <c r="BN66" s="135"/>
      <c r="BO66" s="135"/>
      <c r="BP66" s="136">
        <f>Прайс[[#This Row],[КФ петли SENS накл.110 гр. с крестообр. Планкой]]*5</f>
        <v>3100</v>
      </c>
      <c r="BQ66" s="131">
        <f>Прайс[[#This Row],[KFP-SB-N110]]*5</f>
        <v>650</v>
      </c>
      <c r="BR66" s="131">
        <f>Прайс[[#This Row],[KFP-SB-N110]]*5</f>
        <v>650</v>
      </c>
      <c r="BS66" s="128">
        <v>600</v>
      </c>
      <c r="BT66" s="128">
        <v>2040</v>
      </c>
      <c r="BU66" s="128" t="str">
        <f>IF(OR(Прайс[[#This Row],[Тип]]="Нижний",Прайс[[#This Row],[Тип]]="Пенал"),"560",IF(Прайс[[#This Row],[Тип]]="Верхний",315,0))</f>
        <v>560</v>
      </c>
      <c r="BV66" s="137">
        <v>1.08</v>
      </c>
      <c r="BW66" s="137">
        <v>1.0649999999999999</v>
      </c>
      <c r="BX66" s="131">
        <v>1.3</v>
      </c>
      <c r="BY66" s="128">
        <v>0</v>
      </c>
      <c r="BZ66" s="128">
        <v>4</v>
      </c>
      <c r="CA66" s="128" t="s">
        <v>71</v>
      </c>
      <c r="CB66" s="131" t="s">
        <v>487</v>
      </c>
      <c r="CC66" s="128">
        <v>1</v>
      </c>
      <c r="CD66" s="128" t="s">
        <v>71</v>
      </c>
      <c r="CE66" s="128">
        <v>7370</v>
      </c>
      <c r="CF66" s="128"/>
      <c r="CG66" s="128"/>
      <c r="CH66" s="128">
        <v>2</v>
      </c>
    </row>
    <row r="67" spans="1:89" s="130" customFormat="1" ht="15" customHeight="1" x14ac:dyDescent="0.25">
      <c r="A67" s="147" t="s">
        <v>83</v>
      </c>
      <c r="B67" s="129" t="s">
        <v>9</v>
      </c>
      <c r="C67" s="129" t="s">
        <v>830</v>
      </c>
      <c r="D67" s="129" t="s">
        <v>73</v>
      </c>
      <c r="E67" s="129" t="s">
        <v>71</v>
      </c>
      <c r="F67" s="129" t="s">
        <v>87</v>
      </c>
      <c r="G67" s="133">
        <v>2000</v>
      </c>
      <c r="H67" s="133">
        <v>2280</v>
      </c>
      <c r="I67" s="133">
        <v>150</v>
      </c>
      <c r="J67" s="133">
        <v>600</v>
      </c>
      <c r="K67" s="133">
        <v>300</v>
      </c>
      <c r="L67" s="133">
        <v>640</v>
      </c>
      <c r="M67" s="129"/>
      <c r="N67" s="140"/>
      <c r="O67" s="139">
        <v>6976.8</v>
      </c>
      <c r="P67" s="139">
        <v>740</v>
      </c>
      <c r="Q67" s="139"/>
      <c r="R67" s="129"/>
      <c r="S67" s="129"/>
      <c r="T67" s="129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>
        <f>'комплекты фурнитуры'!$C$26*2</f>
        <v>540</v>
      </c>
      <c r="AF67" s="129"/>
      <c r="AG67" s="129"/>
      <c r="AH67" s="135">
        <f>SUM(Прайс[[#This Row],[КФ НСТ11]:[KFPr-SB-ZPG]])</f>
        <v>1280</v>
      </c>
      <c r="AI67" s="135"/>
      <c r="AJ67" s="129"/>
      <c r="AK67" s="129"/>
      <c r="AL67" s="151">
        <f>'комплекты фурнитуры'!$C$91</f>
        <v>290</v>
      </c>
      <c r="AM67" s="135">
        <f>'комплекты фурнитуры'!$C$68</f>
        <v>620</v>
      </c>
      <c r="AN67" s="142"/>
      <c r="AO67" s="135"/>
      <c r="AP67" s="135"/>
      <c r="AQ67" s="135"/>
      <c r="AR67" s="135"/>
      <c r="AS67" s="135"/>
      <c r="AT67" s="135"/>
      <c r="AU67" s="135"/>
      <c r="AV67" s="135"/>
      <c r="AW67" s="142"/>
      <c r="AX67" s="135"/>
      <c r="AY67" s="142"/>
      <c r="AZ67" s="135"/>
      <c r="BA67" s="135"/>
      <c r="BB67" s="142"/>
      <c r="BC67" s="142"/>
      <c r="BD67" s="142"/>
      <c r="BE67" s="142"/>
      <c r="BF67" s="142"/>
      <c r="BG67" s="142"/>
      <c r="BH67" s="142"/>
      <c r="BI67" s="142"/>
      <c r="BJ67" s="135"/>
      <c r="BK67" s="135"/>
      <c r="BL67" s="135"/>
      <c r="BM67" s="135"/>
      <c r="BN67" s="135"/>
      <c r="BO67" s="135"/>
      <c r="BP67" s="136">
        <f>Прайс[[#This Row],[КФ KEKU]]*4+Прайс[[#This Row],[КФ петли SENS накл.110 гр. с крестообр. Планкой]]*5</f>
        <v>4260</v>
      </c>
      <c r="BQ67" s="136">
        <f>Прайс[[#This Row],[КФ KEKU]]*4+Прайс[[#This Row],[КФ петли SENS накл.110 гр. с крестообр. Планкой]]*5</f>
        <v>4260</v>
      </c>
      <c r="BR67" s="136">
        <f>Прайс[[#This Row],[КФ KEKU]]*4+Прайс[[#This Row],[КФ петли SENS накл.110 гр. с крестообр. Планкой]]*5</f>
        <v>4260</v>
      </c>
      <c r="BS67" s="128">
        <v>600</v>
      </c>
      <c r="BT67" s="128">
        <v>2040</v>
      </c>
      <c r="BU67" s="128" t="str">
        <f>IF(OR(Прайс[[#This Row],[Тип]]="Нижний",Прайс[[#This Row],[Тип]]="Пенал"),"560",IF(Прайс[[#This Row],[Тип]]="Верхний",315,0))</f>
        <v>560</v>
      </c>
      <c r="BV67" s="137">
        <v>1.08</v>
      </c>
      <c r="BW67" s="137">
        <v>1.0649999999999999</v>
      </c>
      <c r="BX67" s="131">
        <v>1.3</v>
      </c>
      <c r="BY67" s="128">
        <v>0</v>
      </c>
      <c r="BZ67" s="128">
        <v>4</v>
      </c>
      <c r="CA67" s="128" t="s">
        <v>10</v>
      </c>
      <c r="CB67" s="131" t="s">
        <v>488</v>
      </c>
      <c r="CC67" s="128">
        <v>0</v>
      </c>
      <c r="CD67" s="128" t="s">
        <v>71</v>
      </c>
      <c r="CE67" s="128">
        <v>7959.6</v>
      </c>
      <c r="CF67" s="128"/>
      <c r="CG67" s="128"/>
      <c r="CH67" s="128">
        <v>2</v>
      </c>
    </row>
    <row r="68" spans="1:89" s="130" customFormat="1" ht="15" customHeight="1" x14ac:dyDescent="0.25">
      <c r="A68" s="147" t="s">
        <v>40</v>
      </c>
      <c r="B68" s="129" t="s">
        <v>9</v>
      </c>
      <c r="C68" s="129" t="s">
        <v>831</v>
      </c>
      <c r="D68" s="129" t="s">
        <v>73</v>
      </c>
      <c r="E68" s="129" t="s">
        <v>10</v>
      </c>
      <c r="F68" s="129" t="s">
        <v>97</v>
      </c>
      <c r="G68" s="133">
        <v>2000</v>
      </c>
      <c r="H68" s="133">
        <v>2280</v>
      </c>
      <c r="I68" s="133">
        <v>600</v>
      </c>
      <c r="J68" s="133">
        <v>600</v>
      </c>
      <c r="K68" s="133">
        <v>560</v>
      </c>
      <c r="L68" s="133">
        <v>560</v>
      </c>
      <c r="M68" s="129"/>
      <c r="N68" s="140"/>
      <c r="O68" s="139">
        <v>5290</v>
      </c>
      <c r="P68" s="139"/>
      <c r="Q68" s="139"/>
      <c r="R68" s="129"/>
      <c r="S68" s="129"/>
      <c r="T68" s="129"/>
      <c r="U68" s="129"/>
      <c r="V68" s="129"/>
      <c r="W68" s="129"/>
      <c r="X68" s="129"/>
      <c r="Y68" s="129"/>
      <c r="Z68" s="129">
        <f>'комплекты фурнитуры'!$C$20</f>
        <v>930</v>
      </c>
      <c r="AA68" s="129"/>
      <c r="AB68" s="129"/>
      <c r="AC68" s="129"/>
      <c r="AD68" s="129"/>
      <c r="AE68" s="129">
        <f>'комплекты фурнитуры'!$C$26*2</f>
        <v>540</v>
      </c>
      <c r="AF68" s="129"/>
      <c r="AG68" s="129"/>
      <c r="AH68" s="135">
        <f>SUM(Прайс[[#This Row],[КФ НСТ11]:[KFPr-SB-ZPG]])</f>
        <v>1470</v>
      </c>
      <c r="AI68" s="135"/>
      <c r="AJ68" s="129"/>
      <c r="AK68" s="129"/>
      <c r="AL68" s="151"/>
      <c r="AM68" s="135">
        <f>'комплекты фурнитуры'!$C$68</f>
        <v>620</v>
      </c>
      <c r="AN68" s="135">
        <f>'комплекты фурнитуры'!$C$69</f>
        <v>130</v>
      </c>
      <c r="AO68" s="135"/>
      <c r="AP68" s="135"/>
      <c r="AQ68" s="135"/>
      <c r="AR68" s="135"/>
      <c r="AS68" s="135"/>
      <c r="AT68" s="135"/>
      <c r="AU68" s="135"/>
      <c r="AV68" s="135"/>
      <c r="AW68" s="142"/>
      <c r="AX68" s="135"/>
      <c r="AY68" s="142"/>
      <c r="AZ68" s="135"/>
      <c r="BA68" s="135"/>
      <c r="BB68" s="142"/>
      <c r="BC68" s="142"/>
      <c r="BD68" s="142"/>
      <c r="BE68" s="142"/>
      <c r="BF68" s="142"/>
      <c r="BG68" s="142"/>
      <c r="BH68" s="142"/>
      <c r="BI68" s="142"/>
      <c r="BJ68" s="135"/>
      <c r="BK68" s="135"/>
      <c r="BL68" s="135"/>
      <c r="BM68" s="135"/>
      <c r="BN68" s="135"/>
      <c r="BO68" s="135"/>
      <c r="BP68" s="136">
        <f>Прайс[[#This Row],[КФ петли SENS накл.110 гр. с крестообр. Планкой]]*5</f>
        <v>3100</v>
      </c>
      <c r="BQ68" s="131">
        <f>Прайс[[#This Row],[KFP-SB-N110]]*5</f>
        <v>650</v>
      </c>
      <c r="BR68" s="131">
        <f>Прайс[[#This Row],[KFP-SB-N110]]*5</f>
        <v>650</v>
      </c>
      <c r="BS68" s="128">
        <v>600</v>
      </c>
      <c r="BT68" s="128">
        <v>2040</v>
      </c>
      <c r="BU68" s="128" t="str">
        <f>IF(OR(Прайс[[#This Row],[Тип]]="Нижний",Прайс[[#This Row],[Тип]]="Пенал"),"560",IF(Прайс[[#This Row],[Тип]]="Верхний",315,0))</f>
        <v>560</v>
      </c>
      <c r="BV68" s="137">
        <v>1.08</v>
      </c>
      <c r="BW68" s="137">
        <v>1.0649999999999999</v>
      </c>
      <c r="BX68" s="131">
        <v>1.3</v>
      </c>
      <c r="BY68" s="128">
        <v>0</v>
      </c>
      <c r="BZ68" s="128">
        <v>0</v>
      </c>
      <c r="CA68" s="128" t="s">
        <v>10</v>
      </c>
      <c r="CB68" s="131" t="s">
        <v>489</v>
      </c>
      <c r="CC68" s="128">
        <v>0</v>
      </c>
      <c r="CD68" s="128" t="s">
        <v>10</v>
      </c>
      <c r="CE68" s="128">
        <v>6100</v>
      </c>
      <c r="CF68" s="128"/>
      <c r="CG68" s="128"/>
      <c r="CH68" s="128">
        <v>2</v>
      </c>
      <c r="CJ68" s="130" t="s">
        <v>521</v>
      </c>
    </row>
    <row r="69" spans="1:89" s="130" customFormat="1" x14ac:dyDescent="0.25">
      <c r="A69" s="147" t="s">
        <v>41</v>
      </c>
      <c r="B69" s="129" t="s">
        <v>9</v>
      </c>
      <c r="C69" s="129" t="s">
        <v>832</v>
      </c>
      <c r="D69" s="129" t="s">
        <v>73</v>
      </c>
      <c r="E69" s="129" t="s">
        <v>71</v>
      </c>
      <c r="F69" s="129" t="s">
        <v>97</v>
      </c>
      <c r="G69" s="133">
        <v>2000</v>
      </c>
      <c r="H69" s="133">
        <v>2280</v>
      </c>
      <c r="I69" s="133">
        <v>600</v>
      </c>
      <c r="J69" s="133">
        <v>600</v>
      </c>
      <c r="K69" s="133">
        <v>560</v>
      </c>
      <c r="L69" s="133">
        <v>560</v>
      </c>
      <c r="M69" s="129"/>
      <c r="N69" s="140"/>
      <c r="O69" s="139">
        <v>5713.2</v>
      </c>
      <c r="P69" s="139"/>
      <c r="Q69" s="139"/>
      <c r="R69" s="129"/>
      <c r="S69" s="129"/>
      <c r="T69" s="129"/>
      <c r="U69" s="129"/>
      <c r="V69" s="129"/>
      <c r="W69" s="129"/>
      <c r="X69" s="129"/>
      <c r="Y69" s="129"/>
      <c r="Z69" s="129">
        <f>'комплекты фурнитуры'!$C$20</f>
        <v>930</v>
      </c>
      <c r="AA69" s="129"/>
      <c r="AB69" s="129"/>
      <c r="AC69" s="129"/>
      <c r="AD69" s="129"/>
      <c r="AE69" s="129">
        <f>'комплекты фурнитуры'!$C$26*2</f>
        <v>540</v>
      </c>
      <c r="AF69" s="129"/>
      <c r="AG69" s="129"/>
      <c r="AH69" s="135">
        <f>SUM(Прайс[[#This Row],[КФ НСТ11]:[KFPr-SB-ZPG]])</f>
        <v>1470</v>
      </c>
      <c r="AI69" s="135"/>
      <c r="AJ69" s="129"/>
      <c r="AK69" s="129"/>
      <c r="AL69" s="151">
        <f>'комплекты фурнитуры'!$C$91</f>
        <v>290</v>
      </c>
      <c r="AM69" s="135">
        <f>'комплекты фурнитуры'!$C$68</f>
        <v>620</v>
      </c>
      <c r="AN69" s="142"/>
      <c r="AO69" s="135"/>
      <c r="AP69" s="135"/>
      <c r="AQ69" s="135"/>
      <c r="AR69" s="135"/>
      <c r="AS69" s="135"/>
      <c r="AT69" s="135"/>
      <c r="AU69" s="135"/>
      <c r="AV69" s="135"/>
      <c r="AW69" s="142"/>
      <c r="AX69" s="135"/>
      <c r="AY69" s="142"/>
      <c r="AZ69" s="135"/>
      <c r="BA69" s="135"/>
      <c r="BB69" s="142"/>
      <c r="BC69" s="142"/>
      <c r="BD69" s="142"/>
      <c r="BE69" s="142"/>
      <c r="BF69" s="142"/>
      <c r="BG69" s="142"/>
      <c r="BH69" s="142"/>
      <c r="BI69" s="142"/>
      <c r="BJ69" s="135"/>
      <c r="BK69" s="135"/>
      <c r="BL69" s="135"/>
      <c r="BM69" s="135"/>
      <c r="BN69" s="135"/>
      <c r="BO69" s="135"/>
      <c r="BP69" s="136">
        <f>Прайс[[#This Row],[КФ KEKU]]*4+Прайс[[#This Row],[КФ петли SENS накл.110 гр. с крестообр. Планкой]]*5</f>
        <v>4260</v>
      </c>
      <c r="BQ69" s="136">
        <f>Прайс[[#This Row],[КФ KEKU]]*4+Прайс[[#This Row],[КФ петли SENS накл.110 гр. с крестообр. Планкой]]*5</f>
        <v>4260</v>
      </c>
      <c r="BR69" s="136">
        <f>Прайс[[#This Row],[КФ KEKU]]*4+Прайс[[#This Row],[КФ петли SENS накл.110 гр. с крестообр. Планкой]]*5</f>
        <v>4260</v>
      </c>
      <c r="BS69" s="128">
        <v>600</v>
      </c>
      <c r="BT69" s="128">
        <v>2040</v>
      </c>
      <c r="BU69" s="128" t="str">
        <f>IF(OR(Прайс[[#This Row],[Тип]]="Нижний",Прайс[[#This Row],[Тип]]="Пенал"),"560",IF(Прайс[[#This Row],[Тип]]="Верхний",315,0))</f>
        <v>560</v>
      </c>
      <c r="BV69" s="137">
        <v>1.08</v>
      </c>
      <c r="BW69" s="137">
        <v>1.0649999999999999</v>
      </c>
      <c r="BX69" s="131">
        <v>1.3</v>
      </c>
      <c r="BY69" s="128">
        <v>0</v>
      </c>
      <c r="BZ69" s="128">
        <v>1</v>
      </c>
      <c r="CA69" s="128" t="s">
        <v>10</v>
      </c>
      <c r="CB69" s="131" t="s">
        <v>488</v>
      </c>
      <c r="CC69" s="128">
        <v>0</v>
      </c>
      <c r="CD69" s="128" t="s">
        <v>10</v>
      </c>
      <c r="CE69" s="128">
        <v>6588</v>
      </c>
      <c r="CF69" s="128"/>
      <c r="CG69" s="128"/>
      <c r="CH69" s="128">
        <v>2</v>
      </c>
    </row>
    <row r="70" spans="1:89" s="130" customFormat="1" ht="15" customHeight="1" x14ac:dyDescent="0.25">
      <c r="A70" s="153" t="s">
        <v>42</v>
      </c>
      <c r="B70" s="129" t="s">
        <v>9</v>
      </c>
      <c r="C70" s="129" t="s">
        <v>833</v>
      </c>
      <c r="D70" s="129" t="s">
        <v>73</v>
      </c>
      <c r="E70" s="129" t="s">
        <v>10</v>
      </c>
      <c r="F70" s="129" t="s">
        <v>95</v>
      </c>
      <c r="G70" s="133">
        <v>2000</v>
      </c>
      <c r="H70" s="133">
        <v>2280</v>
      </c>
      <c r="I70" s="133">
        <v>300</v>
      </c>
      <c r="J70" s="133">
        <v>600</v>
      </c>
      <c r="K70" s="133">
        <v>560</v>
      </c>
      <c r="L70" s="133">
        <v>560</v>
      </c>
      <c r="M70" s="129"/>
      <c r="N70" s="140" t="s">
        <v>67</v>
      </c>
      <c r="O70" s="139">
        <v>8650</v>
      </c>
      <c r="P70" s="139"/>
      <c r="Q70" s="139"/>
      <c r="R70" s="129"/>
      <c r="S70" s="129"/>
      <c r="T70" s="129"/>
      <c r="U70" s="129"/>
      <c r="V70" s="129"/>
      <c r="W70" s="129"/>
      <c r="X70" s="129"/>
      <c r="Y70" s="129"/>
      <c r="Z70" s="129">
        <f>'комплекты фурнитуры'!$C$20</f>
        <v>930</v>
      </c>
      <c r="AA70" s="129"/>
      <c r="AB70" s="129"/>
      <c r="AC70" s="129"/>
      <c r="AD70" s="129"/>
      <c r="AE70" s="129">
        <f>'комплекты фурнитуры'!$C$26*2</f>
        <v>540</v>
      </c>
      <c r="AF70" s="129"/>
      <c r="AG70" s="129"/>
      <c r="AH70" s="135">
        <f>SUM(Прайс[[#This Row],[КФ НСТ11]:[KFPr-SB-ZPG]])</f>
        <v>1470</v>
      </c>
      <c r="AI70" s="135"/>
      <c r="AJ70" s="129"/>
      <c r="AK70" s="129"/>
      <c r="AL70" s="151"/>
      <c r="AM70" s="135">
        <f>'комплекты фурнитуры'!$C$68</f>
        <v>620</v>
      </c>
      <c r="AN70" s="135">
        <f>'комплекты фурнитуры'!$C$69</f>
        <v>130</v>
      </c>
      <c r="AO70" s="135"/>
      <c r="AP70" s="135"/>
      <c r="AQ70" s="135"/>
      <c r="AR70" s="135"/>
      <c r="AS70" s="135"/>
      <c r="AT70" s="135"/>
      <c r="AU70" s="135"/>
      <c r="AV70" s="135"/>
      <c r="AW70" s="142"/>
      <c r="AX70" s="135"/>
      <c r="AY70" s="142"/>
      <c r="AZ70" s="135"/>
      <c r="BA70" s="135"/>
      <c r="BB70" s="135">
        <f>'комплекты фурнитуры'!$C$28</f>
        <v>5100</v>
      </c>
      <c r="BC70" s="135">
        <f>'комплекты фурнитуры'!$C$29</f>
        <v>6660</v>
      </c>
      <c r="BD70" s="135">
        <f>'комплекты фурнитуры'!$C$35</f>
        <v>370</v>
      </c>
      <c r="BE70" s="135">
        <f>'комплекты фурнитуры'!$C$34</f>
        <v>940</v>
      </c>
      <c r="BF70" s="135">
        <f>'комплекты фурнитуры'!$C$36</f>
        <v>170</v>
      </c>
      <c r="BG70" s="135">
        <f>'комплекты фурнитуры'!$C$38</f>
        <v>4130</v>
      </c>
      <c r="BH70" s="135">
        <f>'комплекты фурнитуры'!$C$37</f>
        <v>5040</v>
      </c>
      <c r="BI70" s="135">
        <f>'комплекты фурнитуры'!$C$39</f>
        <v>6440</v>
      </c>
      <c r="BJ70" s="135">
        <f>'комплекты фурнитуры'!$C$40</f>
        <v>7970</v>
      </c>
      <c r="BK70" s="135"/>
      <c r="BL70" s="135"/>
      <c r="BM70" s="135"/>
      <c r="BN70" s="135"/>
      <c r="BO70" s="135"/>
      <c r="BP70" s="136">
        <f>Прайс[[#This Row],[Комплект для ящика Hettich ATIRA Серый, NL-470, H-70]]*2+Прайс[[#This Row],[Комплект для ящика Hettich ATIRA Серый с реллингом, NL-470, H-176]]+Прайс[[#This Row],[КФ петли SENS накл.110 гр. с крестообр. Планкой]]*3</f>
        <v>18720</v>
      </c>
      <c r="BQ70" s="131">
        <f>Прайс[[#This Row],[KFN-SB-M86]]*2+Прайс[[#This Row],[KFN-SB-M15]]+Прайс[[#This Row],[KFN-SB-MD]]*3+Прайс[[#This Row],[KFP-SB-N110]]*3</f>
        <v>2580</v>
      </c>
      <c r="BR70" s="131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0" s="128">
        <v>600</v>
      </c>
      <c r="BT70" s="128">
        <v>2040</v>
      </c>
      <c r="BU70" s="128" t="str">
        <f>IF(OR(Прайс[[#This Row],[Тип]]="Нижний",Прайс[[#This Row],[Тип]]="Пенал"),"560",IF(Прайс[[#This Row],[Тип]]="Верхний",315,0))</f>
        <v>560</v>
      </c>
      <c r="BV70" s="137">
        <v>1.08</v>
      </c>
      <c r="BW70" s="137">
        <v>1.0649999999999999</v>
      </c>
      <c r="BX70" s="131">
        <v>0</v>
      </c>
      <c r="BY70" s="128">
        <v>2</v>
      </c>
      <c r="BZ70" s="128">
        <v>2</v>
      </c>
      <c r="CA70" s="128" t="s">
        <v>10</v>
      </c>
      <c r="CB70" s="131" t="s">
        <v>489</v>
      </c>
      <c r="CC70" s="128">
        <v>2</v>
      </c>
      <c r="CD70" s="128" t="s">
        <v>71</v>
      </c>
      <c r="CE70" s="128">
        <v>9980</v>
      </c>
      <c r="CF70" s="128"/>
      <c r="CG70" s="128"/>
      <c r="CH70" s="128">
        <v>4</v>
      </c>
    </row>
    <row r="71" spans="1:89" s="130" customFormat="1" ht="15" customHeight="1" x14ac:dyDescent="0.25">
      <c r="A71" s="147" t="s">
        <v>43</v>
      </c>
      <c r="B71" s="129" t="s">
        <v>9</v>
      </c>
      <c r="C71" s="129" t="s">
        <v>834</v>
      </c>
      <c r="D71" s="129" t="s">
        <v>73</v>
      </c>
      <c r="E71" s="129" t="s">
        <v>10</v>
      </c>
      <c r="F71" s="129" t="s">
        <v>95</v>
      </c>
      <c r="G71" s="133">
        <v>2000</v>
      </c>
      <c r="H71" s="133">
        <v>2280</v>
      </c>
      <c r="I71" s="133">
        <v>300</v>
      </c>
      <c r="J71" s="133">
        <v>600</v>
      </c>
      <c r="K71" s="133">
        <v>560</v>
      </c>
      <c r="L71" s="133">
        <v>560</v>
      </c>
      <c r="M71" s="129"/>
      <c r="N71" s="140"/>
      <c r="O71" s="139">
        <v>8100</v>
      </c>
      <c r="P71" s="139"/>
      <c r="Q71" s="139"/>
      <c r="R71" s="129"/>
      <c r="S71" s="129"/>
      <c r="T71" s="129"/>
      <c r="U71" s="129"/>
      <c r="V71" s="129"/>
      <c r="W71" s="129"/>
      <c r="X71" s="129"/>
      <c r="Y71" s="129"/>
      <c r="Z71" s="129">
        <f>'комплекты фурнитуры'!$C$20</f>
        <v>930</v>
      </c>
      <c r="AA71" s="129"/>
      <c r="AB71" s="129"/>
      <c r="AC71" s="129"/>
      <c r="AD71" s="129"/>
      <c r="AE71" s="129">
        <f>'комплекты фурнитуры'!$C$26*2</f>
        <v>540</v>
      </c>
      <c r="AF71" s="129"/>
      <c r="AG71" s="129"/>
      <c r="AH71" s="135">
        <f>SUM(Прайс[[#This Row],[КФ НСТ11]:[KFPr-SB-ZPG]])</f>
        <v>1470</v>
      </c>
      <c r="AI71" s="135"/>
      <c r="AJ71" s="129"/>
      <c r="AK71" s="129"/>
      <c r="AL71" s="151"/>
      <c r="AM71" s="135">
        <f>'комплекты фурнитуры'!$C$68</f>
        <v>620</v>
      </c>
      <c r="AN71" s="135">
        <f>'комплекты фурнитуры'!$C$69</f>
        <v>130</v>
      </c>
      <c r="AO71" s="135"/>
      <c r="AP71" s="135"/>
      <c r="AQ71" s="135"/>
      <c r="AR71" s="135"/>
      <c r="AS71" s="135"/>
      <c r="AT71" s="135"/>
      <c r="AU71" s="135"/>
      <c r="AV71" s="135"/>
      <c r="AW71" s="142"/>
      <c r="AX71" s="135"/>
      <c r="AY71" s="142"/>
      <c r="AZ71" s="135"/>
      <c r="BA71" s="135"/>
      <c r="BB71" s="142"/>
      <c r="BC71" s="135">
        <f>'комплекты фурнитуры'!$C$29</f>
        <v>6660</v>
      </c>
      <c r="BD71" s="142"/>
      <c r="BE71" s="135">
        <f>'комплекты фурнитуры'!$C$34</f>
        <v>940</v>
      </c>
      <c r="BF71" s="135">
        <f>'комплекты фурнитуры'!$C$36</f>
        <v>170</v>
      </c>
      <c r="BG71" s="142"/>
      <c r="BH71" s="135">
        <f>'комплекты фурнитуры'!$C$37</f>
        <v>5040</v>
      </c>
      <c r="BI71" s="135">
        <f>'комплекты фурнитуры'!$C$39</f>
        <v>6440</v>
      </c>
      <c r="BJ71" s="135">
        <f>'комплекты фурнитуры'!$C$40</f>
        <v>7970</v>
      </c>
      <c r="BK71" s="135"/>
      <c r="BL71" s="135"/>
      <c r="BM71" s="135"/>
      <c r="BN71" s="135"/>
      <c r="BO71" s="135"/>
      <c r="BP71" s="136">
        <f>Прайс[[#This Row],[Комплект для ящика Hettich ATIRA Серый с реллингом, NL-470, H-176]]*2+Прайс[[#This Row],[КФ петли SENS накл.110 гр. с крестообр. Планкой]]*3</f>
        <v>15180</v>
      </c>
      <c r="BQ71" s="131">
        <f>Прайс[[#This Row],[KFN-SB-M15]]*2+Прайс[[#This Row],[KFN-SB-MD]]*2+Прайс[[#This Row],[KFP-SB-N110]]*3</f>
        <v>2610</v>
      </c>
      <c r="BR71" s="131">
        <f>Прайс[[#This Row],[Комплект ящика INNOTECH ATIRA полного выдв. с  PUSH TO OPEN , Н70,NL470,цвет серебристый]]*2+Прайс[[#This Row],[KFP-SB-N110]]*3</f>
        <v>13270</v>
      </c>
      <c r="BS71" s="128">
        <v>600</v>
      </c>
      <c r="BT71" s="128">
        <v>2040</v>
      </c>
      <c r="BU71" s="128" t="str">
        <f>IF(OR(Прайс[[#This Row],[Тип]]="Нижний",Прайс[[#This Row],[Тип]]="Пенал"),"560",IF(Прайс[[#This Row],[Тип]]="Верхний",315,0))</f>
        <v>560</v>
      </c>
      <c r="BV71" s="137">
        <v>1.08</v>
      </c>
      <c r="BW71" s="137">
        <v>1.0649999999999999</v>
      </c>
      <c r="BX71" s="131">
        <v>0</v>
      </c>
      <c r="BY71" s="128">
        <v>2</v>
      </c>
      <c r="BZ71" s="128">
        <v>2</v>
      </c>
      <c r="CA71" s="128" t="s">
        <v>10</v>
      </c>
      <c r="CB71" s="131" t="s">
        <v>489</v>
      </c>
      <c r="CC71" s="128">
        <v>2</v>
      </c>
      <c r="CD71" s="128" t="s">
        <v>71</v>
      </c>
      <c r="CE71" s="128">
        <v>9340</v>
      </c>
      <c r="CF71" s="128"/>
      <c r="CG71" s="128"/>
      <c r="CH71" s="128">
        <v>3</v>
      </c>
      <c r="CJ71" s="130" t="s">
        <v>522</v>
      </c>
    </row>
    <row r="72" spans="1:89" s="130" customFormat="1" ht="15" customHeight="1" x14ac:dyDescent="0.25">
      <c r="A72" s="147" t="s">
        <v>419</v>
      </c>
      <c r="B72" s="129" t="s">
        <v>9</v>
      </c>
      <c r="C72" s="129" t="s">
        <v>835</v>
      </c>
      <c r="D72" s="129" t="s">
        <v>73</v>
      </c>
      <c r="E72" s="129" t="s">
        <v>10</v>
      </c>
      <c r="F72" s="129" t="s">
        <v>96</v>
      </c>
      <c r="G72" s="133">
        <v>2000</v>
      </c>
      <c r="H72" s="133">
        <v>2280</v>
      </c>
      <c r="I72" s="133">
        <v>600</v>
      </c>
      <c r="J72" s="133">
        <v>600</v>
      </c>
      <c r="K72" s="133">
        <v>560</v>
      </c>
      <c r="L72" s="133">
        <v>560</v>
      </c>
      <c r="M72" s="129"/>
      <c r="N72" s="140" t="s">
        <v>67</v>
      </c>
      <c r="O72" s="139">
        <v>6800</v>
      </c>
      <c r="P72" s="139"/>
      <c r="Q72" s="139"/>
      <c r="R72" s="129"/>
      <c r="S72" s="129"/>
      <c r="T72" s="129"/>
      <c r="U72" s="129"/>
      <c r="V72" s="129"/>
      <c r="W72" s="129"/>
      <c r="X72" s="129"/>
      <c r="Y72" s="129"/>
      <c r="Z72" s="129">
        <f>'комплекты фурнитуры'!$C$20</f>
        <v>930</v>
      </c>
      <c r="AA72" s="129"/>
      <c r="AB72" s="129"/>
      <c r="AC72" s="129"/>
      <c r="AD72" s="129"/>
      <c r="AE72" s="129">
        <f>'комплекты фурнитуры'!$C$26*2</f>
        <v>540</v>
      </c>
      <c r="AF72" s="129"/>
      <c r="AG72" s="129"/>
      <c r="AH72" s="135">
        <f>SUM(Прайс[[#This Row],[КФ НСТ11]:[KFPr-SB-ZPG]])</f>
        <v>1470</v>
      </c>
      <c r="AI72" s="135"/>
      <c r="AJ72" s="129"/>
      <c r="AK72" s="129"/>
      <c r="AL72" s="151"/>
      <c r="AM72" s="135">
        <f>'комплекты фурнитуры'!$C$68</f>
        <v>620</v>
      </c>
      <c r="AN72" s="135">
        <f>'комплекты фурнитуры'!$C$69</f>
        <v>130</v>
      </c>
      <c r="AO72" s="135"/>
      <c r="AP72" s="135"/>
      <c r="AQ72" s="135"/>
      <c r="AR72" s="135"/>
      <c r="AS72" s="135"/>
      <c r="AT72" s="135"/>
      <c r="AU72" s="135"/>
      <c r="AV72" s="135"/>
      <c r="AW72" s="142"/>
      <c r="AX72" s="135"/>
      <c r="AY72" s="142"/>
      <c r="AZ72" s="135"/>
      <c r="BA72" s="135"/>
      <c r="BB72" s="142"/>
      <c r="BC72" s="142"/>
      <c r="BD72" s="142"/>
      <c r="BE72" s="142"/>
      <c r="BF72" s="142"/>
      <c r="BG72" s="142"/>
      <c r="BH72" s="142"/>
      <c r="BI72" s="142"/>
      <c r="BJ72" s="135"/>
      <c r="BK72" s="135"/>
      <c r="BL72" s="135"/>
      <c r="BM72" s="135"/>
      <c r="BN72" s="135"/>
      <c r="BO72" s="135"/>
      <c r="BP72" s="136">
        <f>Прайс[[#This Row],[КФ петли SENS накл.110 гр. с крестообр. Планкой]]*4</f>
        <v>2480</v>
      </c>
      <c r="BQ72" s="131">
        <f>Прайс[[#This Row],[KFP-SB-N110]]*4</f>
        <v>520</v>
      </c>
      <c r="BR72" s="131">
        <f>Прайс[[#This Row],[KFP-SB-N110]]*4</f>
        <v>520</v>
      </c>
      <c r="BS72" s="128">
        <v>600</v>
      </c>
      <c r="BT72" s="128">
        <v>2040</v>
      </c>
      <c r="BU72" s="128" t="str">
        <f>IF(OR(Прайс[[#This Row],[Тип]]="Нижний",Прайс[[#This Row],[Тип]]="Пенал"),"560",IF(Прайс[[#This Row],[Тип]]="Верхний",315,0))</f>
        <v>560</v>
      </c>
      <c r="BV72" s="137">
        <v>1.08</v>
      </c>
      <c r="BW72" s="137">
        <v>1.0649999999999999</v>
      </c>
      <c r="BX72" s="131">
        <v>1.3</v>
      </c>
      <c r="BY72" s="128">
        <v>2</v>
      </c>
      <c r="BZ72" s="128">
        <v>3</v>
      </c>
      <c r="CA72" s="128" t="s">
        <v>71</v>
      </c>
      <c r="CB72" s="131" t="s">
        <v>487</v>
      </c>
      <c r="CC72" s="128">
        <v>2</v>
      </c>
      <c r="CD72" s="128" t="s">
        <v>10</v>
      </c>
      <c r="CE72" s="128">
        <v>7820</v>
      </c>
      <c r="CF72" s="128"/>
      <c r="CG72" s="128"/>
      <c r="CH72" s="128">
        <v>2</v>
      </c>
    </row>
    <row r="73" spans="1:89" s="130" customFormat="1" ht="15" customHeight="1" x14ac:dyDescent="0.25">
      <c r="A73" s="147" t="s">
        <v>420</v>
      </c>
      <c r="B73" s="129" t="s">
        <v>9</v>
      </c>
      <c r="C73" s="129" t="s">
        <v>836</v>
      </c>
      <c r="D73" s="129" t="s">
        <v>73</v>
      </c>
      <c r="E73" s="129" t="s">
        <v>10</v>
      </c>
      <c r="F73" s="129" t="s">
        <v>96</v>
      </c>
      <c r="G73" s="133">
        <v>2000</v>
      </c>
      <c r="H73" s="133">
        <v>2280</v>
      </c>
      <c r="I73" s="133">
        <v>600</v>
      </c>
      <c r="J73" s="133">
        <v>600</v>
      </c>
      <c r="K73" s="133">
        <v>560</v>
      </c>
      <c r="L73" s="133">
        <v>560</v>
      </c>
      <c r="M73" s="129"/>
      <c r="N73" s="140" t="s">
        <v>67</v>
      </c>
      <c r="O73" s="139">
        <v>6800</v>
      </c>
      <c r="P73" s="139"/>
      <c r="Q73" s="139"/>
      <c r="R73" s="129"/>
      <c r="S73" s="129"/>
      <c r="T73" s="129"/>
      <c r="U73" s="129"/>
      <c r="V73" s="129"/>
      <c r="W73" s="129"/>
      <c r="X73" s="129"/>
      <c r="Y73" s="129"/>
      <c r="Z73" s="129">
        <f>'комплекты фурнитуры'!$C$20</f>
        <v>930</v>
      </c>
      <c r="AA73" s="129"/>
      <c r="AB73" s="129"/>
      <c r="AC73" s="129"/>
      <c r="AD73" s="129"/>
      <c r="AE73" s="129">
        <f>'комплекты фурнитуры'!$C$26*2</f>
        <v>540</v>
      </c>
      <c r="AF73" s="129"/>
      <c r="AG73" s="129"/>
      <c r="AH73" s="135">
        <f>SUM(Прайс[[#This Row],[КФ НСТ11]:[KFPr-SB-ZPG]])</f>
        <v>1470</v>
      </c>
      <c r="AI73" s="135"/>
      <c r="AJ73" s="129"/>
      <c r="AK73" s="129"/>
      <c r="AL73" s="151"/>
      <c r="AM73" s="135">
        <f>'комплекты фурнитуры'!$C$68</f>
        <v>620</v>
      </c>
      <c r="AN73" s="135">
        <f>'комплекты фурнитуры'!$C$69</f>
        <v>130</v>
      </c>
      <c r="AO73" s="135"/>
      <c r="AP73" s="135"/>
      <c r="AQ73" s="135"/>
      <c r="AR73" s="135"/>
      <c r="AS73" s="135"/>
      <c r="AT73" s="135"/>
      <c r="AU73" s="135"/>
      <c r="AV73" s="135"/>
      <c r="AW73" s="142"/>
      <c r="AX73" s="135"/>
      <c r="AY73" s="142"/>
      <c r="AZ73" s="135"/>
      <c r="BA73" s="135"/>
      <c r="BB73" s="142"/>
      <c r="BC73" s="142"/>
      <c r="BD73" s="142"/>
      <c r="BE73" s="142"/>
      <c r="BF73" s="142"/>
      <c r="BG73" s="142"/>
      <c r="BH73" s="142"/>
      <c r="BI73" s="142"/>
      <c r="BJ73" s="135"/>
      <c r="BK73" s="135"/>
      <c r="BL73" s="135"/>
      <c r="BM73" s="135"/>
      <c r="BN73" s="135"/>
      <c r="BO73" s="135"/>
      <c r="BP73" s="136">
        <f>Прайс[[#This Row],[КФ петли SENS накл.110 гр. с крестообр. Планкой]]*4</f>
        <v>2480</v>
      </c>
      <c r="BQ73" s="131">
        <f>Прайс[[#This Row],[KFP-SB-N110]]*4</f>
        <v>520</v>
      </c>
      <c r="BR73" s="131">
        <f>Прайс[[#This Row],[KFP-SB-N110]]*4</f>
        <v>520</v>
      </c>
      <c r="BS73" s="128">
        <v>600</v>
      </c>
      <c r="BT73" s="128">
        <v>2040</v>
      </c>
      <c r="BU73" s="128" t="str">
        <f>IF(OR(Прайс[[#This Row],[Тип]]="Нижний",Прайс[[#This Row],[Тип]]="Пенал"),"560",IF(Прайс[[#This Row],[Тип]]="Верхний",315,0))</f>
        <v>560</v>
      </c>
      <c r="BV73" s="137">
        <v>1.08</v>
      </c>
      <c r="BW73" s="137">
        <v>1.0649999999999999</v>
      </c>
      <c r="BX73" s="131">
        <v>1.3</v>
      </c>
      <c r="BY73" s="128">
        <v>2</v>
      </c>
      <c r="BZ73" s="128">
        <v>3</v>
      </c>
      <c r="CA73" s="128" t="s">
        <v>71</v>
      </c>
      <c r="CB73" s="131" t="s">
        <v>487</v>
      </c>
      <c r="CC73" s="128">
        <v>2</v>
      </c>
      <c r="CD73" s="128" t="s">
        <v>10</v>
      </c>
      <c r="CE73" s="128">
        <v>7820</v>
      </c>
      <c r="CF73" s="128"/>
      <c r="CG73" s="128"/>
      <c r="CH73" s="128">
        <v>2</v>
      </c>
    </row>
    <row r="74" spans="1:89" s="130" customFormat="1" ht="15" customHeight="1" x14ac:dyDescent="0.25">
      <c r="A74" s="147" t="s">
        <v>421</v>
      </c>
      <c r="B74" s="129" t="s">
        <v>9</v>
      </c>
      <c r="C74" s="129" t="s">
        <v>837</v>
      </c>
      <c r="D74" s="129" t="s">
        <v>73</v>
      </c>
      <c r="E74" s="129" t="s">
        <v>71</v>
      </c>
      <c r="F74" s="129" t="s">
        <v>96</v>
      </c>
      <c r="G74" s="133">
        <v>2000</v>
      </c>
      <c r="H74" s="133">
        <v>2280</v>
      </c>
      <c r="I74" s="133">
        <v>600</v>
      </c>
      <c r="J74" s="133">
        <v>600</v>
      </c>
      <c r="K74" s="133">
        <v>560</v>
      </c>
      <c r="L74" s="133">
        <v>560</v>
      </c>
      <c r="M74" s="129"/>
      <c r="N74" s="140" t="s">
        <v>67</v>
      </c>
      <c r="O74" s="139">
        <v>7344</v>
      </c>
      <c r="P74" s="139"/>
      <c r="Q74" s="139"/>
      <c r="R74" s="129"/>
      <c r="S74" s="129"/>
      <c r="T74" s="129"/>
      <c r="U74" s="129"/>
      <c r="V74" s="129"/>
      <c r="W74" s="129"/>
      <c r="X74" s="129"/>
      <c r="Y74" s="129"/>
      <c r="Z74" s="129">
        <f>'комплекты фурнитуры'!$C$20</f>
        <v>930</v>
      </c>
      <c r="AA74" s="129"/>
      <c r="AB74" s="129"/>
      <c r="AC74" s="129"/>
      <c r="AD74" s="129"/>
      <c r="AE74" s="129">
        <f>'комплекты фурнитуры'!$C$26*2</f>
        <v>540</v>
      </c>
      <c r="AF74" s="129"/>
      <c r="AG74" s="129"/>
      <c r="AH74" s="135">
        <f>SUM(Прайс[[#This Row],[КФ НСТ11]:[KFPr-SB-ZPG]])</f>
        <v>1470</v>
      </c>
      <c r="AI74" s="135"/>
      <c r="AJ74" s="129"/>
      <c r="AK74" s="129"/>
      <c r="AL74" s="151">
        <f>'комплекты фурнитуры'!$C$91</f>
        <v>290</v>
      </c>
      <c r="AM74" s="135">
        <f>'комплекты фурнитуры'!$C$68</f>
        <v>620</v>
      </c>
      <c r="AN74" s="142"/>
      <c r="AO74" s="135"/>
      <c r="AP74" s="135"/>
      <c r="AQ74" s="135"/>
      <c r="AR74" s="135"/>
      <c r="AS74" s="135"/>
      <c r="AT74" s="135"/>
      <c r="AU74" s="135"/>
      <c r="AV74" s="135"/>
      <c r="AW74" s="142"/>
      <c r="AX74" s="135"/>
      <c r="AY74" s="142"/>
      <c r="AZ74" s="135"/>
      <c r="BA74" s="135"/>
      <c r="BB74" s="142"/>
      <c r="BC74" s="142"/>
      <c r="BD74" s="142"/>
      <c r="BE74" s="142"/>
      <c r="BF74" s="142"/>
      <c r="BG74" s="142"/>
      <c r="BH74" s="142"/>
      <c r="BI74" s="142"/>
      <c r="BJ74" s="135"/>
      <c r="BK74" s="135"/>
      <c r="BL74" s="135"/>
      <c r="BM74" s="135"/>
      <c r="BN74" s="135"/>
      <c r="BO74" s="135"/>
      <c r="BP74" s="136">
        <f>Прайс[[#This Row],[КФ KEKU]]*4+Прайс[[#This Row],[КФ петли SENS накл.110 гр. с крестообр. Планкой]]*4</f>
        <v>3640</v>
      </c>
      <c r="BQ74" s="136">
        <f>Прайс[[#This Row],[КФ KEKU]]*4+Прайс[[#This Row],[КФ петли SENS накл.110 гр. с крестообр. Планкой]]*4</f>
        <v>3640</v>
      </c>
      <c r="BR74" s="136">
        <f>Прайс[[#This Row],[КФ KEKU]]*4+Прайс[[#This Row],[КФ петли SENS накл.110 гр. с крестообр. Планкой]]*4</f>
        <v>3640</v>
      </c>
      <c r="BS74" s="128">
        <v>600</v>
      </c>
      <c r="BT74" s="128">
        <v>2040</v>
      </c>
      <c r="BU74" s="128" t="str">
        <f>IF(OR(Прайс[[#This Row],[Тип]]="Нижний",Прайс[[#This Row],[Тип]]="Пенал"),"560",IF(Прайс[[#This Row],[Тип]]="Верхний",315,0))</f>
        <v>560</v>
      </c>
      <c r="BV74" s="137">
        <v>1.08</v>
      </c>
      <c r="BW74" s="137">
        <v>1.0649999999999999</v>
      </c>
      <c r="BX74" s="131">
        <v>1.3</v>
      </c>
      <c r="BY74" s="128">
        <v>2</v>
      </c>
      <c r="BZ74" s="128">
        <v>3</v>
      </c>
      <c r="CA74" s="128" t="s">
        <v>10</v>
      </c>
      <c r="CB74" s="154" t="s">
        <v>488</v>
      </c>
      <c r="CC74" s="128">
        <v>2</v>
      </c>
      <c r="CD74" s="128" t="s">
        <v>10</v>
      </c>
      <c r="CE74" s="128">
        <v>8445.6</v>
      </c>
      <c r="CF74" s="128"/>
      <c r="CG74" s="128"/>
      <c r="CH74" s="128">
        <v>2</v>
      </c>
    </row>
    <row r="75" spans="1:89" s="130" customFormat="1" ht="15" customHeight="1" x14ac:dyDescent="0.25">
      <c r="A75" s="147" t="s">
        <v>422</v>
      </c>
      <c r="B75" s="129" t="s">
        <v>9</v>
      </c>
      <c r="C75" s="129" t="s">
        <v>838</v>
      </c>
      <c r="D75" s="129" t="s">
        <v>73</v>
      </c>
      <c r="E75" s="129" t="s">
        <v>71</v>
      </c>
      <c r="F75" s="129" t="s">
        <v>96</v>
      </c>
      <c r="G75" s="133">
        <v>2000</v>
      </c>
      <c r="H75" s="133">
        <v>2280</v>
      </c>
      <c r="I75" s="133">
        <v>600</v>
      </c>
      <c r="J75" s="133">
        <v>600</v>
      </c>
      <c r="K75" s="133">
        <v>560</v>
      </c>
      <c r="L75" s="133">
        <v>560</v>
      </c>
      <c r="M75" s="129"/>
      <c r="N75" s="140" t="s">
        <v>67</v>
      </c>
      <c r="O75" s="139">
        <v>7344</v>
      </c>
      <c r="P75" s="139"/>
      <c r="Q75" s="139"/>
      <c r="R75" s="129"/>
      <c r="S75" s="129"/>
      <c r="T75" s="129"/>
      <c r="U75" s="129"/>
      <c r="V75" s="129"/>
      <c r="W75" s="129"/>
      <c r="X75" s="129"/>
      <c r="Y75" s="129"/>
      <c r="Z75" s="129">
        <f>'комплекты фурнитуры'!$C$20</f>
        <v>930</v>
      </c>
      <c r="AA75" s="129"/>
      <c r="AB75" s="129"/>
      <c r="AC75" s="129"/>
      <c r="AD75" s="129"/>
      <c r="AE75" s="129">
        <f>'комплекты фурнитуры'!$C$26*2</f>
        <v>540</v>
      </c>
      <c r="AF75" s="129"/>
      <c r="AG75" s="129"/>
      <c r="AH75" s="135">
        <f>SUM(Прайс[[#This Row],[КФ НСТ11]:[KFPr-SB-ZPG]])</f>
        <v>1470</v>
      </c>
      <c r="AI75" s="135"/>
      <c r="AJ75" s="129"/>
      <c r="AK75" s="129"/>
      <c r="AL75" s="151">
        <f>'комплекты фурнитуры'!$C$91</f>
        <v>290</v>
      </c>
      <c r="AM75" s="135">
        <f>'комплекты фурнитуры'!$C$68</f>
        <v>620</v>
      </c>
      <c r="AN75" s="142"/>
      <c r="AO75" s="135"/>
      <c r="AP75" s="135"/>
      <c r="AQ75" s="135"/>
      <c r="AR75" s="135"/>
      <c r="AS75" s="135"/>
      <c r="AT75" s="135"/>
      <c r="AU75" s="135"/>
      <c r="AV75" s="135"/>
      <c r="AW75" s="142"/>
      <c r="AX75" s="135"/>
      <c r="AY75" s="142"/>
      <c r="AZ75" s="135"/>
      <c r="BA75" s="135"/>
      <c r="BB75" s="142"/>
      <c r="BC75" s="142"/>
      <c r="BD75" s="142"/>
      <c r="BE75" s="142"/>
      <c r="BF75" s="142"/>
      <c r="BG75" s="142"/>
      <c r="BH75" s="142"/>
      <c r="BI75" s="142"/>
      <c r="BJ75" s="135"/>
      <c r="BK75" s="135"/>
      <c r="BL75" s="135"/>
      <c r="BM75" s="135"/>
      <c r="BN75" s="135"/>
      <c r="BO75" s="135"/>
      <c r="BP75" s="136">
        <f>Прайс[[#This Row],[КФ KEKU]]*4+Прайс[[#This Row],[КФ петли SENS накл.110 гр. с крестообр. Планкой]]*4</f>
        <v>3640</v>
      </c>
      <c r="BQ75" s="136">
        <f>Прайс[[#This Row],[КФ KEKU]]*4+Прайс[[#This Row],[КФ петли SENS накл.110 гр. с крестообр. Планкой]]*4</f>
        <v>3640</v>
      </c>
      <c r="BR75" s="136">
        <f>Прайс[[#This Row],[КФ KEKU]]*4+Прайс[[#This Row],[КФ петли SENS накл.110 гр. с крестообр. Планкой]]*4</f>
        <v>3640</v>
      </c>
      <c r="BS75" s="128">
        <v>600</v>
      </c>
      <c r="BT75" s="128">
        <v>2040</v>
      </c>
      <c r="BU75" s="128" t="str">
        <f>IF(OR(Прайс[[#This Row],[Тип]]="Нижний",Прайс[[#This Row],[Тип]]="Пенал"),"560",IF(Прайс[[#This Row],[Тип]]="Верхний",315,0))</f>
        <v>560</v>
      </c>
      <c r="BV75" s="137">
        <v>1.08</v>
      </c>
      <c r="BW75" s="137">
        <v>1.0649999999999999</v>
      </c>
      <c r="BX75" s="131">
        <v>1.3</v>
      </c>
      <c r="BY75" s="128">
        <v>2</v>
      </c>
      <c r="BZ75" s="128">
        <v>3</v>
      </c>
      <c r="CA75" s="128" t="s">
        <v>10</v>
      </c>
      <c r="CB75" s="154" t="s">
        <v>488</v>
      </c>
      <c r="CC75" s="128">
        <v>2</v>
      </c>
      <c r="CD75" s="128" t="s">
        <v>10</v>
      </c>
      <c r="CE75" s="128">
        <v>8445.6</v>
      </c>
      <c r="CF75" s="128"/>
      <c r="CG75" s="128"/>
      <c r="CH75" s="128">
        <v>2</v>
      </c>
    </row>
    <row r="76" spans="1:89" s="130" customFormat="1" ht="15" customHeight="1" x14ac:dyDescent="0.25">
      <c r="A76" s="147" t="s">
        <v>423</v>
      </c>
      <c r="B76" s="129" t="s">
        <v>9</v>
      </c>
      <c r="C76" s="129" t="s">
        <v>839</v>
      </c>
      <c r="D76" s="129" t="s">
        <v>73</v>
      </c>
      <c r="E76" s="129" t="s">
        <v>10</v>
      </c>
      <c r="F76" s="129" t="s">
        <v>96</v>
      </c>
      <c r="G76" s="133">
        <v>2000</v>
      </c>
      <c r="H76" s="133">
        <v>2280</v>
      </c>
      <c r="I76" s="133">
        <v>600</v>
      </c>
      <c r="J76" s="133">
        <v>600</v>
      </c>
      <c r="K76" s="133">
        <v>560</v>
      </c>
      <c r="L76" s="133">
        <v>560</v>
      </c>
      <c r="M76" s="129"/>
      <c r="N76" s="140" t="s">
        <v>67</v>
      </c>
      <c r="O76" s="139">
        <v>8020</v>
      </c>
      <c r="P76" s="139"/>
      <c r="Q76" s="139"/>
      <c r="R76" s="129"/>
      <c r="S76" s="129"/>
      <c r="T76" s="129"/>
      <c r="U76" s="129"/>
      <c r="V76" s="129"/>
      <c r="W76" s="129"/>
      <c r="X76" s="129"/>
      <c r="Y76" s="129"/>
      <c r="Z76" s="129">
        <f>'комплекты фурнитуры'!$C$20</f>
        <v>930</v>
      </c>
      <c r="AA76" s="129"/>
      <c r="AB76" s="129"/>
      <c r="AC76" s="129"/>
      <c r="AD76" s="129"/>
      <c r="AE76" s="129">
        <f>'комплекты фурнитуры'!$C$26*2</f>
        <v>540</v>
      </c>
      <c r="AF76" s="129"/>
      <c r="AG76" s="129"/>
      <c r="AH76" s="135">
        <f>SUM(Прайс[[#This Row],[КФ НСТ11]:[KFPr-SB-ZPG]])</f>
        <v>1470</v>
      </c>
      <c r="AI76" s="135"/>
      <c r="AJ76" s="129"/>
      <c r="AK76" s="129"/>
      <c r="AL76" s="151"/>
      <c r="AM76" s="135">
        <f>'комплекты фурнитуры'!$C$68</f>
        <v>620</v>
      </c>
      <c r="AN76" s="135">
        <f>'комплекты фурнитуры'!$C$69</f>
        <v>130</v>
      </c>
      <c r="AO76" s="135"/>
      <c r="AP76" s="135"/>
      <c r="AQ76" s="135"/>
      <c r="AR76" s="135"/>
      <c r="AS76" s="135"/>
      <c r="AT76" s="135"/>
      <c r="AU76" s="135"/>
      <c r="AV76" s="135"/>
      <c r="AW76" s="142"/>
      <c r="AX76" s="135"/>
      <c r="AY76" s="142"/>
      <c r="AZ76" s="135"/>
      <c r="BA76" s="135"/>
      <c r="BB76" s="142"/>
      <c r="BC76" s="135">
        <f>'комплекты фурнитуры'!$C$29</f>
        <v>6660</v>
      </c>
      <c r="BD76" s="142"/>
      <c r="BE76" s="135">
        <f>'комплекты фурнитуры'!$C$34</f>
        <v>940</v>
      </c>
      <c r="BF76" s="135">
        <f>'комплекты фурнитуры'!$C$36</f>
        <v>170</v>
      </c>
      <c r="BG76" s="142"/>
      <c r="BH76" s="135">
        <f>'комплекты фурнитуры'!$C$37</f>
        <v>5040</v>
      </c>
      <c r="BI76" s="135">
        <f>'комплекты фурнитуры'!$C$39</f>
        <v>6440</v>
      </c>
      <c r="BJ76" s="135"/>
      <c r="BK76" s="135"/>
      <c r="BL76" s="135"/>
      <c r="BM76" s="135"/>
      <c r="BN76" s="135"/>
      <c r="BO76" s="135"/>
      <c r="BP76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6" s="131">
        <f>Прайс[[#This Row],[KFN-SB-M15]]*2+Прайс[[#This Row],[KFN-SB-MD]]*2+Прайс[[#This Row],[KFP-SB-N110]]*2</f>
        <v>2480</v>
      </c>
      <c r="BR76" s="131">
        <f>Прайс[[#This Row],[Комплект ящика INNOTECH ATIRA полного выдв. с  PUSH TO OPEN , Н70,NL470,цвет серебристый]]*2+Прайс[[#This Row],[KFP-SB-N110]]*2</f>
        <v>13140</v>
      </c>
      <c r="BS76" s="128">
        <v>600</v>
      </c>
      <c r="BT76" s="128">
        <v>2040</v>
      </c>
      <c r="BU76" s="128" t="str">
        <f>IF(OR(Прайс[[#This Row],[Тип]]="Нижний",Прайс[[#This Row],[Тип]]="Пенал"),"560",IF(Прайс[[#This Row],[Тип]]="Верхний",315,0))</f>
        <v>560</v>
      </c>
      <c r="BV76" s="137">
        <v>1.08</v>
      </c>
      <c r="BW76" s="137">
        <v>1.0649999999999999</v>
      </c>
      <c r="BX76" s="131">
        <v>0</v>
      </c>
      <c r="BY76" s="128">
        <v>1</v>
      </c>
      <c r="BZ76" s="128">
        <v>2</v>
      </c>
      <c r="CA76" s="128" t="s">
        <v>71</v>
      </c>
      <c r="CB76" s="131" t="s">
        <v>487</v>
      </c>
      <c r="CC76" s="128">
        <v>1</v>
      </c>
      <c r="CD76" s="128" t="s">
        <v>10</v>
      </c>
      <c r="CE76" s="128">
        <v>9260</v>
      </c>
      <c r="CF76" s="128"/>
      <c r="CG76" s="128"/>
      <c r="CH76" s="128">
        <v>3</v>
      </c>
      <c r="CJ76" s="155" t="s">
        <v>518</v>
      </c>
      <c r="CK76" s="130" t="s">
        <v>517</v>
      </c>
    </row>
    <row r="77" spans="1:89" s="130" customFormat="1" ht="15" customHeight="1" x14ac:dyDescent="0.25">
      <c r="A77" s="147" t="s">
        <v>424</v>
      </c>
      <c r="B77" s="129" t="s">
        <v>9</v>
      </c>
      <c r="C77" s="129" t="s">
        <v>840</v>
      </c>
      <c r="D77" s="129" t="s">
        <v>73</v>
      </c>
      <c r="E77" s="129" t="s">
        <v>10</v>
      </c>
      <c r="F77" s="129" t="s">
        <v>96</v>
      </c>
      <c r="G77" s="133">
        <v>2000</v>
      </c>
      <c r="H77" s="133">
        <v>2280</v>
      </c>
      <c r="I77" s="133">
        <v>600</v>
      </c>
      <c r="J77" s="133">
        <v>600</v>
      </c>
      <c r="K77" s="133">
        <v>560</v>
      </c>
      <c r="L77" s="133">
        <v>560</v>
      </c>
      <c r="M77" s="129"/>
      <c r="N77" s="140" t="s">
        <v>67</v>
      </c>
      <c r="O77" s="139">
        <v>8020</v>
      </c>
      <c r="P77" s="139"/>
      <c r="Q77" s="139"/>
      <c r="R77" s="129"/>
      <c r="S77" s="129"/>
      <c r="T77" s="129"/>
      <c r="U77" s="129"/>
      <c r="V77" s="129"/>
      <c r="W77" s="129"/>
      <c r="X77" s="129"/>
      <c r="Y77" s="129"/>
      <c r="Z77" s="129">
        <f>'комплекты фурнитуры'!$C$20</f>
        <v>930</v>
      </c>
      <c r="AA77" s="129"/>
      <c r="AB77" s="129"/>
      <c r="AC77" s="129"/>
      <c r="AD77" s="129"/>
      <c r="AE77" s="129">
        <f>'комплекты фурнитуры'!$C$26*2</f>
        <v>540</v>
      </c>
      <c r="AF77" s="129"/>
      <c r="AG77" s="129"/>
      <c r="AH77" s="135">
        <f>SUM(Прайс[[#This Row],[КФ НСТ11]:[KFPr-SB-ZPG]])</f>
        <v>1470</v>
      </c>
      <c r="AI77" s="135"/>
      <c r="AJ77" s="129"/>
      <c r="AK77" s="129"/>
      <c r="AL77" s="151"/>
      <c r="AM77" s="135">
        <f>'комплекты фурнитуры'!$C$68</f>
        <v>620</v>
      </c>
      <c r="AN77" s="135">
        <f>'комплекты фурнитуры'!$C$69</f>
        <v>130</v>
      </c>
      <c r="AO77" s="135"/>
      <c r="AP77" s="135"/>
      <c r="AQ77" s="135"/>
      <c r="AR77" s="135"/>
      <c r="AS77" s="135"/>
      <c r="AT77" s="135"/>
      <c r="AU77" s="135"/>
      <c r="AV77" s="135"/>
      <c r="AW77" s="142"/>
      <c r="AX77" s="135"/>
      <c r="AY77" s="142"/>
      <c r="AZ77" s="135"/>
      <c r="BA77" s="135"/>
      <c r="BB77" s="142"/>
      <c r="BC77" s="135">
        <f>'комплекты фурнитуры'!$C$29</f>
        <v>6660</v>
      </c>
      <c r="BD77" s="142"/>
      <c r="BE77" s="135">
        <f>'комплекты фурнитуры'!$C$34</f>
        <v>940</v>
      </c>
      <c r="BF77" s="135">
        <f>'комплекты фурнитуры'!$C$36</f>
        <v>170</v>
      </c>
      <c r="BG77" s="142"/>
      <c r="BH77" s="135">
        <f>'комплекты фурнитуры'!$C$37</f>
        <v>5040</v>
      </c>
      <c r="BI77" s="135">
        <f>'комплекты фурнитуры'!$C$39</f>
        <v>6440</v>
      </c>
      <c r="BJ77" s="135"/>
      <c r="BK77" s="135"/>
      <c r="BL77" s="135"/>
      <c r="BM77" s="135"/>
      <c r="BN77" s="135"/>
      <c r="BO77" s="135"/>
      <c r="BP77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7" s="131">
        <f>Прайс[[#This Row],[KFN-SB-M15]]*2+Прайс[[#This Row],[KFN-SB-MD]]*2+Прайс[[#This Row],[KFP-SB-N110]]*2</f>
        <v>2480</v>
      </c>
      <c r="BR77" s="131">
        <f>Прайс[[#This Row],[Комплект ящика INNOTECH ATIRA полного выдв. с  PUSH TO OPEN , Н70,NL470,цвет серебристый]]*2+Прайс[[#This Row],[KFP-SB-N110]]*2</f>
        <v>13140</v>
      </c>
      <c r="BS77" s="128">
        <v>600</v>
      </c>
      <c r="BT77" s="128">
        <v>2040</v>
      </c>
      <c r="BU77" s="128" t="str">
        <f>IF(OR(Прайс[[#This Row],[Тип]]="Нижний",Прайс[[#This Row],[Тип]]="Пенал"),"560",IF(Прайс[[#This Row],[Тип]]="Верхний",315,0))</f>
        <v>560</v>
      </c>
      <c r="BV77" s="137">
        <v>1.08</v>
      </c>
      <c r="BW77" s="137">
        <v>1.0649999999999999</v>
      </c>
      <c r="BX77" s="131">
        <v>0</v>
      </c>
      <c r="BY77" s="128">
        <v>1</v>
      </c>
      <c r="BZ77" s="128">
        <v>2</v>
      </c>
      <c r="CA77" s="128" t="s">
        <v>71</v>
      </c>
      <c r="CB77" s="131" t="s">
        <v>487</v>
      </c>
      <c r="CC77" s="128">
        <v>1</v>
      </c>
      <c r="CD77" s="128" t="s">
        <v>10</v>
      </c>
      <c r="CE77" s="128">
        <v>9260</v>
      </c>
      <c r="CF77" s="128"/>
      <c r="CG77" s="128"/>
      <c r="CH77" s="128">
        <v>3</v>
      </c>
      <c r="CJ77" s="155" t="s">
        <v>518</v>
      </c>
      <c r="CK77" s="130" t="s">
        <v>517</v>
      </c>
    </row>
    <row r="78" spans="1:89" s="130" customFormat="1" ht="15" customHeight="1" x14ac:dyDescent="0.25">
      <c r="A78" s="147" t="s">
        <v>425</v>
      </c>
      <c r="B78" s="129" t="s">
        <v>9</v>
      </c>
      <c r="C78" s="129" t="s">
        <v>841</v>
      </c>
      <c r="D78" s="129" t="s">
        <v>73</v>
      </c>
      <c r="E78" s="129" t="s">
        <v>10</v>
      </c>
      <c r="F78" s="129" t="s">
        <v>96</v>
      </c>
      <c r="G78" s="133">
        <v>2000</v>
      </c>
      <c r="H78" s="133">
        <v>2280</v>
      </c>
      <c r="I78" s="133">
        <v>600</v>
      </c>
      <c r="J78" s="133">
        <v>600</v>
      </c>
      <c r="K78" s="133">
        <v>560</v>
      </c>
      <c r="L78" s="133">
        <v>560</v>
      </c>
      <c r="M78" s="129"/>
      <c r="N78" s="140" t="s">
        <v>67</v>
      </c>
      <c r="O78" s="139">
        <v>8020</v>
      </c>
      <c r="P78" s="139"/>
      <c r="Q78" s="139"/>
      <c r="R78" s="129"/>
      <c r="S78" s="129"/>
      <c r="T78" s="129"/>
      <c r="U78" s="129"/>
      <c r="V78" s="129"/>
      <c r="W78" s="129"/>
      <c r="X78" s="129"/>
      <c r="Y78" s="129"/>
      <c r="Z78" s="129">
        <f>'комплекты фурнитуры'!$C$20</f>
        <v>930</v>
      </c>
      <c r="AA78" s="129"/>
      <c r="AB78" s="129"/>
      <c r="AC78" s="129"/>
      <c r="AD78" s="129"/>
      <c r="AE78" s="129">
        <f>'комплекты фурнитуры'!$C$26*2</f>
        <v>540</v>
      </c>
      <c r="AF78" s="129"/>
      <c r="AG78" s="129"/>
      <c r="AH78" s="135">
        <f>SUM(Прайс[[#This Row],[КФ НСТ11]:[KFPr-SB-ZPG]])</f>
        <v>1470</v>
      </c>
      <c r="AI78" s="135"/>
      <c r="AJ78" s="129"/>
      <c r="AK78" s="129"/>
      <c r="AL78" s="151"/>
      <c r="AM78" s="135">
        <f>'комплекты фурнитуры'!$C$68</f>
        <v>620</v>
      </c>
      <c r="AN78" s="135">
        <f>'комплекты фурнитуры'!$C$69</f>
        <v>130</v>
      </c>
      <c r="AO78" s="135"/>
      <c r="AP78" s="135"/>
      <c r="AQ78" s="135"/>
      <c r="AR78" s="135"/>
      <c r="AS78" s="135"/>
      <c r="AT78" s="135"/>
      <c r="AU78" s="135"/>
      <c r="AV78" s="135"/>
      <c r="AW78" s="142"/>
      <c r="AX78" s="135"/>
      <c r="AY78" s="142"/>
      <c r="AZ78" s="135"/>
      <c r="BA78" s="135"/>
      <c r="BB78" s="142"/>
      <c r="BC78" s="135">
        <f>'комплекты фурнитуры'!$C$29</f>
        <v>6660</v>
      </c>
      <c r="BD78" s="142"/>
      <c r="BE78" s="135">
        <f>'комплекты фурнитуры'!$C$34</f>
        <v>940</v>
      </c>
      <c r="BF78" s="135">
        <f>'комплекты фурнитуры'!$C$36</f>
        <v>170</v>
      </c>
      <c r="BG78" s="142"/>
      <c r="BH78" s="135">
        <f>'комплекты фурнитуры'!$C$37</f>
        <v>5040</v>
      </c>
      <c r="BI78" s="135">
        <f>'комплекты фурнитуры'!$C$39</f>
        <v>6440</v>
      </c>
      <c r="BJ78" s="135"/>
      <c r="BK78" s="135"/>
      <c r="BL78" s="135"/>
      <c r="BM78" s="135"/>
      <c r="BN78" s="135"/>
      <c r="BO78" s="135"/>
      <c r="BP78" s="136">
        <f>Прайс[[#This Row],[Комплект для ящика Hettich ATIRA Серый с реллингом, NL-470, H-176]]*2+Прайс[[#This Row],[КФ петли SENS накл.110 гр. с крестообр. Планкой]]*2</f>
        <v>14560</v>
      </c>
      <c r="BQ78" s="131">
        <f>Прайс[[#This Row],[KFN-SB-M15]]*2+Прайс[[#This Row],[KFN-SB-MD]]*2+Прайс[[#This Row],[KFP-SB-N110]]*2</f>
        <v>2480</v>
      </c>
      <c r="BR78" s="131">
        <f>Прайс[[#This Row],[Комплект ящика INNOTECH ATIRA полного выдв. с  PUSH TO OPEN , Н70,NL470,цвет серебристый]]*2+Прайс[[#This Row],[KFP-SB-N110]]*2</f>
        <v>13140</v>
      </c>
      <c r="BS78" s="128">
        <v>600</v>
      </c>
      <c r="BT78" s="128">
        <v>2040</v>
      </c>
      <c r="BU78" s="128" t="str">
        <f>IF(OR(Прайс[[#This Row],[Тип]]="Нижний",Прайс[[#This Row],[Тип]]="Пенал"),"560",IF(Прайс[[#This Row],[Тип]]="Верхний",315,0))</f>
        <v>560</v>
      </c>
      <c r="BV78" s="137">
        <v>1.08</v>
      </c>
      <c r="BW78" s="137">
        <v>1.0649999999999999</v>
      </c>
      <c r="BX78" s="131">
        <v>0</v>
      </c>
      <c r="BY78" s="128">
        <v>1</v>
      </c>
      <c r="BZ78" s="128">
        <v>2</v>
      </c>
      <c r="CA78" s="128" t="s">
        <v>71</v>
      </c>
      <c r="CB78" s="131" t="s">
        <v>487</v>
      </c>
      <c r="CC78" s="128">
        <v>1</v>
      </c>
      <c r="CD78" s="128" t="s">
        <v>10</v>
      </c>
      <c r="CE78" s="128">
        <v>9260</v>
      </c>
      <c r="CF78" s="128"/>
      <c r="CG78" s="128"/>
      <c r="CH78" s="128">
        <v>3</v>
      </c>
      <c r="CJ78" s="155" t="s">
        <v>516</v>
      </c>
      <c r="CK78" s="130" t="s">
        <v>517</v>
      </c>
    </row>
    <row r="79" spans="1:89" s="130" customFormat="1" ht="15" customHeight="1" x14ac:dyDescent="0.25">
      <c r="A79" s="147" t="s">
        <v>761</v>
      </c>
      <c r="B79" s="129" t="s">
        <v>9</v>
      </c>
      <c r="C79" s="129" t="s">
        <v>842</v>
      </c>
      <c r="D79" s="129" t="s">
        <v>73</v>
      </c>
      <c r="E79" s="129" t="s">
        <v>10</v>
      </c>
      <c r="F79" s="129" t="s">
        <v>98</v>
      </c>
      <c r="G79" s="133">
        <v>2000</v>
      </c>
      <c r="H79" s="133">
        <v>2280</v>
      </c>
      <c r="I79" s="133">
        <v>600</v>
      </c>
      <c r="J79" s="133">
        <v>600</v>
      </c>
      <c r="K79" s="133">
        <v>560</v>
      </c>
      <c r="L79" s="133">
        <v>560</v>
      </c>
      <c r="M79" s="129"/>
      <c r="N79" s="140" t="s">
        <v>67</v>
      </c>
      <c r="O79" s="139">
        <v>6990</v>
      </c>
      <c r="P79" s="139"/>
      <c r="Q79" s="139"/>
      <c r="R79" s="129"/>
      <c r="S79" s="129"/>
      <c r="T79" s="129"/>
      <c r="U79" s="129"/>
      <c r="V79" s="129"/>
      <c r="W79" s="129"/>
      <c r="X79" s="129"/>
      <c r="Y79" s="129"/>
      <c r="Z79" s="129"/>
      <c r="AA79" s="129">
        <f>'комплекты фурнитуры'!$C$21</f>
        <v>1130</v>
      </c>
      <c r="AB79" s="129"/>
      <c r="AC79" s="129"/>
      <c r="AD79" s="129"/>
      <c r="AE79" s="129">
        <f>'комплекты фурнитуры'!$C$26*2</f>
        <v>540</v>
      </c>
      <c r="AF79" s="129"/>
      <c r="AG79" s="129"/>
      <c r="AH79" s="135">
        <f>SUM(Прайс[[#This Row],[КФ НСТ11]:[KFPr-SB-ZPG]])</f>
        <v>1670</v>
      </c>
      <c r="AI79" s="135"/>
      <c r="AJ79" s="129"/>
      <c r="AK79" s="129"/>
      <c r="AL79" s="151"/>
      <c r="AM79" s="135">
        <f>'комплекты фурнитуры'!$C$68</f>
        <v>620</v>
      </c>
      <c r="AN79" s="135">
        <f>'комплекты фурнитуры'!$C$69</f>
        <v>130</v>
      </c>
      <c r="AO79" s="135"/>
      <c r="AP79" s="135"/>
      <c r="AQ79" s="135"/>
      <c r="AR79" s="135"/>
      <c r="AS79" s="135"/>
      <c r="AT79" s="135"/>
      <c r="AU79" s="135"/>
      <c r="AV79" s="135"/>
      <c r="AW79" s="135">
        <f>'комплекты фурнитуры'!$C$73</f>
        <v>6080</v>
      </c>
      <c r="AX79" s="135">
        <f>'комплекты фурнитуры'!$C$74</f>
        <v>6940</v>
      </c>
      <c r="AY79" s="135">
        <f>'комплекты фурнитуры'!$C$76</f>
        <v>2290</v>
      </c>
      <c r="AZ79" s="135"/>
      <c r="BA79" s="135"/>
      <c r="BB79" s="142"/>
      <c r="BC79" s="142"/>
      <c r="BD79" s="142"/>
      <c r="BE79" s="142"/>
      <c r="BF79" s="142"/>
      <c r="BG79" s="142"/>
      <c r="BH79" s="142"/>
      <c r="BI79" s="142"/>
      <c r="BJ79" s="135"/>
      <c r="BK79" s="135"/>
      <c r="BL79" s="135"/>
      <c r="BM79" s="135"/>
      <c r="BN79" s="135"/>
      <c r="BO79" s="135"/>
      <c r="BP79" s="136">
        <f>Прайс[[#This Row],[KFP-SP-PPGK]]+Прайс[[#This Row],[КФ петли SENS накл.110 гр. с крестообр. Планкой]]*2</f>
        <v>7320</v>
      </c>
      <c r="BQ79" s="131">
        <f>Прайс[[#This Row],[KFP-SP-PPA]]+Прайс[[#This Row],[KFP-SB-N110]]*4</f>
        <v>2810</v>
      </c>
      <c r="BR79" s="131">
        <f>Прайс[[#This Row],[KFP-SP-PPA]]+Прайс[[#This Row],[KFP-SB-N110]]*4</f>
        <v>2810</v>
      </c>
      <c r="BS79" s="128">
        <v>600</v>
      </c>
      <c r="BT79" s="128">
        <v>2040</v>
      </c>
      <c r="BU79" s="128" t="str">
        <f>IF(OR(Прайс[[#This Row],[Тип]]="Нижний",Прайс[[#This Row],[Тип]]="Пенал"),"560",IF(Прайс[[#This Row],[Тип]]="Верхний",315,0))</f>
        <v>560</v>
      </c>
      <c r="BV79" s="137">
        <v>1.08</v>
      </c>
      <c r="BW79" s="137">
        <v>1.0649999999999999</v>
      </c>
      <c r="BX79" s="131">
        <v>0</v>
      </c>
      <c r="BY79" s="128">
        <v>1</v>
      </c>
      <c r="BZ79" s="128">
        <v>2</v>
      </c>
      <c r="CA79" s="128" t="s">
        <v>10</v>
      </c>
      <c r="CB79" s="131" t="s">
        <v>489</v>
      </c>
      <c r="CC79" s="128">
        <v>1</v>
      </c>
      <c r="CD79" s="128" t="s">
        <v>10</v>
      </c>
      <c r="CE79" s="128">
        <v>8090</v>
      </c>
      <c r="CF79" s="128"/>
      <c r="CG79" s="128"/>
      <c r="CH79" s="128">
        <v>2</v>
      </c>
      <c r="CJ79" s="155" t="s">
        <v>516</v>
      </c>
    </row>
    <row r="80" spans="1:89" s="130" customFormat="1" ht="15" customHeight="1" x14ac:dyDescent="0.25">
      <c r="A80" s="147" t="s">
        <v>762</v>
      </c>
      <c r="B80" s="129" t="s">
        <v>9</v>
      </c>
      <c r="C80" s="129" t="s">
        <v>843</v>
      </c>
      <c r="D80" s="129" t="s">
        <v>73</v>
      </c>
      <c r="E80" s="129" t="s">
        <v>10</v>
      </c>
      <c r="F80" s="129" t="s">
        <v>98</v>
      </c>
      <c r="G80" s="133">
        <v>2000</v>
      </c>
      <c r="H80" s="133">
        <v>2280</v>
      </c>
      <c r="I80" s="133">
        <v>600</v>
      </c>
      <c r="J80" s="133">
        <v>600</v>
      </c>
      <c r="K80" s="133">
        <v>560</v>
      </c>
      <c r="L80" s="133">
        <v>560</v>
      </c>
      <c r="M80" s="129"/>
      <c r="N80" s="140" t="s">
        <v>67</v>
      </c>
      <c r="O80" s="139">
        <v>6910</v>
      </c>
      <c r="P80" s="139"/>
      <c r="Q80" s="139"/>
      <c r="R80" s="129"/>
      <c r="S80" s="129"/>
      <c r="T80" s="129"/>
      <c r="U80" s="129"/>
      <c r="V80" s="129"/>
      <c r="W80" s="129"/>
      <c r="X80" s="129"/>
      <c r="Y80" s="129"/>
      <c r="Z80" s="129"/>
      <c r="AA80" s="129">
        <f>'комплекты фурнитуры'!$C$21</f>
        <v>1130</v>
      </c>
      <c r="AB80" s="129"/>
      <c r="AC80" s="129"/>
      <c r="AD80" s="129"/>
      <c r="AE80" s="129">
        <f>'комплекты фурнитуры'!$C$26*2</f>
        <v>540</v>
      </c>
      <c r="AF80" s="129"/>
      <c r="AG80" s="129"/>
      <c r="AH80" s="135">
        <f>SUM(Прайс[[#This Row],[КФ НСТ11]:[KFPr-SB-ZPG]])</f>
        <v>1670</v>
      </c>
      <c r="AI80" s="135"/>
      <c r="AJ80" s="129"/>
      <c r="AK80" s="129"/>
      <c r="AL80" s="151"/>
      <c r="AM80" s="135">
        <f>'комплекты фурнитуры'!$C$68</f>
        <v>620</v>
      </c>
      <c r="AN80" s="135">
        <f>'комплекты фурнитуры'!$C$69</f>
        <v>130</v>
      </c>
      <c r="AO80" s="135"/>
      <c r="AP80" s="135"/>
      <c r="AQ80" s="135"/>
      <c r="AR80" s="135"/>
      <c r="AS80" s="135"/>
      <c r="AT80" s="135"/>
      <c r="AU80" s="135"/>
      <c r="AV80" s="135"/>
      <c r="AW80" s="142"/>
      <c r="AX80" s="135"/>
      <c r="AY80" s="142"/>
      <c r="AZ80" s="135"/>
      <c r="BA80" s="135"/>
      <c r="BB80" s="142"/>
      <c r="BC80" s="135">
        <f>'комплекты фурнитуры'!$C$29</f>
        <v>6660</v>
      </c>
      <c r="BD80" s="142"/>
      <c r="BE80" s="135">
        <f>'комплекты фурнитуры'!$C$34</f>
        <v>940</v>
      </c>
      <c r="BF80" s="135">
        <f>'комплекты фурнитуры'!$C$36</f>
        <v>170</v>
      </c>
      <c r="BG80" s="142"/>
      <c r="BH80" s="135">
        <f>'комплекты фурнитуры'!$C$37</f>
        <v>5040</v>
      </c>
      <c r="BI80" s="135">
        <f>'комплекты фурнитуры'!$C$39</f>
        <v>6440</v>
      </c>
      <c r="BJ80" s="135"/>
      <c r="BK80" s="135"/>
      <c r="BL80" s="135"/>
      <c r="BM80" s="135"/>
      <c r="BN80" s="135"/>
      <c r="BO80" s="135"/>
      <c r="BP80" s="136">
        <f>Прайс[[#This Row],[КФ петли SENS накл.110 гр. с крестообр. Планкой]]*2+Прайс[[#This Row],[Комплект для ящика Hettich ATIRA Серый с реллингом, NL-470, H-176]]</f>
        <v>7900</v>
      </c>
      <c r="BQ80" s="131">
        <f>Прайс[[#This Row],[KFP-SB-N110]]*2+Прайс[[#This Row],[KFN-SB-M15]]+Прайс[[#This Row],[KFN-SB-MD]]</f>
        <v>1370</v>
      </c>
      <c r="BR80" s="131">
        <f>Прайс[[#This Row],[KFP-SB-N110]]*2+Прайс[[#This Row],[Комплект ящика INNOTECH ATIRA полного выдв. с  PUSH TO OPEN , Н70,NL470,цвет серебристый]]</f>
        <v>6700</v>
      </c>
      <c r="BS80" s="128">
        <v>600</v>
      </c>
      <c r="BT80" s="128">
        <v>2040</v>
      </c>
      <c r="BU80" s="128" t="str">
        <f>IF(OR(Прайс[[#This Row],[Тип]]="Нижний",Прайс[[#This Row],[Тип]]="Пенал"),"560",IF(Прайс[[#This Row],[Тип]]="Верхний",315,0))</f>
        <v>560</v>
      </c>
      <c r="BV80" s="137">
        <v>1.08</v>
      </c>
      <c r="BW80" s="137">
        <v>1.0649999999999999</v>
      </c>
      <c r="BX80" s="131">
        <v>0</v>
      </c>
      <c r="BY80" s="128">
        <v>1</v>
      </c>
      <c r="BZ80" s="128">
        <v>1</v>
      </c>
      <c r="CA80" s="128" t="s">
        <v>71</v>
      </c>
      <c r="CB80" s="131" t="s">
        <v>487</v>
      </c>
      <c r="CC80" s="128">
        <v>1</v>
      </c>
      <c r="CD80" s="128" t="s">
        <v>10</v>
      </c>
      <c r="CE80" s="128">
        <v>7920</v>
      </c>
      <c r="CF80" s="128"/>
      <c r="CG80" s="128"/>
      <c r="CH80" s="128">
        <v>2</v>
      </c>
      <c r="CJ80" s="155" t="s">
        <v>516</v>
      </c>
    </row>
    <row r="81" spans="1:88" s="130" customFormat="1" ht="15" customHeight="1" x14ac:dyDescent="0.25">
      <c r="A81" s="147" t="s">
        <v>760</v>
      </c>
      <c r="B81" s="129" t="s">
        <v>9</v>
      </c>
      <c r="C81" s="129" t="s">
        <v>844</v>
      </c>
      <c r="D81" s="129" t="s">
        <v>73</v>
      </c>
      <c r="E81" s="129" t="s">
        <v>71</v>
      </c>
      <c r="F81" s="129" t="s">
        <v>98</v>
      </c>
      <c r="G81" s="133">
        <v>2000</v>
      </c>
      <c r="H81" s="133">
        <v>2280</v>
      </c>
      <c r="I81" s="133">
        <v>600</v>
      </c>
      <c r="J81" s="133">
        <v>600</v>
      </c>
      <c r="K81" s="133">
        <v>560</v>
      </c>
      <c r="L81" s="133">
        <v>560</v>
      </c>
      <c r="M81" s="129"/>
      <c r="N81" s="140" t="s">
        <v>67</v>
      </c>
      <c r="O81" s="139">
        <v>7462.8</v>
      </c>
      <c r="P81" s="139"/>
      <c r="Q81" s="139"/>
      <c r="R81" s="129"/>
      <c r="S81" s="129"/>
      <c r="T81" s="129"/>
      <c r="U81" s="129"/>
      <c r="V81" s="129"/>
      <c r="W81" s="129"/>
      <c r="X81" s="129"/>
      <c r="Y81" s="129"/>
      <c r="Z81" s="129"/>
      <c r="AA81" s="129">
        <f>'комплекты фурнитуры'!$C$21</f>
        <v>1130</v>
      </c>
      <c r="AB81" s="129"/>
      <c r="AC81" s="129"/>
      <c r="AD81" s="129"/>
      <c r="AE81" s="129">
        <f>'комплекты фурнитуры'!$C$26*2</f>
        <v>540</v>
      </c>
      <c r="AF81" s="129"/>
      <c r="AG81" s="129"/>
      <c r="AH81" s="135">
        <f>SUM(Прайс[[#This Row],[КФ НСТ11]:[KFPr-SB-ZPG]])</f>
        <v>1670</v>
      </c>
      <c r="AI81" s="135"/>
      <c r="AJ81" s="129"/>
      <c r="AK81" s="129"/>
      <c r="AL81" s="151">
        <f>'комплекты фурнитуры'!$C$91</f>
        <v>290</v>
      </c>
      <c r="AM81" s="135">
        <f>'комплекты фурнитуры'!$C$68</f>
        <v>620</v>
      </c>
      <c r="AN81" s="142"/>
      <c r="AO81" s="135"/>
      <c r="AP81" s="135"/>
      <c r="AQ81" s="135"/>
      <c r="AR81" s="135"/>
      <c r="AS81" s="135"/>
      <c r="AT81" s="135"/>
      <c r="AU81" s="135"/>
      <c r="AV81" s="135"/>
      <c r="AW81" s="142"/>
      <c r="AX81" s="135"/>
      <c r="AY81" s="142"/>
      <c r="AZ81" s="135"/>
      <c r="BA81" s="135"/>
      <c r="BB81" s="142"/>
      <c r="BC81" s="135">
        <f>'комплекты фурнитуры'!$C$29</f>
        <v>6660</v>
      </c>
      <c r="BD81" s="142"/>
      <c r="BE81" s="142"/>
      <c r="BF81" s="142"/>
      <c r="BG81" s="142"/>
      <c r="BH81" s="135">
        <f>'комплекты фурнитуры'!$C$37</f>
        <v>5040</v>
      </c>
      <c r="BI81" s="142"/>
      <c r="BJ81" s="135"/>
      <c r="BK81" s="135"/>
      <c r="BL81" s="135"/>
      <c r="BM81" s="135"/>
      <c r="BN81" s="135"/>
      <c r="BO81" s="135"/>
      <c r="BP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Q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R81" s="136">
        <f>Прайс[[#This Row],[КФ петли SENS накл.110 гр. с крестообр. Планкой]]*2+Прайс[[#This Row],[Комплект для ящика Hettich ATIRA Серый с реллингом, NL-470, H-176]]+Прайс[[#This Row],[КФ KEKU]]*4</f>
        <v>9060</v>
      </c>
      <c r="BS81" s="128">
        <v>600</v>
      </c>
      <c r="BT81" s="128">
        <v>2040</v>
      </c>
      <c r="BU81" s="128" t="str">
        <f>IF(OR(Прайс[[#This Row],[Тип]]="Нижний",Прайс[[#This Row],[Тип]]="Пенал"),"560",IF(Прайс[[#This Row],[Тип]]="Верхний",315,0))</f>
        <v>560</v>
      </c>
      <c r="BV81" s="137">
        <v>1.08</v>
      </c>
      <c r="BW81" s="137">
        <v>1.0649999999999999</v>
      </c>
      <c r="BX81" s="131">
        <v>0</v>
      </c>
      <c r="BY81" s="128">
        <v>1</v>
      </c>
      <c r="BZ81" s="128">
        <v>1</v>
      </c>
      <c r="CA81" s="128" t="s">
        <v>10</v>
      </c>
      <c r="CB81" s="131" t="s">
        <v>488</v>
      </c>
      <c r="CC81" s="128">
        <v>1</v>
      </c>
      <c r="CD81" s="128" t="s">
        <v>10</v>
      </c>
      <c r="CE81" s="128">
        <v>8553.6</v>
      </c>
      <c r="CF81" s="128"/>
      <c r="CG81" s="128"/>
      <c r="CH81" s="128">
        <v>2</v>
      </c>
      <c r="CJ81" s="155" t="s">
        <v>515</v>
      </c>
    </row>
    <row r="82" spans="1:88" s="130" customFormat="1" ht="15" customHeight="1" x14ac:dyDescent="0.25">
      <c r="A82" s="147" t="s">
        <v>44</v>
      </c>
      <c r="B82" s="129" t="s">
        <v>9</v>
      </c>
      <c r="C82" s="129" t="s">
        <v>845</v>
      </c>
      <c r="D82" s="129" t="s">
        <v>73</v>
      </c>
      <c r="E82" s="129" t="s">
        <v>10</v>
      </c>
      <c r="F82" s="129" t="s">
        <v>97</v>
      </c>
      <c r="G82" s="133">
        <v>2280</v>
      </c>
      <c r="H82" s="133">
        <v>2280</v>
      </c>
      <c r="I82" s="133">
        <v>600</v>
      </c>
      <c r="J82" s="133">
        <v>600</v>
      </c>
      <c r="K82" s="133">
        <v>560</v>
      </c>
      <c r="L82" s="133">
        <v>560</v>
      </c>
      <c r="M82" s="129"/>
      <c r="N82" s="140" t="s">
        <v>67</v>
      </c>
      <c r="O82" s="139">
        <v>6310</v>
      </c>
      <c r="P82" s="139"/>
      <c r="Q82" s="139"/>
      <c r="R82" s="129"/>
      <c r="S82" s="129"/>
      <c r="T82" s="129"/>
      <c r="U82" s="129"/>
      <c r="V82" s="129"/>
      <c r="W82" s="129"/>
      <c r="X82" s="129"/>
      <c r="Y82" s="129"/>
      <c r="Z82" s="129"/>
      <c r="AA82" s="129">
        <f>'комплекты фурнитуры'!$C$21</f>
        <v>1130</v>
      </c>
      <c r="AB82" s="129"/>
      <c r="AC82" s="129"/>
      <c r="AD82" s="129"/>
      <c r="AE82" s="129">
        <f>'комплекты фурнитуры'!$C$26*2</f>
        <v>540</v>
      </c>
      <c r="AF82" s="129"/>
      <c r="AG82" s="129"/>
      <c r="AH82" s="135">
        <f>SUM(Прайс[[#This Row],[КФ НСТ11]:[KFPr-SB-ZPG]])</f>
        <v>1670</v>
      </c>
      <c r="AI82" s="135"/>
      <c r="AJ82" s="129"/>
      <c r="AK82" s="129"/>
      <c r="AL82" s="156"/>
      <c r="AM82" s="135">
        <f>'комплекты фурнитуры'!$C$68</f>
        <v>620</v>
      </c>
      <c r="AN82" s="135">
        <f>'комплекты фурнитуры'!$C$69</f>
        <v>130</v>
      </c>
      <c r="AO82" s="135"/>
      <c r="AP82" s="135"/>
      <c r="AQ82" s="135"/>
      <c r="AR82" s="135"/>
      <c r="AS82" s="135"/>
      <c r="AT82" s="135"/>
      <c r="AU82" s="135"/>
      <c r="AV82" s="135"/>
      <c r="AW82" s="135">
        <f>'комплекты фурнитуры'!$C$73</f>
        <v>6080</v>
      </c>
      <c r="AX82" s="135"/>
      <c r="AY82" s="135">
        <f>'комплекты фурнитуры'!$C$76</f>
        <v>2290</v>
      </c>
      <c r="AZ82" s="135"/>
      <c r="BA82" s="135"/>
      <c r="BB82" s="157"/>
      <c r="BC82" s="157"/>
      <c r="BD82" s="157"/>
      <c r="BE82" s="157"/>
      <c r="BF82" s="157"/>
      <c r="BG82" s="157"/>
      <c r="BH82" s="157"/>
      <c r="BI82" s="157"/>
      <c r="BJ82" s="135"/>
      <c r="BK82" s="135"/>
      <c r="BL82" s="135"/>
      <c r="BM82" s="135"/>
      <c r="BN82" s="135"/>
      <c r="BO82" s="135"/>
      <c r="BP82" s="136">
        <f>Прайс[[#This Row],[KFP-SP-PPGK]]+Прайс[[#This Row],[КФ петли SENS накл.110 гр. с крестообр. Планкой]]*5</f>
        <v>9180</v>
      </c>
      <c r="BQ82" s="131">
        <f>Прайс[[#This Row],[KFP-SP-PPA]]+Прайс[[#This Row],[KFP-SB-N110]]*7</f>
        <v>3200</v>
      </c>
      <c r="BR82" s="131">
        <v>0</v>
      </c>
      <c r="BS82" s="128">
        <v>600</v>
      </c>
      <c r="BT82" s="128">
        <v>2280</v>
      </c>
      <c r="BU82" s="128" t="str">
        <f>IF(OR(Прайс[[#This Row],[Тип]]="Нижний",Прайс[[#This Row],[Тип]]="Пенал"),"560",IF(Прайс[[#This Row],[Тип]]="Верхний",315,0))</f>
        <v>560</v>
      </c>
      <c r="BV82" s="137">
        <v>1.08</v>
      </c>
      <c r="BW82" s="137">
        <v>1.0649999999999999</v>
      </c>
      <c r="BX82" s="131">
        <v>1.3</v>
      </c>
      <c r="BY82" s="128">
        <v>0</v>
      </c>
      <c r="BZ82" s="128">
        <v>0</v>
      </c>
      <c r="CA82" s="128" t="s">
        <v>10</v>
      </c>
      <c r="CB82" s="131" t="s">
        <v>489</v>
      </c>
      <c r="CC82" s="128">
        <v>0</v>
      </c>
      <c r="CD82" s="128" t="s">
        <v>10</v>
      </c>
      <c r="CE82" s="128">
        <v>7320</v>
      </c>
      <c r="CF82" s="128"/>
      <c r="CG82" s="128"/>
      <c r="CH82" s="128">
        <v>3</v>
      </c>
    </row>
    <row r="83" spans="1:88" ht="15" customHeight="1" x14ac:dyDescent="0.25"/>
    <row r="84" spans="1:88" ht="15" customHeight="1" x14ac:dyDescent="0.25"/>
    <row r="85" spans="1:88" ht="15" customHeight="1" x14ac:dyDescent="0.25"/>
    <row r="87" spans="1:88" x14ac:dyDescent="0.25">
      <c r="A87" s="123"/>
    </row>
    <row r="88" spans="1:88" x14ac:dyDescent="0.25">
      <c r="A88" s="123"/>
    </row>
    <row r="89" spans="1:88" x14ac:dyDescent="0.25">
      <c r="A89" s="123"/>
    </row>
    <row r="90" spans="1:88" x14ac:dyDescent="0.25">
      <c r="A90" s="123"/>
    </row>
    <row r="91" spans="1:88" x14ac:dyDescent="0.25">
      <c r="A91" s="123"/>
    </row>
    <row r="92" spans="1:88" ht="15.75" x14ac:dyDescent="0.25">
      <c r="A92" s="123"/>
      <c r="AF92" s="29"/>
    </row>
    <row r="93" spans="1:88" x14ac:dyDescent="0.25">
      <c r="A93" s="123"/>
    </row>
    <row r="94" spans="1:88" x14ac:dyDescent="0.25">
      <c r="A94" s="123"/>
    </row>
    <row r="95" spans="1:88" x14ac:dyDescent="0.25">
      <c r="A95" s="123"/>
    </row>
    <row r="96" spans="1:88" x14ac:dyDescent="0.25">
      <c r="A96" s="123"/>
    </row>
    <row r="97" spans="1:1" x14ac:dyDescent="0.25">
      <c r="A97" s="123"/>
    </row>
    <row r="98" spans="1:1" x14ac:dyDescent="0.25">
      <c r="A98" s="123"/>
    </row>
    <row r="99" spans="1:1" x14ac:dyDescent="0.25">
      <c r="A99" s="123"/>
    </row>
    <row r="100" spans="1:1" x14ac:dyDescent="0.25">
      <c r="A100" s="123"/>
    </row>
    <row r="101" spans="1:1" x14ac:dyDescent="0.25">
      <c r="A101" s="123"/>
    </row>
    <row r="102" spans="1:1" x14ac:dyDescent="0.25">
      <c r="A102" s="123"/>
    </row>
    <row r="103" spans="1:1" x14ac:dyDescent="0.25">
      <c r="A103" s="123"/>
    </row>
    <row r="104" spans="1:1" x14ac:dyDescent="0.25">
      <c r="A104" s="123"/>
    </row>
    <row r="105" spans="1:1" x14ac:dyDescent="0.25">
      <c r="A105" s="123"/>
    </row>
    <row r="106" spans="1:1" x14ac:dyDescent="0.25">
      <c r="A106" s="123"/>
    </row>
    <row r="107" spans="1:1" x14ac:dyDescent="0.25">
      <c r="A107" s="123"/>
    </row>
    <row r="108" spans="1:1" x14ac:dyDescent="0.25">
      <c r="A108" s="123"/>
    </row>
    <row r="109" spans="1:1" x14ac:dyDescent="0.25">
      <c r="A109" s="123"/>
    </row>
    <row r="110" spans="1:1" x14ac:dyDescent="0.25">
      <c r="A110" s="123"/>
    </row>
    <row r="111" spans="1:1" x14ac:dyDescent="0.25">
      <c r="A111" s="123"/>
    </row>
    <row r="112" spans="1:1" x14ac:dyDescent="0.25">
      <c r="A112" s="123"/>
    </row>
    <row r="113" spans="1:29" x14ac:dyDescent="0.25">
      <c r="A113" s="123"/>
    </row>
    <row r="114" spans="1:29" x14ac:dyDescent="0.25">
      <c r="A114" s="123"/>
    </row>
    <row r="115" spans="1:29" x14ac:dyDescent="0.25">
      <c r="A115" s="123"/>
    </row>
    <row r="116" spans="1:29" x14ac:dyDescent="0.25">
      <c r="A116" s="123"/>
    </row>
    <row r="117" spans="1:29" x14ac:dyDescent="0.25">
      <c r="A117" s="123"/>
    </row>
    <row r="118" spans="1:29" x14ac:dyDescent="0.25">
      <c r="A118" s="123"/>
      <c r="P118" s="200"/>
      <c r="Q118" s="200"/>
      <c r="R118" s="200"/>
      <c r="S118" s="200"/>
      <c r="T118" s="200"/>
      <c r="U118" s="200"/>
      <c r="V118" s="200"/>
      <c r="W118" s="200"/>
      <c r="X118" s="200"/>
      <c r="Y118" s="6"/>
    </row>
    <row r="119" spans="1:29" x14ac:dyDescent="0.25">
      <c r="A119" s="123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 x14ac:dyDescent="0.25">
      <c r="A120" s="123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 x14ac:dyDescent="0.25">
      <c r="A121" s="123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 x14ac:dyDescent="0.25">
      <c r="A122" s="123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23"/>
    </row>
    <row r="124" spans="1:29" x14ac:dyDescent="0.25">
      <c r="A124" s="123"/>
    </row>
    <row r="125" spans="1:29" x14ac:dyDescent="0.25">
      <c r="A125" s="123"/>
    </row>
    <row r="126" spans="1:29" x14ac:dyDescent="0.25">
      <c r="A126" s="123"/>
    </row>
    <row r="127" spans="1:29" x14ac:dyDescent="0.25">
      <c r="A127" s="122"/>
    </row>
    <row r="128" spans="1:29" x14ac:dyDescent="0.25">
      <c r="A128" s="122"/>
    </row>
    <row r="129" spans="1:1" x14ac:dyDescent="0.25">
      <c r="A129" s="123"/>
    </row>
    <row r="130" spans="1:1" x14ac:dyDescent="0.25">
      <c r="A130" s="123"/>
    </row>
    <row r="131" spans="1:1" x14ac:dyDescent="0.25">
      <c r="A131" s="123"/>
    </row>
    <row r="132" spans="1:1" x14ac:dyDescent="0.25">
      <c r="A132" s="123"/>
    </row>
    <row r="133" spans="1:1" x14ac:dyDescent="0.25">
      <c r="A133" s="123"/>
    </row>
    <row r="134" spans="1:1" x14ac:dyDescent="0.25">
      <c r="A134" s="123"/>
    </row>
    <row r="135" spans="1:1" x14ac:dyDescent="0.25">
      <c r="A135" s="123"/>
    </row>
    <row r="136" spans="1:1" x14ac:dyDescent="0.25">
      <c r="A136" s="123"/>
    </row>
    <row r="137" spans="1:1" x14ac:dyDescent="0.25">
      <c r="A137" s="123"/>
    </row>
    <row r="138" spans="1:1" x14ac:dyDescent="0.25">
      <c r="A138" s="123"/>
    </row>
    <row r="139" spans="1:1" x14ac:dyDescent="0.25">
      <c r="A139" s="123"/>
    </row>
    <row r="140" spans="1:1" x14ac:dyDescent="0.25">
      <c r="A140" s="123"/>
    </row>
    <row r="141" spans="1:1" x14ac:dyDescent="0.25">
      <c r="A141" s="123"/>
    </row>
    <row r="142" spans="1:1" x14ac:dyDescent="0.25">
      <c r="A142" s="123"/>
    </row>
    <row r="143" spans="1:1" x14ac:dyDescent="0.25">
      <c r="A143" s="123"/>
    </row>
    <row r="144" spans="1:1" x14ac:dyDescent="0.25">
      <c r="A144" s="123"/>
    </row>
    <row r="145" spans="1:1" x14ac:dyDescent="0.25">
      <c r="A145" s="123"/>
    </row>
    <row r="146" spans="1:1" x14ac:dyDescent="0.25">
      <c r="A146" s="123"/>
    </row>
    <row r="147" spans="1:1" x14ac:dyDescent="0.25">
      <c r="A147" s="123"/>
    </row>
    <row r="148" spans="1:1" x14ac:dyDescent="0.25">
      <c r="A148" s="123"/>
    </row>
    <row r="149" spans="1:1" x14ac:dyDescent="0.25">
      <c r="A149" s="123"/>
    </row>
    <row r="150" spans="1:1" x14ac:dyDescent="0.25">
      <c r="A150" s="123"/>
    </row>
    <row r="151" spans="1:1" x14ac:dyDescent="0.25">
      <c r="A151" s="123"/>
    </row>
    <row r="152" spans="1:1" x14ac:dyDescent="0.25">
      <c r="A152" s="123"/>
    </row>
    <row r="153" spans="1:1" x14ac:dyDescent="0.25">
      <c r="A153" s="123"/>
    </row>
    <row r="154" spans="1:1" x14ac:dyDescent="0.25">
      <c r="A154" s="123"/>
    </row>
    <row r="155" spans="1:1" x14ac:dyDescent="0.25">
      <c r="A155" s="123"/>
    </row>
    <row r="156" spans="1:1" x14ac:dyDescent="0.25">
      <c r="A156" s="123"/>
    </row>
    <row r="157" spans="1:1" x14ac:dyDescent="0.25">
      <c r="A157" s="123"/>
    </row>
    <row r="158" spans="1:1" x14ac:dyDescent="0.25">
      <c r="A158" s="123"/>
    </row>
    <row r="159" spans="1:1" x14ac:dyDescent="0.25">
      <c r="A159" s="123"/>
    </row>
    <row r="160" spans="1:1" x14ac:dyDescent="0.25">
      <c r="A160" s="123"/>
    </row>
    <row r="161" spans="1:1" ht="15" customHeight="1" x14ac:dyDescent="0.25">
      <c r="A161" s="123"/>
    </row>
    <row r="162" spans="1:1" x14ac:dyDescent="0.25">
      <c r="A162" s="122"/>
    </row>
  </sheetData>
  <mergeCells count="1">
    <mergeCell ref="P118:X118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EJ148"/>
  <sheetViews>
    <sheetView topLeftCell="Y22" zoomScale="85" zoomScaleNormal="85" workbookViewId="0">
      <selection activeCell="AC35" sqref="AC35"/>
    </sheetView>
  </sheetViews>
  <sheetFormatPr defaultColWidth="9.140625" defaultRowHeight="15.75" x14ac:dyDescent="0.25"/>
  <cols>
    <col min="1" max="1" width="38.5703125" style="35" bestFit="1" customWidth="1"/>
    <col min="2" max="2" width="15" style="35" customWidth="1"/>
    <col min="3" max="3" width="9.140625" style="35" customWidth="1"/>
    <col min="4" max="4" width="7.42578125" style="35" customWidth="1"/>
    <col min="5" max="6" width="9.140625" style="35"/>
    <col min="7" max="7" width="7.42578125" style="35" bestFit="1" customWidth="1"/>
    <col min="8" max="10" width="9.140625" style="35"/>
    <col min="11" max="11" width="18.140625" style="35" bestFit="1" customWidth="1"/>
    <col min="12" max="12" width="31.7109375" style="35" bestFit="1" customWidth="1"/>
    <col min="13" max="13" width="15.140625" style="35" bestFit="1" customWidth="1"/>
    <col min="14" max="14" width="25.28515625" style="35" customWidth="1"/>
    <col min="15" max="15" width="15.85546875" style="35" bestFit="1" customWidth="1"/>
    <col min="16" max="16" width="14.7109375" style="35" customWidth="1"/>
    <col min="17" max="17" width="13.28515625" style="35" customWidth="1"/>
    <col min="18" max="18" width="9.140625" style="35"/>
    <col min="19" max="19" width="34.85546875" style="35" bestFit="1" customWidth="1"/>
    <col min="20" max="20" width="23.28515625" style="35" bestFit="1" customWidth="1"/>
    <col min="21" max="21" width="22.7109375" style="35" bestFit="1" customWidth="1"/>
    <col min="22" max="22" width="16.140625" style="35" bestFit="1" customWidth="1"/>
    <col min="23" max="23" width="18.85546875" style="35" bestFit="1" customWidth="1"/>
    <col min="24" max="24" width="16.140625" style="35" bestFit="1" customWidth="1"/>
    <col min="25" max="25" width="16.140625" style="35" customWidth="1"/>
    <col min="26" max="27" width="18.28515625" style="35" customWidth="1"/>
    <col min="28" max="28" width="36.28515625" style="35" bestFit="1" customWidth="1"/>
    <col min="29" max="30" width="29.42578125" style="35" customWidth="1"/>
    <col min="31" max="31" width="15.42578125" style="35" bestFit="1" customWidth="1"/>
    <col min="32" max="35" width="15.42578125" style="35" customWidth="1"/>
    <col min="36" max="36" width="23.7109375" style="35" bestFit="1" customWidth="1"/>
    <col min="37" max="37" width="25.140625" style="35" bestFit="1" customWidth="1"/>
    <col min="38" max="38" width="25.140625" style="35" customWidth="1"/>
    <col min="39" max="39" width="10.5703125" style="35" customWidth="1"/>
    <col min="40" max="40" width="52" style="35" bestFit="1" customWidth="1"/>
    <col min="41" max="51" width="30.42578125" style="35" customWidth="1"/>
    <col min="52" max="53" width="15.5703125" style="35" bestFit="1" customWidth="1"/>
    <col min="54" max="54" width="24" style="35" bestFit="1" customWidth="1"/>
    <col min="55" max="55" width="17.42578125" style="35" bestFit="1" customWidth="1"/>
    <col min="56" max="56" width="20.85546875" style="35" bestFit="1" customWidth="1"/>
    <col min="57" max="57" width="18.7109375" style="35" bestFit="1" customWidth="1"/>
    <col min="58" max="59" width="18.7109375" style="35" customWidth="1"/>
    <col min="60" max="60" width="54.42578125" style="35" bestFit="1" customWidth="1"/>
    <col min="61" max="61" width="18.7109375" style="35" customWidth="1"/>
    <col min="62" max="62" width="33.85546875" style="35" bestFit="1" customWidth="1"/>
    <col min="63" max="63" width="33.85546875" style="35" customWidth="1"/>
    <col min="64" max="64" width="42.140625" style="35" bestFit="1" customWidth="1"/>
    <col min="65" max="65" width="12.7109375" style="35" bestFit="1" customWidth="1"/>
    <col min="66" max="68" width="9.140625" style="35"/>
    <col min="69" max="69" width="86.42578125" style="35" bestFit="1" customWidth="1"/>
    <col min="70" max="70" width="10.7109375" style="35" bestFit="1" customWidth="1"/>
    <col min="71" max="72" width="9.140625" style="35"/>
    <col min="73" max="73" width="70.85546875" style="35" bestFit="1" customWidth="1"/>
    <col min="74" max="74" width="9" style="35" customWidth="1"/>
    <col min="75" max="75" width="9.140625" style="35"/>
    <col min="76" max="76" width="80.85546875" style="35" bestFit="1" customWidth="1"/>
    <col min="77" max="77" width="10.85546875" style="35" customWidth="1"/>
    <col min="78" max="80" width="9.140625" style="35"/>
    <col min="81" max="81" width="19.7109375" style="35" customWidth="1"/>
    <col min="82" max="83" width="9.140625" style="35"/>
    <col min="84" max="84" width="56.85546875" style="35" bestFit="1" customWidth="1"/>
    <col min="85" max="85" width="16.7109375" style="35" bestFit="1" customWidth="1"/>
    <col min="86" max="86" width="31" style="35" bestFit="1" customWidth="1"/>
    <col min="87" max="87" width="19" style="35" bestFit="1" customWidth="1"/>
    <col min="88" max="88" width="9.140625" style="35" customWidth="1"/>
    <col min="89" max="91" width="9.140625" style="35"/>
    <col min="92" max="92" width="39.85546875" style="35" bestFit="1" customWidth="1"/>
    <col min="93" max="95" width="9.140625" style="35"/>
    <col min="96" max="96" width="56.42578125" style="35" bestFit="1" customWidth="1"/>
    <col min="97" max="97" width="21.140625" style="35" bestFit="1" customWidth="1"/>
    <col min="98" max="98" width="29.5703125" style="35" bestFit="1" customWidth="1"/>
    <col min="99" max="99" width="65.140625" style="35" bestFit="1" customWidth="1"/>
    <col min="100" max="100" width="12" style="35" bestFit="1" customWidth="1"/>
    <col min="101" max="103" width="9.140625" style="35"/>
    <col min="104" max="104" width="65.85546875" style="159" bestFit="1" customWidth="1"/>
    <col min="105" max="105" width="26.42578125" style="35" bestFit="1" customWidth="1"/>
    <col min="106" max="106" width="19.140625" style="35" bestFit="1" customWidth="1"/>
    <col min="107" max="107" width="22" style="35" bestFit="1" customWidth="1"/>
    <col min="108" max="108" width="24.28515625" style="35" bestFit="1" customWidth="1"/>
    <col min="109" max="113" width="21.140625" style="35" bestFit="1" customWidth="1"/>
    <col min="114" max="125" width="9.140625" style="35"/>
    <col min="126" max="126" width="82.7109375" style="35" bestFit="1" customWidth="1"/>
    <col min="127" max="127" width="9" style="35" bestFit="1" customWidth="1"/>
    <col min="128" max="16384" width="9.140625" style="35"/>
  </cols>
  <sheetData>
    <row r="1" spans="2:129" ht="30" customHeight="1" x14ac:dyDescent="0.25">
      <c r="B1" s="35" t="s">
        <v>135</v>
      </c>
      <c r="E1" s="35" t="s">
        <v>111</v>
      </c>
      <c r="K1" s="201" t="s">
        <v>137</v>
      </c>
      <c r="L1" s="201"/>
      <c r="M1" s="201"/>
      <c r="N1" s="201"/>
      <c r="O1" s="201"/>
      <c r="P1" s="201"/>
      <c r="S1" s="35" t="s">
        <v>144</v>
      </c>
      <c r="T1" s="35" t="s">
        <v>145</v>
      </c>
      <c r="U1" s="35" t="s">
        <v>146</v>
      </c>
      <c r="V1" s="35" t="s">
        <v>147</v>
      </c>
      <c r="W1" s="35" t="s">
        <v>148</v>
      </c>
      <c r="X1" s="35" t="s">
        <v>149</v>
      </c>
      <c r="Y1" s="35" t="s">
        <v>435</v>
      </c>
      <c r="Z1" s="35" t="s">
        <v>484</v>
      </c>
      <c r="AB1" s="158" t="s">
        <v>150</v>
      </c>
      <c r="AC1" s="158" t="s">
        <v>151</v>
      </c>
      <c r="AD1" s="158" t="s">
        <v>152</v>
      </c>
      <c r="AE1" s="158" t="s">
        <v>153</v>
      </c>
      <c r="AF1" s="159" t="s">
        <v>744</v>
      </c>
      <c r="AG1" s="158" t="s">
        <v>747</v>
      </c>
      <c r="AH1" s="159" t="s">
        <v>745</v>
      </c>
      <c r="AI1" s="159" t="s">
        <v>880</v>
      </c>
      <c r="AJ1" s="158" t="s">
        <v>481</v>
      </c>
      <c r="AK1" s="158" t="s">
        <v>569</v>
      </c>
      <c r="AL1" s="158" t="s">
        <v>753</v>
      </c>
      <c r="AN1" s="163" t="s">
        <v>144</v>
      </c>
      <c r="AO1" s="163" t="s">
        <v>547</v>
      </c>
      <c r="AP1" s="163" t="s">
        <v>556</v>
      </c>
      <c r="AQ1" s="163" t="s">
        <v>571</v>
      </c>
      <c r="AR1" s="163" t="s">
        <v>550</v>
      </c>
      <c r="AS1" s="163" t="s">
        <v>481</v>
      </c>
      <c r="AT1" s="158" t="s">
        <v>569</v>
      </c>
      <c r="AU1" s="159" t="s">
        <v>744</v>
      </c>
      <c r="AV1" s="158" t="s">
        <v>747</v>
      </c>
      <c r="AW1" s="159" t="s">
        <v>745</v>
      </c>
      <c r="AX1" s="159" t="s">
        <v>880</v>
      </c>
      <c r="AY1" s="159" t="s">
        <v>435</v>
      </c>
      <c r="AZ1" s="163" t="s">
        <v>484</v>
      </c>
      <c r="BB1" s="201" t="s">
        <v>686</v>
      </c>
      <c r="BC1" s="201"/>
      <c r="BD1" s="201"/>
      <c r="BE1" s="201"/>
      <c r="BF1" s="95"/>
      <c r="BG1" s="95"/>
      <c r="BJ1" s="95"/>
      <c r="BK1" s="95"/>
      <c r="BL1" s="95" t="s">
        <v>693</v>
      </c>
      <c r="BM1" s="95"/>
      <c r="BN1" s="95"/>
      <c r="BQ1" s="202" t="s">
        <v>734</v>
      </c>
      <c r="BR1" s="202"/>
      <c r="BU1" s="203" t="s">
        <v>735</v>
      </c>
      <c r="BV1" s="203"/>
      <c r="BX1" s="203" t="s">
        <v>736</v>
      </c>
      <c r="BY1" s="203"/>
      <c r="CB1" s="35" t="s">
        <v>549</v>
      </c>
      <c r="CF1" s="202" t="s">
        <v>572</v>
      </c>
      <c r="CG1" s="202"/>
      <c r="CH1" s="202"/>
      <c r="CI1" s="202"/>
      <c r="CJ1" s="202"/>
      <c r="CK1" s="74"/>
      <c r="CL1" s="74"/>
      <c r="CM1" s="74"/>
      <c r="CN1" s="202" t="s">
        <v>685</v>
      </c>
      <c r="CO1" s="202"/>
      <c r="CR1" s="202" t="s">
        <v>684</v>
      </c>
      <c r="CS1" s="202"/>
      <c r="CT1" s="202"/>
      <c r="CU1" s="202"/>
      <c r="CV1" s="202"/>
      <c r="CZ1" s="159" t="s">
        <v>443</v>
      </c>
    </row>
    <row r="2" spans="2:129" ht="30" customHeight="1" x14ac:dyDescent="0.25">
      <c r="K2" s="34"/>
      <c r="L2" s="34"/>
      <c r="M2" s="34"/>
      <c r="N2" s="34"/>
      <c r="O2" s="34"/>
      <c r="S2" s="35" t="s">
        <v>295</v>
      </c>
      <c r="T2" s="35" t="s">
        <v>143</v>
      </c>
      <c r="U2" s="35">
        <v>2</v>
      </c>
      <c r="V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40">
        <v>6</v>
      </c>
      <c r="AB2" s="160" t="s">
        <v>155</v>
      </c>
      <c r="AC2" s="160" t="s">
        <v>156</v>
      </c>
      <c r="AD2" s="160">
        <v>19</v>
      </c>
      <c r="AE2" s="160">
        <v>0</v>
      </c>
      <c r="AF2" s="161">
        <v>70</v>
      </c>
      <c r="AG2" s="161">
        <v>2400</v>
      </c>
      <c r="AH2" s="161">
        <v>270</v>
      </c>
      <c r="AI2" s="161">
        <v>950</v>
      </c>
      <c r="AJ2" s="160" t="s">
        <v>71</v>
      </c>
      <c r="AK2" s="160" t="s">
        <v>10</v>
      </c>
      <c r="AL2" s="160">
        <v>0</v>
      </c>
      <c r="AN2" s="164" t="s">
        <v>846</v>
      </c>
      <c r="AO2" s="165" t="s">
        <v>557</v>
      </c>
      <c r="AP2" s="165">
        <f>VLOOKUP(Пластики_Acryline[[#This Row],[Ценовая группа]],Цены_по_категориям_Acryline[],2,0)</f>
        <v>7745</v>
      </c>
      <c r="AQ2" s="165">
        <f>VLOOKUP(Пластики_Acryline[[#This Row],[Ценовая группа]],Цены_по_категориям_Acryline[],3,0)</f>
        <v>12274</v>
      </c>
      <c r="AR2" s="165" t="s">
        <v>551</v>
      </c>
      <c r="AS2" s="165" t="s">
        <v>71</v>
      </c>
      <c r="AT2" s="165" t="s">
        <v>10</v>
      </c>
      <c r="AU2" s="165">
        <v>90</v>
      </c>
      <c r="AV2" s="165">
        <v>2750</v>
      </c>
      <c r="AW2" s="165">
        <v>250</v>
      </c>
      <c r="AX2" s="165">
        <v>1200</v>
      </c>
      <c r="AY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" s="159">
        <v>1</v>
      </c>
      <c r="BB2" s="166" t="s">
        <v>547</v>
      </c>
      <c r="BC2" s="167" t="s">
        <v>546</v>
      </c>
      <c r="BD2" s="167" t="s">
        <v>553</v>
      </c>
      <c r="BE2" s="166" t="s">
        <v>481</v>
      </c>
      <c r="BF2" s="166" t="s">
        <v>435</v>
      </c>
      <c r="BH2" s="201" t="s">
        <v>692</v>
      </c>
      <c r="BI2" s="201"/>
      <c r="BJ2" s="201"/>
      <c r="BK2" s="34"/>
      <c r="BL2" s="35" t="s">
        <v>694</v>
      </c>
      <c r="BQ2" s="35" t="s">
        <v>349</v>
      </c>
      <c r="BR2" s="35" t="s">
        <v>508</v>
      </c>
      <c r="BU2" s="106" t="s">
        <v>349</v>
      </c>
      <c r="BV2" s="106" t="s">
        <v>508</v>
      </c>
      <c r="BX2" s="106" t="s">
        <v>349</v>
      </c>
      <c r="BY2" s="106" t="s">
        <v>508</v>
      </c>
      <c r="CF2" s="80" t="s">
        <v>573</v>
      </c>
      <c r="CG2" s="81" t="s">
        <v>5</v>
      </c>
      <c r="CH2" s="80" t="s">
        <v>114</v>
      </c>
      <c r="CI2" s="80" t="s">
        <v>125</v>
      </c>
      <c r="CJ2" s="81" t="s">
        <v>508</v>
      </c>
      <c r="CN2" s="70" t="s">
        <v>547</v>
      </c>
      <c r="CO2" s="70" t="s">
        <v>508</v>
      </c>
      <c r="CP2" s="75"/>
      <c r="CQ2" s="76"/>
      <c r="CR2" s="35" t="s">
        <v>669</v>
      </c>
      <c r="CS2" s="35" t="s">
        <v>125</v>
      </c>
      <c r="CT2" s="35" t="s">
        <v>5</v>
      </c>
      <c r="CU2" s="35" t="s">
        <v>668</v>
      </c>
      <c r="CV2" s="35" t="s">
        <v>508</v>
      </c>
      <c r="CW2" s="76"/>
      <c r="CX2" s="166"/>
      <c r="CY2" s="166"/>
      <c r="CZ2" s="159" t="s">
        <v>444</v>
      </c>
      <c r="DA2" s="35" t="s">
        <v>445</v>
      </c>
      <c r="DB2" s="35" t="s">
        <v>121</v>
      </c>
      <c r="DC2" s="35" t="s">
        <v>459</v>
      </c>
      <c r="DD2" s="35" t="s">
        <v>460</v>
      </c>
      <c r="DE2" s="35" t="s">
        <v>474</v>
      </c>
      <c r="DF2" s="35" t="s">
        <v>475</v>
      </c>
      <c r="DG2" s="35" t="s">
        <v>476</v>
      </c>
      <c r="DH2" s="35" t="s">
        <v>477</v>
      </c>
    </row>
    <row r="3" spans="2:129" ht="30" customHeight="1" x14ac:dyDescent="0.25">
      <c r="K3" s="166" t="s">
        <v>125</v>
      </c>
      <c r="L3" s="166" t="s">
        <v>138</v>
      </c>
      <c r="M3" s="166" t="s">
        <v>139</v>
      </c>
      <c r="N3" s="166" t="s">
        <v>140</v>
      </c>
      <c r="O3" s="166" t="s">
        <v>141</v>
      </c>
      <c r="P3" s="166" t="s">
        <v>435</v>
      </c>
      <c r="S3" s="35" t="s">
        <v>195</v>
      </c>
      <c r="T3" s="35" t="s">
        <v>142</v>
      </c>
      <c r="U3" s="35">
        <v>1</v>
      </c>
      <c r="V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40">
        <v>22</v>
      </c>
      <c r="AB3" s="160" t="s">
        <v>160</v>
      </c>
      <c r="AC3" s="160" t="s">
        <v>158</v>
      </c>
      <c r="AD3" s="160">
        <v>19</v>
      </c>
      <c r="AE3" s="160">
        <v>16</v>
      </c>
      <c r="AF3" s="161">
        <v>135</v>
      </c>
      <c r="AG3" s="161">
        <v>2550</v>
      </c>
      <c r="AH3" s="161">
        <v>135</v>
      </c>
      <c r="AI3" s="161">
        <v>950</v>
      </c>
      <c r="AJ3" s="160" t="s">
        <v>71</v>
      </c>
      <c r="AK3" s="160" t="s">
        <v>71</v>
      </c>
      <c r="AL3" s="160">
        <v>0</v>
      </c>
      <c r="AN3" s="164" t="s">
        <v>847</v>
      </c>
      <c r="AO3" s="165" t="s">
        <v>557</v>
      </c>
      <c r="AP3" s="165">
        <f>VLOOKUP(Пластики_Acryline[[#This Row],[Ценовая группа]],Цены_по_категориям_Acryline[],2,0)</f>
        <v>7745</v>
      </c>
      <c r="AQ3" s="165">
        <f>VLOOKUP(Пластики_Acryline[[#This Row],[Ценовая группа]],Цены_по_категориям_Acryline[],3,0)</f>
        <v>12274</v>
      </c>
      <c r="AR3" s="165" t="s">
        <v>552</v>
      </c>
      <c r="AS3" s="165" t="s">
        <v>71</v>
      </c>
      <c r="AT3" s="165" t="s">
        <v>10</v>
      </c>
      <c r="AU3" s="165">
        <v>90</v>
      </c>
      <c r="AV3" s="165">
        <v>2750</v>
      </c>
      <c r="AW3" s="165">
        <v>250</v>
      </c>
      <c r="AX3" s="165">
        <v>1200</v>
      </c>
      <c r="AY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3" s="159">
        <v>1</v>
      </c>
      <c r="BB3" s="57" t="s">
        <v>544</v>
      </c>
      <c r="BC3" s="48">
        <v>4850</v>
      </c>
      <c r="BD3" s="168">
        <v>0</v>
      </c>
      <c r="BE3" s="169" t="s">
        <v>10</v>
      </c>
      <c r="BF3" s="170">
        <v>0</v>
      </c>
      <c r="BG3" s="42"/>
      <c r="BH3" s="52" t="s">
        <v>547</v>
      </c>
      <c r="BI3" s="52" t="s">
        <v>481</v>
      </c>
      <c r="BJ3" s="172" t="s">
        <v>687</v>
      </c>
      <c r="BK3" s="55"/>
      <c r="BL3" s="56" t="s">
        <v>695</v>
      </c>
      <c r="BQ3" s="33" t="s">
        <v>740</v>
      </c>
      <c r="BR3" s="86">
        <v>2392</v>
      </c>
      <c r="BU3" s="102" t="s">
        <v>645</v>
      </c>
      <c r="BV3" s="103">
        <v>3484</v>
      </c>
      <c r="BX3" s="102" t="s">
        <v>651</v>
      </c>
      <c r="BY3" s="103">
        <v>1123.2</v>
      </c>
      <c r="CF3" s="109" t="s">
        <v>741</v>
      </c>
      <c r="CG3" s="110" t="s">
        <v>492</v>
      </c>
      <c r="CH3" s="110" t="s">
        <v>492</v>
      </c>
      <c r="CI3" s="110" t="s">
        <v>492</v>
      </c>
      <c r="CJ3" s="98">
        <f>VLOOKUP(Ручки[[#This Row],[Категория]],Ценовые_категории_ручек[],2,0)</f>
        <v>770</v>
      </c>
      <c r="CK3" s="64"/>
      <c r="CN3" s="53" t="s">
        <v>576</v>
      </c>
      <c r="CO3" s="91">
        <v>50</v>
      </c>
      <c r="CP3" s="78"/>
      <c r="CQ3" s="64"/>
      <c r="CR3" s="94" t="s">
        <v>662</v>
      </c>
      <c r="CS3" s="94" t="s">
        <v>126</v>
      </c>
      <c r="CT3" s="94" t="s">
        <v>670</v>
      </c>
      <c r="CU3" s="82" t="s">
        <v>679</v>
      </c>
      <c r="CV3" s="100">
        <v>4362</v>
      </c>
      <c r="CX3" s="166"/>
      <c r="CY3" s="174"/>
      <c r="CZ3" s="164" t="s">
        <v>446</v>
      </c>
      <c r="DA3" s="35" t="s">
        <v>458</v>
      </c>
      <c r="DB3" s="35">
        <v>38</v>
      </c>
      <c r="DC3" s="35">
        <v>3000</v>
      </c>
      <c r="DD3" s="35">
        <v>1200</v>
      </c>
      <c r="DE3" s="39">
        <v>2536</v>
      </c>
      <c r="DF3" s="39">
        <v>4278</v>
      </c>
      <c r="DG3" s="39">
        <v>6020</v>
      </c>
      <c r="DH3" s="39">
        <f>ROUND(3650/1000/3*Столешницы[[#This Row],[600 х 3000]],0)</f>
        <v>7324</v>
      </c>
    </row>
    <row r="4" spans="2:129" ht="30" customHeight="1" x14ac:dyDescent="0.25">
      <c r="K4" s="166" t="s">
        <v>142</v>
      </c>
      <c r="L4" s="166">
        <v>1</v>
      </c>
      <c r="M4" s="176">
        <v>4041</v>
      </c>
      <c r="N4" s="176">
        <v>4445</v>
      </c>
      <c r="O4" s="176">
        <v>4851</v>
      </c>
      <c r="P4" s="170">
        <v>0.2</v>
      </c>
      <c r="S4" s="35" t="s">
        <v>241</v>
      </c>
      <c r="T4" s="35" t="s">
        <v>143</v>
      </c>
      <c r="U4" s="35">
        <v>1</v>
      </c>
      <c r="V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40">
        <v>39</v>
      </c>
      <c r="AB4" s="160" t="s">
        <v>162</v>
      </c>
      <c r="AC4" s="160" t="s">
        <v>158</v>
      </c>
      <c r="AD4" s="160">
        <v>19</v>
      </c>
      <c r="AE4" s="160">
        <v>16</v>
      </c>
      <c r="AF4" s="162">
        <v>135</v>
      </c>
      <c r="AG4" s="162">
        <v>2550</v>
      </c>
      <c r="AH4" s="162">
        <v>275</v>
      </c>
      <c r="AI4" s="162">
        <v>950</v>
      </c>
      <c r="AJ4" s="160" t="s">
        <v>71</v>
      </c>
      <c r="AK4" s="160" t="s">
        <v>71</v>
      </c>
      <c r="AL4" s="160">
        <v>0</v>
      </c>
      <c r="AN4" s="164" t="s">
        <v>848</v>
      </c>
      <c r="AO4" s="165" t="s">
        <v>557</v>
      </c>
      <c r="AP4" s="165">
        <f>VLOOKUP(Пластики_Acryline[[#This Row],[Ценовая группа]],Цены_по_категориям_Acryline[],2,0)</f>
        <v>7745</v>
      </c>
      <c r="AQ4" s="165">
        <f>VLOOKUP(Пластики_Acryline[[#This Row],[Ценовая группа]],Цены_по_категориям_Acryline[],3,0)</f>
        <v>12274</v>
      </c>
      <c r="AR4" s="165" t="s">
        <v>551</v>
      </c>
      <c r="AS4" s="165" t="s">
        <v>71</v>
      </c>
      <c r="AT4" s="165" t="s">
        <v>10</v>
      </c>
      <c r="AU4" s="165">
        <v>90</v>
      </c>
      <c r="AV4" s="165">
        <v>2750</v>
      </c>
      <c r="AW4" s="165">
        <v>250</v>
      </c>
      <c r="AX4" s="165">
        <v>1200</v>
      </c>
      <c r="AY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4" s="159">
        <v>2</v>
      </c>
      <c r="BB4" s="57" t="s">
        <v>545</v>
      </c>
      <c r="BC4" s="48">
        <v>5808</v>
      </c>
      <c r="BD4" s="171">
        <v>9206</v>
      </c>
      <c r="BE4" s="169" t="s">
        <v>71</v>
      </c>
      <c r="BF4" s="170">
        <v>0</v>
      </c>
      <c r="BG4" s="42"/>
      <c r="BH4" s="52" t="s">
        <v>688</v>
      </c>
      <c r="BI4" s="52" t="s">
        <v>10</v>
      </c>
      <c r="BJ4" s="173">
        <v>4218</v>
      </c>
      <c r="BK4" s="96"/>
      <c r="BL4" s="56" t="s">
        <v>696</v>
      </c>
      <c r="BQ4" s="36" t="s">
        <v>510</v>
      </c>
      <c r="BR4" s="87">
        <v>520</v>
      </c>
      <c r="BU4" s="36" t="s">
        <v>646</v>
      </c>
      <c r="BV4" s="88">
        <v>312</v>
      </c>
      <c r="BX4" s="36" t="s">
        <v>652</v>
      </c>
      <c r="BY4" s="88">
        <v>1123.2</v>
      </c>
      <c r="CC4" s="43" t="s">
        <v>482</v>
      </c>
      <c r="CD4" s="44">
        <v>1.25</v>
      </c>
      <c r="CF4" s="109" t="s">
        <v>538</v>
      </c>
      <c r="CG4" s="110" t="s">
        <v>492</v>
      </c>
      <c r="CH4" s="110" t="s">
        <v>492</v>
      </c>
      <c r="CI4" s="110" t="s">
        <v>492</v>
      </c>
      <c r="CJ4" s="98">
        <f>VLOOKUP(Ручки[[#This Row],[Категория]],Ценовые_категории_ручек[],2,0)</f>
        <v>770</v>
      </c>
      <c r="CN4" s="53" t="s">
        <v>544</v>
      </c>
      <c r="CO4" s="91">
        <v>257</v>
      </c>
      <c r="CP4" s="64"/>
      <c r="CR4" s="94" t="s">
        <v>663</v>
      </c>
      <c r="CS4" s="94" t="s">
        <v>126</v>
      </c>
      <c r="CT4" s="94" t="s">
        <v>671</v>
      </c>
      <c r="CU4" s="82" t="s">
        <v>673</v>
      </c>
      <c r="CV4" s="101">
        <v>2618</v>
      </c>
      <c r="CX4" s="166"/>
      <c r="CY4" s="174"/>
      <c r="CZ4" s="164" t="s">
        <v>447</v>
      </c>
      <c r="DA4" s="35" t="s">
        <v>458</v>
      </c>
      <c r="DB4" s="35">
        <v>38</v>
      </c>
      <c r="DC4" s="35">
        <v>3000</v>
      </c>
      <c r="DD4" s="35">
        <v>600</v>
      </c>
      <c r="DE4" s="39">
        <v>2536</v>
      </c>
      <c r="DF4" s="39">
        <v>4278</v>
      </c>
      <c r="DG4" s="39">
        <v>6020</v>
      </c>
      <c r="DH4" s="39">
        <f>ROUND(3650/1000/3*Столешницы[[#This Row],[600 х 3000]],0)</f>
        <v>7324</v>
      </c>
    </row>
    <row r="5" spans="2:129" ht="30" customHeight="1" x14ac:dyDescent="0.25">
      <c r="B5" s="35" t="s">
        <v>105</v>
      </c>
      <c r="E5" s="35" t="s">
        <v>103</v>
      </c>
      <c r="H5" s="35" t="s">
        <v>102</v>
      </c>
      <c r="K5" s="166" t="s">
        <v>142</v>
      </c>
      <c r="L5" s="166">
        <v>2</v>
      </c>
      <c r="M5" s="176">
        <v>4649</v>
      </c>
      <c r="N5" s="176">
        <v>5113</v>
      </c>
      <c r="O5" s="176">
        <v>5578</v>
      </c>
      <c r="P5" s="170">
        <v>0</v>
      </c>
      <c r="S5" s="35" t="s">
        <v>243</v>
      </c>
      <c r="T5" s="35" t="s">
        <v>143</v>
      </c>
      <c r="U5" s="35">
        <v>1</v>
      </c>
      <c r="V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40">
        <v>45</v>
      </c>
      <c r="AB5" s="160" t="s">
        <v>164</v>
      </c>
      <c r="AC5" s="160" t="s">
        <v>156</v>
      </c>
      <c r="AD5" s="160">
        <v>19</v>
      </c>
      <c r="AE5" s="160">
        <v>0</v>
      </c>
      <c r="AF5" s="162">
        <v>116</v>
      </c>
      <c r="AG5" s="162">
        <v>2550</v>
      </c>
      <c r="AH5" s="162">
        <v>270</v>
      </c>
      <c r="AI5" s="162">
        <v>950</v>
      </c>
      <c r="AJ5" s="160" t="s">
        <v>10</v>
      </c>
      <c r="AK5" s="160" t="s">
        <v>10</v>
      </c>
      <c r="AL5" s="160">
        <v>0.1</v>
      </c>
      <c r="AN5" s="164" t="s">
        <v>849</v>
      </c>
      <c r="AO5" s="165" t="s">
        <v>557</v>
      </c>
      <c r="AP5" s="165">
        <f>VLOOKUP(Пластики_Acryline[[#This Row],[Ценовая группа]],Цены_по_категориям_Acryline[],2,0)</f>
        <v>7745</v>
      </c>
      <c r="AQ5" s="165">
        <f>VLOOKUP(Пластики_Acryline[[#This Row],[Ценовая группа]],Цены_по_категориям_Acryline[],3,0)</f>
        <v>12274</v>
      </c>
      <c r="AR5" s="165" t="s">
        <v>551</v>
      </c>
      <c r="AS5" s="165" t="s">
        <v>71</v>
      </c>
      <c r="AT5" s="165" t="s">
        <v>10</v>
      </c>
      <c r="AU5" s="165">
        <v>90</v>
      </c>
      <c r="AV5" s="165">
        <v>2750</v>
      </c>
      <c r="AW5" s="165">
        <v>250</v>
      </c>
      <c r="AX5" s="165">
        <v>1200</v>
      </c>
      <c r="AY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5" s="159">
        <v>3</v>
      </c>
      <c r="BB5" s="57" t="s">
        <v>557</v>
      </c>
      <c r="BC5" s="48">
        <v>7745</v>
      </c>
      <c r="BD5" s="171">
        <v>12274</v>
      </c>
      <c r="BE5" s="169" t="s">
        <v>71</v>
      </c>
      <c r="BF5" s="170">
        <v>0</v>
      </c>
      <c r="BG5" s="42"/>
      <c r="BH5" s="52" t="s">
        <v>689</v>
      </c>
      <c r="BI5" s="52" t="s">
        <v>10</v>
      </c>
      <c r="BJ5" s="173">
        <v>3786</v>
      </c>
      <c r="BK5" s="96"/>
      <c r="BL5" s="56" t="s">
        <v>697</v>
      </c>
      <c r="BQ5" s="36" t="s">
        <v>511</v>
      </c>
      <c r="BR5" s="87">
        <v>312</v>
      </c>
      <c r="BU5" s="102" t="s">
        <v>647</v>
      </c>
      <c r="BV5" s="103">
        <v>312</v>
      </c>
      <c r="BX5" s="102" t="s">
        <v>653</v>
      </c>
      <c r="BY5" s="103">
        <v>1123.2</v>
      </c>
      <c r="CF5" s="71" t="s">
        <v>607</v>
      </c>
      <c r="CG5" s="65" t="s">
        <v>582</v>
      </c>
      <c r="CH5" s="53" t="s">
        <v>544</v>
      </c>
      <c r="CI5" s="82" t="s">
        <v>717</v>
      </c>
      <c r="CJ5" s="98">
        <f>VLOOKUP(Ручки[[#This Row],[Категория]],Ценовые_категории_ручек[],2,0)</f>
        <v>257</v>
      </c>
      <c r="CN5" s="70" t="s">
        <v>584</v>
      </c>
      <c r="CO5" s="92">
        <v>450</v>
      </c>
      <c r="CP5" s="64"/>
      <c r="CR5" s="94" t="s">
        <v>884</v>
      </c>
      <c r="CS5" s="94" t="s">
        <v>126</v>
      </c>
      <c r="CT5" s="94" t="s">
        <v>672</v>
      </c>
      <c r="CU5" s="82" t="s">
        <v>680</v>
      </c>
      <c r="CV5" s="100">
        <v>2092</v>
      </c>
      <c r="CX5" s="166"/>
      <c r="CY5" s="174"/>
      <c r="CZ5" s="164" t="s">
        <v>448</v>
      </c>
      <c r="DA5" s="35" t="s">
        <v>458</v>
      </c>
      <c r="DB5" s="35">
        <v>38</v>
      </c>
      <c r="DC5" s="35">
        <v>3000</v>
      </c>
      <c r="DD5" s="35">
        <v>1200</v>
      </c>
      <c r="DE5" s="39">
        <v>2536</v>
      </c>
      <c r="DF5" s="39">
        <v>4278</v>
      </c>
      <c r="DG5" s="39">
        <v>6020</v>
      </c>
      <c r="DH5" s="39">
        <f>ROUND(3650/1000/3*Столешницы[[#This Row],[600 х 3000]],0)</f>
        <v>7324</v>
      </c>
    </row>
    <row r="6" spans="2:129" ht="30" customHeight="1" x14ac:dyDescent="0.25">
      <c r="K6" s="166" t="s">
        <v>142</v>
      </c>
      <c r="L6" s="166">
        <v>3</v>
      </c>
      <c r="M6" s="176">
        <v>5542</v>
      </c>
      <c r="N6" s="176">
        <v>6096</v>
      </c>
      <c r="O6" s="176">
        <v>6650</v>
      </c>
      <c r="P6" s="170">
        <v>0</v>
      </c>
      <c r="S6" s="35" t="s">
        <v>296</v>
      </c>
      <c r="T6" s="35" t="s">
        <v>143</v>
      </c>
      <c r="U6" s="35">
        <v>1</v>
      </c>
      <c r="V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40">
        <v>64</v>
      </c>
      <c r="AB6" s="160" t="s">
        <v>166</v>
      </c>
      <c r="AC6" s="160" t="s">
        <v>156</v>
      </c>
      <c r="AD6" s="160">
        <v>19</v>
      </c>
      <c r="AE6" s="160">
        <v>0</v>
      </c>
      <c r="AF6" s="162">
        <v>116</v>
      </c>
      <c r="AG6" s="162">
        <v>2550</v>
      </c>
      <c r="AH6" s="162">
        <v>196</v>
      </c>
      <c r="AI6" s="162">
        <v>950</v>
      </c>
      <c r="AJ6" s="160" t="s">
        <v>10</v>
      </c>
      <c r="AK6" s="160" t="s">
        <v>10</v>
      </c>
      <c r="AL6" s="160">
        <v>0.1</v>
      </c>
      <c r="AN6" s="164" t="s">
        <v>850</v>
      </c>
      <c r="AO6" s="165" t="s">
        <v>557</v>
      </c>
      <c r="AP6" s="165">
        <f>VLOOKUP(Пластики_Acryline[[#This Row],[Ценовая группа]],Цены_по_категориям_Acryline[],2,0)</f>
        <v>7745</v>
      </c>
      <c r="AQ6" s="165">
        <f>VLOOKUP(Пластики_Acryline[[#This Row],[Ценовая группа]],Цены_по_категориям_Acryline[],3,0)</f>
        <v>12274</v>
      </c>
      <c r="AR6" s="165" t="s">
        <v>552</v>
      </c>
      <c r="AS6" s="165" t="s">
        <v>71</v>
      </c>
      <c r="AT6" s="165" t="s">
        <v>10</v>
      </c>
      <c r="AU6" s="165">
        <v>90</v>
      </c>
      <c r="AV6" s="165">
        <v>2750</v>
      </c>
      <c r="AW6" s="165">
        <v>250</v>
      </c>
      <c r="AX6" s="165">
        <v>1200</v>
      </c>
      <c r="AY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6" s="159">
        <v>3</v>
      </c>
      <c r="BB6" s="57" t="s">
        <v>548</v>
      </c>
      <c r="BC6" s="48">
        <v>8520</v>
      </c>
      <c r="BD6" s="171">
        <v>13501</v>
      </c>
      <c r="BE6" s="169" t="s">
        <v>71</v>
      </c>
      <c r="BF6" s="170">
        <v>0.1</v>
      </c>
      <c r="BG6" s="42"/>
      <c r="BH6" s="52" t="s">
        <v>690</v>
      </c>
      <c r="BI6" s="52" t="s">
        <v>10</v>
      </c>
      <c r="BJ6" s="173">
        <v>3786</v>
      </c>
      <c r="BK6" s="96"/>
      <c r="BL6" s="56" t="s">
        <v>698</v>
      </c>
      <c r="BQ6" s="36" t="s">
        <v>737</v>
      </c>
      <c r="BR6" s="87">
        <v>2704</v>
      </c>
      <c r="BU6" s="36" t="s">
        <v>648</v>
      </c>
      <c r="BV6" s="88">
        <v>104</v>
      </c>
      <c r="BX6" s="36" t="s">
        <v>654</v>
      </c>
      <c r="BY6" s="88">
        <v>561.6</v>
      </c>
      <c r="CF6" s="71" t="s">
        <v>606</v>
      </c>
      <c r="CG6" s="65" t="s">
        <v>582</v>
      </c>
      <c r="CH6" s="53" t="s">
        <v>544</v>
      </c>
      <c r="CI6" s="82" t="s">
        <v>717</v>
      </c>
      <c r="CJ6" s="98">
        <f>VLOOKUP(Ручки[[#This Row],[Категория]],Ценовые_категории_ручек[],2,0)</f>
        <v>257</v>
      </c>
      <c r="CN6" s="70" t="s">
        <v>585</v>
      </c>
      <c r="CO6" s="92">
        <v>625</v>
      </c>
      <c r="CR6" s="94" t="s">
        <v>888</v>
      </c>
      <c r="CS6" s="94" t="s">
        <v>126</v>
      </c>
      <c r="CT6" s="94" t="s">
        <v>672</v>
      </c>
      <c r="CU6" s="82" t="s">
        <v>681</v>
      </c>
      <c r="CV6" s="100">
        <v>3139</v>
      </c>
      <c r="CX6" s="166"/>
      <c r="CY6" s="174"/>
      <c r="CZ6" s="164" t="s">
        <v>449</v>
      </c>
      <c r="DA6" s="35" t="s">
        <v>458</v>
      </c>
      <c r="DB6" s="35">
        <v>38</v>
      </c>
      <c r="DC6" s="35">
        <v>3000</v>
      </c>
      <c r="DD6" s="35">
        <v>1200</v>
      </c>
      <c r="DE6" s="39">
        <v>2536</v>
      </c>
      <c r="DF6" s="39">
        <v>4278</v>
      </c>
      <c r="DG6" s="39">
        <v>6020</v>
      </c>
      <c r="DH6" s="39">
        <f>ROUND(3650/1000/3*Столешницы[[#This Row],[600 х 3000]],0)</f>
        <v>7324</v>
      </c>
    </row>
    <row r="7" spans="2:129" ht="30" customHeight="1" x14ac:dyDescent="0.25">
      <c r="K7" s="166" t="s">
        <v>143</v>
      </c>
      <c r="L7" s="166">
        <v>1</v>
      </c>
      <c r="M7" s="176">
        <v>4900</v>
      </c>
      <c r="N7" s="176">
        <v>5387</v>
      </c>
      <c r="O7" s="176">
        <v>5880</v>
      </c>
      <c r="P7" s="170">
        <v>0.2</v>
      </c>
      <c r="S7" s="35" t="s">
        <v>298</v>
      </c>
      <c r="T7" s="35" t="s">
        <v>143</v>
      </c>
      <c r="U7" s="35">
        <v>4</v>
      </c>
      <c r="V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40">
        <v>77</v>
      </c>
      <c r="AB7" s="160" t="s">
        <v>168</v>
      </c>
      <c r="AC7" s="160" t="s">
        <v>158</v>
      </c>
      <c r="AD7" s="160">
        <v>19</v>
      </c>
      <c r="AE7" s="160">
        <v>0</v>
      </c>
      <c r="AF7" s="162">
        <v>100</v>
      </c>
      <c r="AG7" s="162">
        <v>2550</v>
      </c>
      <c r="AH7" s="162">
        <v>360</v>
      </c>
      <c r="AI7" s="162">
        <v>950</v>
      </c>
      <c r="AJ7" s="160" t="s">
        <v>71</v>
      </c>
      <c r="AK7" s="160" t="s">
        <v>10</v>
      </c>
      <c r="AL7" s="160">
        <v>0</v>
      </c>
      <c r="AN7" s="164" t="s">
        <v>851</v>
      </c>
      <c r="AO7" s="165" t="s">
        <v>544</v>
      </c>
      <c r="AP7" s="165">
        <f>VLOOKUP(Пластики_Acryline[[#This Row],[Ценовая группа]],Цены_по_категориям_Acryline[],2,0)</f>
        <v>4850</v>
      </c>
      <c r="AQ7" s="165">
        <f>VLOOKUP(Пластики_Acryline[[#This Row],[Ценовая группа]],Цены_по_категориям_Acryline[],3,0)</f>
        <v>0</v>
      </c>
      <c r="AR7" s="165" t="s">
        <v>551</v>
      </c>
      <c r="AS7" s="165" t="s">
        <v>71</v>
      </c>
      <c r="AT7" s="165" t="s">
        <v>10</v>
      </c>
      <c r="AU7" s="165">
        <v>90</v>
      </c>
      <c r="AV7" s="165">
        <v>2750</v>
      </c>
      <c r="AW7" s="165">
        <v>250</v>
      </c>
      <c r="AX7" s="165">
        <v>1200</v>
      </c>
      <c r="AY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7" s="160">
        <v>5</v>
      </c>
      <c r="BH7" s="52" t="s">
        <v>691</v>
      </c>
      <c r="BI7" s="52" t="s">
        <v>10</v>
      </c>
      <c r="BJ7" s="173">
        <v>2839</v>
      </c>
      <c r="BK7" s="96"/>
      <c r="BL7" s="56" t="s">
        <v>699</v>
      </c>
      <c r="BQ7" s="36" t="s">
        <v>512</v>
      </c>
      <c r="BR7" s="87">
        <v>312</v>
      </c>
      <c r="BU7" s="102" t="s">
        <v>649</v>
      </c>
      <c r="BV7" s="103">
        <v>104</v>
      </c>
      <c r="BX7" s="102" t="s">
        <v>655</v>
      </c>
      <c r="BY7" s="103">
        <v>561.6</v>
      </c>
      <c r="CF7" s="71" t="s">
        <v>605</v>
      </c>
      <c r="CG7" s="65" t="s">
        <v>582</v>
      </c>
      <c r="CH7" s="53" t="s">
        <v>544</v>
      </c>
      <c r="CI7" s="82" t="s">
        <v>717</v>
      </c>
      <c r="CJ7" s="98">
        <f>VLOOKUP(Ручки[[#This Row],[Категория]],Ценовые_категории_ручек[],2,0)</f>
        <v>257</v>
      </c>
      <c r="CN7" s="70" t="s">
        <v>586</v>
      </c>
      <c r="CO7" s="92">
        <v>800</v>
      </c>
      <c r="CR7" s="94" t="s">
        <v>885</v>
      </c>
      <c r="CS7" s="94" t="s">
        <v>126</v>
      </c>
      <c r="CT7" s="94" t="s">
        <v>672</v>
      </c>
      <c r="CU7" s="82" t="s">
        <v>674</v>
      </c>
      <c r="CV7" s="100">
        <v>3490</v>
      </c>
      <c r="CX7" s="166"/>
      <c r="CY7" s="174"/>
      <c r="CZ7" s="164" t="s">
        <v>450</v>
      </c>
      <c r="DA7" s="35" t="s">
        <v>458</v>
      </c>
      <c r="DB7" s="35">
        <v>38</v>
      </c>
      <c r="DC7" s="35">
        <v>3000</v>
      </c>
      <c r="DD7" s="35">
        <v>1200</v>
      </c>
      <c r="DE7" s="39">
        <v>2536</v>
      </c>
      <c r="DF7" s="39">
        <v>4278</v>
      </c>
      <c r="DG7" s="39">
        <v>6020</v>
      </c>
      <c r="DH7" s="39">
        <f>ROUND(3650/1000/3*Столешницы[[#This Row],[600 х 3000]],0)</f>
        <v>7324</v>
      </c>
      <c r="DW7" s="52"/>
      <c r="DX7" s="52"/>
      <c r="DY7" s="96"/>
    </row>
    <row r="8" spans="2:129" ht="30" customHeight="1" x14ac:dyDescent="0.25">
      <c r="K8" s="166" t="s">
        <v>143</v>
      </c>
      <c r="L8" s="166">
        <v>2</v>
      </c>
      <c r="M8" s="176">
        <v>5542</v>
      </c>
      <c r="N8" s="176">
        <v>6096</v>
      </c>
      <c r="O8" s="176">
        <v>6650</v>
      </c>
      <c r="P8" s="170">
        <v>0</v>
      </c>
      <c r="S8" s="35" t="s">
        <v>299</v>
      </c>
      <c r="T8" s="35" t="s">
        <v>143</v>
      </c>
      <c r="U8" s="35">
        <v>3</v>
      </c>
      <c r="V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40">
        <v>90</v>
      </c>
      <c r="AB8" s="160" t="s">
        <v>170</v>
      </c>
      <c r="AC8" s="160" t="s">
        <v>158</v>
      </c>
      <c r="AD8" s="160">
        <v>19</v>
      </c>
      <c r="AE8" s="160">
        <v>0</v>
      </c>
      <c r="AF8" s="162">
        <v>100</v>
      </c>
      <c r="AG8" s="162">
        <v>950</v>
      </c>
      <c r="AH8" s="162">
        <v>380</v>
      </c>
      <c r="AI8" s="162">
        <v>950</v>
      </c>
      <c r="AJ8" s="160" t="s">
        <v>71</v>
      </c>
      <c r="AK8" s="160" t="s">
        <v>10</v>
      </c>
      <c r="AL8" s="160">
        <v>0</v>
      </c>
      <c r="AN8" s="164" t="s">
        <v>852</v>
      </c>
      <c r="AO8" s="165" t="s">
        <v>557</v>
      </c>
      <c r="AP8" s="165">
        <f>VLOOKUP(Пластики_Acryline[[#This Row],[Ценовая группа]],Цены_по_категориям_Acryline[],2,0)</f>
        <v>7745</v>
      </c>
      <c r="AQ8" s="165">
        <f>VLOOKUP(Пластики_Acryline[[#This Row],[Ценовая группа]],Цены_по_категориям_Acryline[],3,0)</f>
        <v>12274</v>
      </c>
      <c r="AR8" s="165" t="s">
        <v>552</v>
      </c>
      <c r="AS8" s="165" t="s">
        <v>71</v>
      </c>
      <c r="AT8" s="165" t="s">
        <v>10</v>
      </c>
      <c r="AU8" s="165">
        <v>90</v>
      </c>
      <c r="AV8" s="165">
        <v>2750</v>
      </c>
      <c r="AW8" s="165">
        <v>250</v>
      </c>
      <c r="AX8" s="165">
        <v>1200</v>
      </c>
      <c r="AY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8" s="159">
        <v>5</v>
      </c>
      <c r="BC8" s="59"/>
      <c r="BL8" s="56" t="s">
        <v>700</v>
      </c>
      <c r="BQ8" s="36" t="s">
        <v>738</v>
      </c>
      <c r="BR8" s="87">
        <v>4576</v>
      </c>
      <c r="BU8" s="36" t="s">
        <v>650</v>
      </c>
      <c r="BV8" s="88">
        <v>31.200000000000003</v>
      </c>
      <c r="BX8" s="36" t="s">
        <v>656</v>
      </c>
      <c r="BY8" s="88">
        <v>561.6</v>
      </c>
      <c r="CF8" s="71" t="s">
        <v>604</v>
      </c>
      <c r="CG8" s="65" t="s">
        <v>582</v>
      </c>
      <c r="CH8" s="53" t="s">
        <v>544</v>
      </c>
      <c r="CI8" s="82" t="s">
        <v>717</v>
      </c>
      <c r="CJ8" s="98">
        <f>VLOOKUP(Ручки[[#This Row],[Категория]],Ценовые_категории_ручек[],2,0)</f>
        <v>257</v>
      </c>
      <c r="CN8" s="79" t="s">
        <v>587</v>
      </c>
      <c r="CO8" s="92">
        <v>450</v>
      </c>
      <c r="CR8" s="94" t="s">
        <v>886</v>
      </c>
      <c r="CS8" s="94" t="s">
        <v>126</v>
      </c>
      <c r="CT8" s="94" t="s">
        <v>672</v>
      </c>
      <c r="CU8" s="82" t="s">
        <v>675</v>
      </c>
      <c r="CV8" s="100">
        <v>6278</v>
      </c>
      <c r="CX8" s="166"/>
      <c r="CY8" s="174"/>
      <c r="CZ8" s="164" t="s">
        <v>451</v>
      </c>
      <c r="DA8" s="35" t="s">
        <v>458</v>
      </c>
      <c r="DB8" s="35">
        <v>38</v>
      </c>
      <c r="DC8" s="35">
        <v>3000</v>
      </c>
      <c r="DD8" s="35">
        <v>1200</v>
      </c>
      <c r="DE8" s="39">
        <v>2536</v>
      </c>
      <c r="DF8" s="39">
        <v>4278</v>
      </c>
      <c r="DG8" s="39">
        <v>6020</v>
      </c>
      <c r="DH8" s="39">
        <f>ROUND(3650/1000/3*Столешницы[[#This Row],[600 х 3000]],0)</f>
        <v>7324</v>
      </c>
    </row>
    <row r="9" spans="2:129" ht="30" customHeight="1" x14ac:dyDescent="0.25">
      <c r="B9" s="35" t="s">
        <v>104</v>
      </c>
      <c r="E9" s="35" t="s">
        <v>109</v>
      </c>
      <c r="H9" s="35" t="s">
        <v>110</v>
      </c>
      <c r="K9" s="166" t="s">
        <v>143</v>
      </c>
      <c r="L9" s="166">
        <v>3</v>
      </c>
      <c r="M9" s="176">
        <v>6433</v>
      </c>
      <c r="N9" s="176">
        <v>7078</v>
      </c>
      <c r="O9" s="176">
        <v>7700</v>
      </c>
      <c r="P9" s="170">
        <v>0</v>
      </c>
      <c r="S9" s="35" t="s">
        <v>154</v>
      </c>
      <c r="T9" s="35" t="s">
        <v>142</v>
      </c>
      <c r="U9" s="35">
        <v>1</v>
      </c>
      <c r="V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40">
        <v>101</v>
      </c>
      <c r="AB9" s="160" t="s">
        <v>172</v>
      </c>
      <c r="AC9" s="160" t="s">
        <v>156</v>
      </c>
      <c r="AD9" s="160">
        <v>19</v>
      </c>
      <c r="AE9" s="160">
        <v>0</v>
      </c>
      <c r="AF9" s="162">
        <v>236</v>
      </c>
      <c r="AG9" s="162">
        <v>2550</v>
      </c>
      <c r="AH9" s="162">
        <v>245</v>
      </c>
      <c r="AI9" s="162">
        <v>950</v>
      </c>
      <c r="AJ9" s="160" t="s">
        <v>71</v>
      </c>
      <c r="AK9" s="160" t="s">
        <v>71</v>
      </c>
      <c r="AL9" s="160">
        <v>0</v>
      </c>
      <c r="AN9" s="164" t="s">
        <v>853</v>
      </c>
      <c r="AO9" s="165" t="s">
        <v>557</v>
      </c>
      <c r="AP9" s="165">
        <f>VLOOKUP(Пластики_Acryline[[#This Row],[Ценовая группа]],Цены_по_категориям_Acryline[],2,0)</f>
        <v>7745</v>
      </c>
      <c r="AQ9" s="165">
        <f>VLOOKUP(Пластики_Acryline[[#This Row],[Ценовая группа]],Цены_по_категориям_Acryline[],3,0)</f>
        <v>12274</v>
      </c>
      <c r="AR9" s="165" t="s">
        <v>551</v>
      </c>
      <c r="AS9" s="165" t="s">
        <v>71</v>
      </c>
      <c r="AT9" s="165" t="s">
        <v>10</v>
      </c>
      <c r="AU9" s="165">
        <v>90</v>
      </c>
      <c r="AV9" s="165">
        <v>2750</v>
      </c>
      <c r="AW9" s="165">
        <v>250</v>
      </c>
      <c r="AX9" s="165">
        <v>1200</v>
      </c>
      <c r="AY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9" s="159">
        <v>5</v>
      </c>
      <c r="BC9" s="59"/>
      <c r="BL9" s="56" t="s">
        <v>701</v>
      </c>
      <c r="BQ9" s="36" t="s">
        <v>739</v>
      </c>
      <c r="BR9" s="87">
        <v>4160</v>
      </c>
      <c r="BX9" s="102" t="s">
        <v>657</v>
      </c>
      <c r="BY9" s="103">
        <v>156</v>
      </c>
      <c r="CF9" s="71" t="s">
        <v>603</v>
      </c>
      <c r="CG9" s="65" t="s">
        <v>582</v>
      </c>
      <c r="CH9" s="53" t="s">
        <v>544</v>
      </c>
      <c r="CI9" s="82" t="s">
        <v>717</v>
      </c>
      <c r="CJ9" s="98">
        <f>VLOOKUP(Ручки[[#This Row],[Категория]],Ценовые_категории_ручек[],2,0)</f>
        <v>257</v>
      </c>
      <c r="CN9" s="79" t="s">
        <v>590</v>
      </c>
      <c r="CO9" s="92">
        <v>625</v>
      </c>
      <c r="CR9" s="94" t="s">
        <v>887</v>
      </c>
      <c r="CS9" s="94" t="s">
        <v>126</v>
      </c>
      <c r="CT9" s="94" t="s">
        <v>672</v>
      </c>
      <c r="CU9" s="82" t="s">
        <v>682</v>
      </c>
      <c r="CV9" s="100">
        <v>2092</v>
      </c>
      <c r="CX9" s="166"/>
      <c r="CY9" s="174"/>
      <c r="CZ9" s="164" t="s">
        <v>452</v>
      </c>
      <c r="DA9" s="35" t="s">
        <v>458</v>
      </c>
      <c r="DB9" s="35">
        <v>38</v>
      </c>
      <c r="DC9" s="35">
        <v>3000</v>
      </c>
      <c r="DD9" s="35">
        <v>1200</v>
      </c>
      <c r="DE9" s="39">
        <v>2536</v>
      </c>
      <c r="DF9" s="39">
        <v>4278</v>
      </c>
      <c r="DG9" s="39">
        <v>6020</v>
      </c>
      <c r="DH9" s="39">
        <f>ROUND(3650/1000/3*Столешницы[[#This Row],[600 х 3000]],0)</f>
        <v>7324</v>
      </c>
    </row>
    <row r="10" spans="2:129" ht="30" customHeight="1" x14ac:dyDescent="0.25">
      <c r="K10" s="166" t="s">
        <v>143</v>
      </c>
      <c r="L10" s="166">
        <v>4</v>
      </c>
      <c r="M10" s="176">
        <v>7327</v>
      </c>
      <c r="N10" s="176">
        <v>8060</v>
      </c>
      <c r="O10" s="176">
        <v>8790</v>
      </c>
      <c r="P10" s="170">
        <v>0</v>
      </c>
      <c r="S10" s="35" t="s">
        <v>157</v>
      </c>
      <c r="T10" s="35" t="s">
        <v>142</v>
      </c>
      <c r="U10" s="35">
        <v>1</v>
      </c>
      <c r="V1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40">
        <v>119</v>
      </c>
      <c r="AB10" s="160" t="s">
        <v>174</v>
      </c>
      <c r="AC10" s="160" t="s">
        <v>156</v>
      </c>
      <c r="AD10" s="160">
        <v>19</v>
      </c>
      <c r="AE10" s="160">
        <v>16</v>
      </c>
      <c r="AF10" s="162">
        <v>116</v>
      </c>
      <c r="AG10" s="162">
        <v>2550</v>
      </c>
      <c r="AH10" s="162">
        <v>296</v>
      </c>
      <c r="AI10" s="162">
        <v>950</v>
      </c>
      <c r="AJ10" s="160" t="s">
        <v>71</v>
      </c>
      <c r="AK10" s="160" t="s">
        <v>10</v>
      </c>
      <c r="AL10" s="160">
        <v>0</v>
      </c>
      <c r="AN10" s="164" t="s">
        <v>854</v>
      </c>
      <c r="AO10" s="165" t="s">
        <v>557</v>
      </c>
      <c r="AP10" s="165">
        <f>VLOOKUP(Пластики_Acryline[[#This Row],[Ценовая группа]],Цены_по_категориям_Acryline[],2,0)</f>
        <v>7745</v>
      </c>
      <c r="AQ10" s="165">
        <f>VLOOKUP(Пластики_Acryline[[#This Row],[Ценовая группа]],Цены_по_категориям_Acryline[],3,0)</f>
        <v>12274</v>
      </c>
      <c r="AR10" s="165" t="s">
        <v>551</v>
      </c>
      <c r="AS10" s="165" t="s">
        <v>71</v>
      </c>
      <c r="AT10" s="165" t="s">
        <v>10</v>
      </c>
      <c r="AU10" s="165">
        <v>90</v>
      </c>
      <c r="AV10" s="165">
        <v>2750</v>
      </c>
      <c r="AW10" s="165">
        <v>250</v>
      </c>
      <c r="AX10" s="165">
        <v>1200</v>
      </c>
      <c r="AY1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0" s="159">
        <v>9</v>
      </c>
      <c r="BC10" s="57"/>
      <c r="BL10" s="56" t="s">
        <v>702</v>
      </c>
      <c r="BQ10" s="36" t="s">
        <v>513</v>
      </c>
      <c r="BR10" s="87">
        <v>374.4</v>
      </c>
      <c r="BX10" s="104" t="s">
        <v>658</v>
      </c>
      <c r="BY10" s="104">
        <v>809</v>
      </c>
      <c r="CF10" s="71" t="s">
        <v>602</v>
      </c>
      <c r="CG10" s="65" t="s">
        <v>582</v>
      </c>
      <c r="CH10" s="53" t="s">
        <v>544</v>
      </c>
      <c r="CI10" s="82" t="s">
        <v>717</v>
      </c>
      <c r="CJ10" s="98">
        <f>VLOOKUP(Ручки[[#This Row],[Категория]],Ценовые_категории_ручек[],2,0)</f>
        <v>257</v>
      </c>
      <c r="CN10" s="79" t="s">
        <v>591</v>
      </c>
      <c r="CO10" s="92">
        <v>800</v>
      </c>
      <c r="CR10" s="94" t="s">
        <v>664</v>
      </c>
      <c r="CS10" s="94" t="s">
        <v>126</v>
      </c>
      <c r="CT10" s="94" t="s">
        <v>672</v>
      </c>
      <c r="CU10" s="82" t="s">
        <v>676</v>
      </c>
      <c r="CV10" s="100">
        <v>3490</v>
      </c>
      <c r="CX10" s="166"/>
      <c r="CY10" s="174"/>
      <c r="CZ10" s="164" t="s">
        <v>453</v>
      </c>
      <c r="DA10" s="35" t="s">
        <v>458</v>
      </c>
      <c r="DB10" s="35">
        <v>38</v>
      </c>
      <c r="DC10" s="35">
        <v>3000</v>
      </c>
      <c r="DD10" s="35">
        <v>1200</v>
      </c>
      <c r="DE10" s="39">
        <v>2536</v>
      </c>
      <c r="DF10" s="39">
        <v>4278</v>
      </c>
      <c r="DG10" s="39">
        <v>6020</v>
      </c>
      <c r="DH10" s="39">
        <f>ROUND(3650/1000/3*Столешницы[[#This Row],[600 х 3000]],0)</f>
        <v>7324</v>
      </c>
    </row>
    <row r="11" spans="2:129" ht="30" customHeight="1" x14ac:dyDescent="0.25">
      <c r="S11" s="35" t="s">
        <v>159</v>
      </c>
      <c r="T11" s="35" t="s">
        <v>142</v>
      </c>
      <c r="U11" s="35">
        <v>1</v>
      </c>
      <c r="V1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40">
        <v>124</v>
      </c>
      <c r="AB11" s="160" t="s">
        <v>176</v>
      </c>
      <c r="AC11" s="160" t="s">
        <v>156</v>
      </c>
      <c r="AD11" s="160">
        <v>19</v>
      </c>
      <c r="AE11" s="160">
        <v>0</v>
      </c>
      <c r="AF11" s="162">
        <v>250</v>
      </c>
      <c r="AG11" s="162">
        <v>2550</v>
      </c>
      <c r="AH11" s="162">
        <v>250</v>
      </c>
      <c r="AI11" s="162">
        <v>950</v>
      </c>
      <c r="AJ11" s="160" t="s">
        <v>71</v>
      </c>
      <c r="AK11" s="160" t="s">
        <v>71</v>
      </c>
      <c r="AL11" s="160">
        <v>0</v>
      </c>
      <c r="AN11" s="164" t="s">
        <v>855</v>
      </c>
      <c r="AO11" s="165" t="s">
        <v>544</v>
      </c>
      <c r="AP11" s="165">
        <f>VLOOKUP(Пластики_Acryline[[#This Row],[Ценовая группа]],Цены_по_категориям_Acryline[],2,0)</f>
        <v>4850</v>
      </c>
      <c r="AQ11" s="165">
        <f>VLOOKUP(Пластики_Acryline[[#This Row],[Ценовая группа]],Цены_по_категориям_Acryline[],3,0)</f>
        <v>0</v>
      </c>
      <c r="AR11" s="165" t="s">
        <v>551</v>
      </c>
      <c r="AS11" s="165" t="s">
        <v>71</v>
      </c>
      <c r="AT11" s="165" t="s">
        <v>10</v>
      </c>
      <c r="AU11" s="165">
        <v>90</v>
      </c>
      <c r="AV11" s="165">
        <v>2750</v>
      </c>
      <c r="AW11" s="165">
        <v>250</v>
      </c>
      <c r="AX11" s="165">
        <v>1200</v>
      </c>
      <c r="AY1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1" s="160">
        <v>12</v>
      </c>
      <c r="BC11" s="57"/>
      <c r="BL11" s="97" t="s">
        <v>703</v>
      </c>
      <c r="BX11" s="105" t="s">
        <v>659</v>
      </c>
      <c r="BY11" s="105">
        <v>2100</v>
      </c>
      <c r="CF11" s="73" t="s">
        <v>623</v>
      </c>
      <c r="CG11" s="65" t="s">
        <v>582</v>
      </c>
      <c r="CH11" s="73" t="s">
        <v>585</v>
      </c>
      <c r="CI11" s="82" t="s">
        <v>724</v>
      </c>
      <c r="CJ11" s="98">
        <f>VLOOKUP(Ручки[[#This Row],[Категория]],Ценовые_категории_ручек[],2,0)</f>
        <v>625</v>
      </c>
      <c r="CN11" s="110" t="s">
        <v>492</v>
      </c>
      <c r="CO11" s="111">
        <v>770</v>
      </c>
      <c r="CR11" s="94" t="s">
        <v>665</v>
      </c>
      <c r="CS11" s="94" t="s">
        <v>126</v>
      </c>
      <c r="CT11" s="94" t="s">
        <v>667</v>
      </c>
      <c r="CU11" s="82" t="s">
        <v>677</v>
      </c>
      <c r="CV11" s="101">
        <v>4362</v>
      </c>
      <c r="CX11" s="166"/>
      <c r="CY11" s="174"/>
      <c r="CZ11" s="164" t="s">
        <v>454</v>
      </c>
      <c r="DA11" s="35" t="s">
        <v>458</v>
      </c>
      <c r="DB11" s="35">
        <v>38</v>
      </c>
      <c r="DC11" s="35">
        <v>3000</v>
      </c>
      <c r="DD11" s="35">
        <v>1200</v>
      </c>
      <c r="DE11" s="39">
        <v>2536</v>
      </c>
      <c r="DF11" s="39">
        <v>4278</v>
      </c>
      <c r="DG11" s="39">
        <v>6020</v>
      </c>
      <c r="DH11" s="39">
        <f>ROUND(3650/1000/3*Столешницы[[#This Row],[600 х 3000]],0)</f>
        <v>7324</v>
      </c>
    </row>
    <row r="12" spans="2:129" ht="30" customHeight="1" x14ac:dyDescent="0.25">
      <c r="S12" s="35" t="s">
        <v>161</v>
      </c>
      <c r="T12" s="35" t="s">
        <v>142</v>
      </c>
      <c r="U12" s="35">
        <v>1</v>
      </c>
      <c r="V1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40">
        <v>125</v>
      </c>
      <c r="AB12" s="160" t="s">
        <v>178</v>
      </c>
      <c r="AC12" s="160" t="s">
        <v>156</v>
      </c>
      <c r="AD12" s="160">
        <v>0</v>
      </c>
      <c r="AE12" s="160">
        <v>16</v>
      </c>
      <c r="AF12" s="162">
        <v>115</v>
      </c>
      <c r="AG12" s="162">
        <v>2400</v>
      </c>
      <c r="AH12" s="162">
        <v>205</v>
      </c>
      <c r="AI12" s="162">
        <v>950</v>
      </c>
      <c r="AJ12" s="160" t="s">
        <v>71</v>
      </c>
      <c r="AK12" s="160" t="s">
        <v>71</v>
      </c>
      <c r="AL12" s="160">
        <v>0</v>
      </c>
      <c r="AN12" s="164" t="s">
        <v>856</v>
      </c>
      <c r="AO12" s="165" t="s">
        <v>557</v>
      </c>
      <c r="AP12" s="165">
        <f>VLOOKUP(Пластики_Acryline[[#This Row],[Ценовая группа]],Цены_по_категориям_Acryline[],2,0)</f>
        <v>7745</v>
      </c>
      <c r="AQ12" s="165">
        <f>VLOOKUP(Пластики_Acryline[[#This Row],[Ценовая группа]],Цены_по_категориям_Acryline[],3,0)</f>
        <v>12274</v>
      </c>
      <c r="AR12" s="165" t="s">
        <v>551</v>
      </c>
      <c r="AS12" s="165" t="s">
        <v>10</v>
      </c>
      <c r="AT12" s="165" t="s">
        <v>10</v>
      </c>
      <c r="AU12" s="165">
        <v>90</v>
      </c>
      <c r="AV12" s="165">
        <v>2750</v>
      </c>
      <c r="AW12" s="165">
        <v>250</v>
      </c>
      <c r="AX12" s="165">
        <v>1200</v>
      </c>
      <c r="AY1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2" s="159">
        <v>12</v>
      </c>
      <c r="BC12" s="57"/>
      <c r="BL12" s="56" t="s">
        <v>704</v>
      </c>
      <c r="BX12" s="104" t="s">
        <v>660</v>
      </c>
      <c r="BY12" s="104">
        <v>350</v>
      </c>
      <c r="CF12" s="71" t="s">
        <v>597</v>
      </c>
      <c r="CG12" s="65" t="s">
        <v>582</v>
      </c>
      <c r="CH12" s="53" t="s">
        <v>544</v>
      </c>
      <c r="CI12" s="82" t="s">
        <v>711</v>
      </c>
      <c r="CJ12" s="98">
        <f>VLOOKUP(Ручки[[#This Row],[Категория]],Ценовые_категории_ручек[],2,0)</f>
        <v>257</v>
      </c>
      <c r="CN12" s="77"/>
      <c r="CO12" s="78"/>
      <c r="CP12" s="78"/>
      <c r="CR12" s="94" t="s">
        <v>666</v>
      </c>
      <c r="CS12" s="94" t="s">
        <v>126</v>
      </c>
      <c r="CT12" s="94" t="s">
        <v>683</v>
      </c>
      <c r="CU12" s="82" t="s">
        <v>678</v>
      </c>
      <c r="CV12" s="101">
        <v>4362</v>
      </c>
      <c r="CX12" s="166"/>
      <c r="CY12" s="174"/>
      <c r="CZ12" s="164" t="s">
        <v>455</v>
      </c>
      <c r="DA12" s="35" t="s">
        <v>458</v>
      </c>
      <c r="DB12" s="35">
        <v>38</v>
      </c>
      <c r="DC12" s="35">
        <v>3000</v>
      </c>
      <c r="DD12" s="35">
        <v>1200</v>
      </c>
      <c r="DE12" s="39">
        <v>2536</v>
      </c>
      <c r="DF12" s="39">
        <v>4278</v>
      </c>
      <c r="DG12" s="39">
        <v>6020</v>
      </c>
      <c r="DH12" s="39">
        <f>ROUND(3650/1000/3*Столешницы[[#This Row],[600 х 3000]],0)</f>
        <v>7324</v>
      </c>
    </row>
    <row r="13" spans="2:129" ht="30" customHeight="1" x14ac:dyDescent="0.25">
      <c r="B13" s="35" t="s">
        <v>108</v>
      </c>
      <c r="E13" s="35" t="s">
        <v>107</v>
      </c>
      <c r="H13" s="35" t="s">
        <v>106</v>
      </c>
      <c r="S13" s="35" t="s">
        <v>163</v>
      </c>
      <c r="T13" s="35" t="s">
        <v>143</v>
      </c>
      <c r="U13" s="35">
        <v>2</v>
      </c>
      <c r="V1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40">
        <v>127</v>
      </c>
      <c r="AB13" s="160" t="s">
        <v>570</v>
      </c>
      <c r="AC13" s="160" t="s">
        <v>156</v>
      </c>
      <c r="AD13" s="160">
        <v>19</v>
      </c>
      <c r="AE13" s="160">
        <v>16</v>
      </c>
      <c r="AF13" s="162">
        <v>135</v>
      </c>
      <c r="AG13" s="162">
        <v>2550</v>
      </c>
      <c r="AH13" s="162">
        <v>284</v>
      </c>
      <c r="AI13" s="162">
        <v>950</v>
      </c>
      <c r="AJ13" s="160" t="s">
        <v>71</v>
      </c>
      <c r="AK13" s="160" t="s">
        <v>71</v>
      </c>
      <c r="AL13" s="160">
        <v>0</v>
      </c>
      <c r="AN13" s="164" t="s">
        <v>857</v>
      </c>
      <c r="AO13" s="165" t="s">
        <v>545</v>
      </c>
      <c r="AP13" s="165">
        <f>VLOOKUP(Пластики_Acryline[[#This Row],[Ценовая группа]],Цены_по_категориям_Acryline[],2,0)</f>
        <v>5808</v>
      </c>
      <c r="AQ13" s="165">
        <f>VLOOKUP(Пластики_Acryline[[#This Row],[Ценовая группа]],Цены_по_категориям_Acryline[],3,0)</f>
        <v>9206</v>
      </c>
      <c r="AR13" s="165" t="s">
        <v>551</v>
      </c>
      <c r="AS13" s="165" t="s">
        <v>71</v>
      </c>
      <c r="AT13" s="165" t="s">
        <v>10</v>
      </c>
      <c r="AU13" s="165">
        <v>90</v>
      </c>
      <c r="AV13" s="165">
        <v>2750</v>
      </c>
      <c r="AW13" s="165">
        <v>250</v>
      </c>
      <c r="AX13" s="165">
        <v>1200</v>
      </c>
      <c r="AY1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3" s="160">
        <v>14</v>
      </c>
      <c r="BC13" s="58"/>
      <c r="BL13" s="54" t="s">
        <v>705</v>
      </c>
      <c r="BX13" s="105" t="s">
        <v>661</v>
      </c>
      <c r="BY13" s="105">
        <v>450</v>
      </c>
      <c r="CF13" s="71" t="s">
        <v>610</v>
      </c>
      <c r="CG13" s="65" t="s">
        <v>583</v>
      </c>
      <c r="CH13" s="53" t="s">
        <v>544</v>
      </c>
      <c r="CI13" s="82" t="s">
        <v>718</v>
      </c>
      <c r="CJ13" s="98">
        <f>VLOOKUP(Ручки[[#This Row],[Категория]],Ценовые_категории_ручек[],2,0)</f>
        <v>257</v>
      </c>
      <c r="CN13" s="77"/>
      <c r="CO13" s="78"/>
      <c r="CP13" s="78"/>
      <c r="CX13" s="175"/>
      <c r="CY13" s="174"/>
      <c r="CZ13" s="164" t="s">
        <v>456</v>
      </c>
      <c r="DA13" s="35" t="s">
        <v>458</v>
      </c>
      <c r="DB13" s="35">
        <v>38</v>
      </c>
      <c r="DC13" s="35">
        <v>3600</v>
      </c>
      <c r="DD13" s="35">
        <v>1200</v>
      </c>
      <c r="DE13" s="39">
        <v>2536</v>
      </c>
      <c r="DF13" s="39">
        <v>4278</v>
      </c>
      <c r="DG13" s="39">
        <v>6020</v>
      </c>
      <c r="DH13" s="39">
        <f>ROUND(3650/1000/3*Столешницы[[#This Row],[600 х 3000]],0)</f>
        <v>7324</v>
      </c>
    </row>
    <row r="14" spans="2:129" ht="30" customHeight="1" x14ac:dyDescent="0.25">
      <c r="S14" s="35" t="s">
        <v>165</v>
      </c>
      <c r="T14" s="35" t="s">
        <v>142</v>
      </c>
      <c r="U14" s="35">
        <v>1</v>
      </c>
      <c r="V1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40">
        <v>165</v>
      </c>
      <c r="AB14" s="160" t="s">
        <v>181</v>
      </c>
      <c r="AC14" s="160" t="s">
        <v>156</v>
      </c>
      <c r="AD14" s="160">
        <v>19</v>
      </c>
      <c r="AE14" s="160">
        <v>0</v>
      </c>
      <c r="AF14" s="162">
        <v>235</v>
      </c>
      <c r="AG14" s="162">
        <v>2550</v>
      </c>
      <c r="AH14" s="162">
        <v>290</v>
      </c>
      <c r="AI14" s="162">
        <v>950</v>
      </c>
      <c r="AJ14" s="160" t="s">
        <v>71</v>
      </c>
      <c r="AK14" s="160" t="s">
        <v>10</v>
      </c>
      <c r="AL14" s="160">
        <v>0</v>
      </c>
      <c r="AN14" s="164" t="s">
        <v>858</v>
      </c>
      <c r="AO14" s="165" t="s">
        <v>557</v>
      </c>
      <c r="AP14" s="165">
        <f>VLOOKUP(Пластики_Acryline[[#This Row],[Ценовая группа]],Цены_по_категориям_Acryline[],2,0)</f>
        <v>7745</v>
      </c>
      <c r="AQ14" s="165">
        <f>VLOOKUP(Пластики_Acryline[[#This Row],[Ценовая группа]],Цены_по_категориям_Acryline[],3,0)</f>
        <v>12274</v>
      </c>
      <c r="AR14" s="165" t="s">
        <v>552</v>
      </c>
      <c r="AS14" s="165" t="s">
        <v>71</v>
      </c>
      <c r="AT14" s="165" t="s">
        <v>10</v>
      </c>
      <c r="AU14" s="165">
        <v>90</v>
      </c>
      <c r="AV14" s="165">
        <v>2750</v>
      </c>
      <c r="AW14" s="165">
        <v>250</v>
      </c>
      <c r="AX14" s="165">
        <v>1200</v>
      </c>
      <c r="AY1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4" s="159">
        <v>14</v>
      </c>
      <c r="CF14" s="71" t="s">
        <v>609</v>
      </c>
      <c r="CG14" s="65" t="s">
        <v>583</v>
      </c>
      <c r="CH14" s="53" t="s">
        <v>544</v>
      </c>
      <c r="CI14" s="82" t="s">
        <v>718</v>
      </c>
      <c r="CJ14" s="98">
        <f>VLOOKUP(Ручки[[#This Row],[Категория]],Ценовые_категории_ручек[],2,0)</f>
        <v>257</v>
      </c>
      <c r="CX14" s="174"/>
      <c r="CY14" s="174"/>
      <c r="CZ14" s="164" t="s">
        <v>457</v>
      </c>
      <c r="DA14" s="35" t="s">
        <v>458</v>
      </c>
      <c r="DB14" s="35">
        <v>38</v>
      </c>
      <c r="DC14" s="35">
        <v>3600</v>
      </c>
      <c r="DD14" s="35">
        <v>1200</v>
      </c>
      <c r="DE14" s="39">
        <v>2536</v>
      </c>
      <c r="DF14" s="39">
        <v>4278</v>
      </c>
      <c r="DG14" s="39">
        <v>6020</v>
      </c>
      <c r="DH14" s="39">
        <f>ROUND(3650/1000/3*Столешницы[[#This Row],[600 х 3000]],0)</f>
        <v>7324</v>
      </c>
    </row>
    <row r="15" spans="2:129" ht="30" customHeight="1" x14ac:dyDescent="0.25">
      <c r="S15" s="35" t="s">
        <v>167</v>
      </c>
      <c r="T15" s="35" t="s">
        <v>143</v>
      </c>
      <c r="U15" s="35">
        <v>1</v>
      </c>
      <c r="V1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40">
        <v>168</v>
      </c>
      <c r="AB15" s="160" t="s">
        <v>183</v>
      </c>
      <c r="AC15" s="160" t="s">
        <v>158</v>
      </c>
      <c r="AD15" s="160">
        <v>19</v>
      </c>
      <c r="AE15" s="160">
        <v>16</v>
      </c>
      <c r="AF15" s="162">
        <v>135</v>
      </c>
      <c r="AG15" s="162">
        <v>2550</v>
      </c>
      <c r="AH15" s="162">
        <v>240</v>
      </c>
      <c r="AI15" s="162">
        <v>950</v>
      </c>
      <c r="AJ15" s="160" t="s">
        <v>71</v>
      </c>
      <c r="AK15" s="160" t="s">
        <v>10</v>
      </c>
      <c r="AL15" s="160">
        <v>0</v>
      </c>
      <c r="AN15" s="164" t="s">
        <v>859</v>
      </c>
      <c r="AO15" s="165" t="s">
        <v>557</v>
      </c>
      <c r="AP15" s="165">
        <f>VLOOKUP(Пластики_Acryline[[#This Row],[Ценовая группа]],Цены_по_категориям_Acryline[],2,0)</f>
        <v>7745</v>
      </c>
      <c r="AQ15" s="165">
        <f>VLOOKUP(Пластики_Acryline[[#This Row],[Ценовая группа]],Цены_по_категориям_Acryline[],3,0)</f>
        <v>12274</v>
      </c>
      <c r="AR15" s="165" t="s">
        <v>551</v>
      </c>
      <c r="AS15" s="165" t="s">
        <v>71</v>
      </c>
      <c r="AT15" s="165" t="s">
        <v>10</v>
      </c>
      <c r="AU15" s="165">
        <v>90</v>
      </c>
      <c r="AV15" s="165">
        <v>2750</v>
      </c>
      <c r="AW15" s="165">
        <v>250</v>
      </c>
      <c r="AX15" s="165">
        <v>1200</v>
      </c>
      <c r="AY1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5" s="159">
        <v>14</v>
      </c>
      <c r="CF15" s="71" t="s">
        <v>608</v>
      </c>
      <c r="CG15" s="65" t="s">
        <v>583</v>
      </c>
      <c r="CH15" s="53" t="s">
        <v>544</v>
      </c>
      <c r="CI15" s="82" t="s">
        <v>718</v>
      </c>
      <c r="CJ15" s="98">
        <f>VLOOKUP(Ручки[[#This Row],[Категория]],Ценовые_категории_ручек[],2,0)</f>
        <v>257</v>
      </c>
      <c r="CX15" s="93"/>
      <c r="CZ15" s="159" t="s">
        <v>449</v>
      </c>
      <c r="DA15" s="35" t="s">
        <v>458</v>
      </c>
      <c r="DB15" s="35">
        <v>15</v>
      </c>
      <c r="DC15" s="35">
        <v>3600</v>
      </c>
      <c r="DD15" s="35">
        <v>1200</v>
      </c>
      <c r="DE15" s="39">
        <v>1268</v>
      </c>
      <c r="DF15" s="39">
        <v>2139</v>
      </c>
      <c r="DG15" s="39">
        <v>3010</v>
      </c>
      <c r="DH15" s="39">
        <f>ROUND(3650/1000/3*Столешницы[[#This Row],[600 х 3000]],0)</f>
        <v>3662</v>
      </c>
    </row>
    <row r="16" spans="2:129" ht="30" customHeight="1" x14ac:dyDescent="0.25">
      <c r="S16" s="35" t="s">
        <v>169</v>
      </c>
      <c r="T16" s="35" t="s">
        <v>143</v>
      </c>
      <c r="U16" s="35">
        <v>4</v>
      </c>
      <c r="V1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40">
        <v>169</v>
      </c>
      <c r="AB16" s="160" t="s">
        <v>185</v>
      </c>
      <c r="AC16" s="160" t="s">
        <v>158</v>
      </c>
      <c r="AD16" s="160">
        <v>19</v>
      </c>
      <c r="AE16" s="160">
        <v>16</v>
      </c>
      <c r="AF16" s="162">
        <v>135</v>
      </c>
      <c r="AG16" s="162">
        <v>2550</v>
      </c>
      <c r="AH16" s="162">
        <v>240</v>
      </c>
      <c r="AI16" s="162">
        <v>950</v>
      </c>
      <c r="AJ16" s="160" t="s">
        <v>71</v>
      </c>
      <c r="AK16" s="160" t="s">
        <v>71</v>
      </c>
      <c r="AL16" s="160">
        <v>0</v>
      </c>
      <c r="AN16" s="164" t="s">
        <v>860</v>
      </c>
      <c r="AO16" s="165" t="s">
        <v>545</v>
      </c>
      <c r="AP16" s="165">
        <f>VLOOKUP(Пластики_Acryline[[#This Row],[Ценовая группа]],Цены_по_категориям_Acryline[],2,0)</f>
        <v>5808</v>
      </c>
      <c r="AQ16" s="165">
        <f>VLOOKUP(Пластики_Acryline[[#This Row],[Ценовая группа]],Цены_по_категориям_Acryline[],3,0)</f>
        <v>9206</v>
      </c>
      <c r="AR16" s="165" t="s">
        <v>551</v>
      </c>
      <c r="AS16" s="165" t="s">
        <v>71</v>
      </c>
      <c r="AT16" s="165" t="s">
        <v>10</v>
      </c>
      <c r="AU16" s="165">
        <v>90</v>
      </c>
      <c r="AV16" s="165">
        <v>2750</v>
      </c>
      <c r="AW16" s="165">
        <v>250</v>
      </c>
      <c r="AX16" s="165">
        <v>1200</v>
      </c>
      <c r="AY1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6" s="160">
        <v>26</v>
      </c>
      <c r="CF16" s="71" t="s">
        <v>612</v>
      </c>
      <c r="CG16" s="65" t="s">
        <v>575</v>
      </c>
      <c r="CH16" s="71" t="s">
        <v>584</v>
      </c>
      <c r="CI16" s="82" t="s">
        <v>719</v>
      </c>
      <c r="CJ16" s="98">
        <f>VLOOKUP(Ручки[[#This Row],[Категория]],Ценовые_категории_ручек[],2,0)</f>
        <v>450</v>
      </c>
      <c r="CZ16" s="159" t="s">
        <v>461</v>
      </c>
      <c r="DA16" s="35" t="s">
        <v>458</v>
      </c>
      <c r="DB16" s="35">
        <v>15</v>
      </c>
      <c r="DC16" s="35">
        <v>3600</v>
      </c>
      <c r="DD16" s="35">
        <v>1200</v>
      </c>
      <c r="DE16" s="39">
        <v>1268</v>
      </c>
      <c r="DF16" s="39">
        <v>2139</v>
      </c>
      <c r="DG16" s="39">
        <v>3010</v>
      </c>
      <c r="DH16" s="39">
        <f>ROUND(3650/1000/3*Столешницы[[#This Row],[600 х 3000]],0)</f>
        <v>3662</v>
      </c>
    </row>
    <row r="17" spans="1:112" ht="30" customHeight="1" x14ac:dyDescent="0.25">
      <c r="S17" s="35" t="s">
        <v>171</v>
      </c>
      <c r="T17" s="35" t="s">
        <v>142</v>
      </c>
      <c r="U17" s="35">
        <v>1</v>
      </c>
      <c r="V1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40">
        <v>174</v>
      </c>
      <c r="AB17" s="160" t="s">
        <v>188</v>
      </c>
      <c r="AC17" s="160" t="s">
        <v>158</v>
      </c>
      <c r="AD17" s="160">
        <v>19</v>
      </c>
      <c r="AE17" s="160">
        <v>16</v>
      </c>
      <c r="AF17" s="162">
        <v>135</v>
      </c>
      <c r="AG17" s="162">
        <v>2550</v>
      </c>
      <c r="AH17" s="162">
        <v>240</v>
      </c>
      <c r="AI17" s="162">
        <v>950</v>
      </c>
      <c r="AJ17" s="160" t="s">
        <v>71</v>
      </c>
      <c r="AK17" s="160" t="s">
        <v>71</v>
      </c>
      <c r="AL17" s="160">
        <v>0</v>
      </c>
      <c r="AN17" s="164" t="s">
        <v>861</v>
      </c>
      <c r="AO17" s="165" t="s">
        <v>557</v>
      </c>
      <c r="AP17" s="165">
        <f>VLOOKUP(Пластики_Acryline[[#This Row],[Ценовая группа]],Цены_по_категориям_Acryline[],2,0)</f>
        <v>7745</v>
      </c>
      <c r="AQ17" s="165">
        <f>VLOOKUP(Пластики_Acryline[[#This Row],[Ценовая группа]],Цены_по_категориям_Acryline[],3,0)</f>
        <v>12274</v>
      </c>
      <c r="AR17" s="165" t="s">
        <v>552</v>
      </c>
      <c r="AS17" s="165" t="s">
        <v>71</v>
      </c>
      <c r="AT17" s="165" t="s">
        <v>10</v>
      </c>
      <c r="AU17" s="165">
        <v>90</v>
      </c>
      <c r="AV17" s="165">
        <v>2750</v>
      </c>
      <c r="AW17" s="165">
        <v>250</v>
      </c>
      <c r="AX17" s="165">
        <v>1200</v>
      </c>
      <c r="AY1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7" s="159">
        <v>27</v>
      </c>
      <c r="CF17" s="53" t="s">
        <v>600</v>
      </c>
      <c r="CG17" s="65" t="s">
        <v>582</v>
      </c>
      <c r="CH17" s="53" t="s">
        <v>544</v>
      </c>
      <c r="CI17" s="82" t="s">
        <v>715</v>
      </c>
      <c r="CJ17" s="98">
        <f>VLOOKUP(Ручки[[#This Row],[Категория]],Ценовые_категории_ручек[],2,0)</f>
        <v>257</v>
      </c>
      <c r="CM17" s="68"/>
      <c r="CN17" s="53"/>
      <c r="CZ17" s="159" t="s">
        <v>462</v>
      </c>
      <c r="DA17" s="35" t="s">
        <v>458</v>
      </c>
      <c r="DB17" s="35">
        <v>15</v>
      </c>
      <c r="DC17" s="35">
        <v>3600</v>
      </c>
      <c r="DD17" s="35">
        <v>1200</v>
      </c>
      <c r="DE17" s="39">
        <v>1268</v>
      </c>
      <c r="DF17" s="39">
        <v>2139</v>
      </c>
      <c r="DG17" s="39">
        <v>3010</v>
      </c>
      <c r="DH17" s="39">
        <f>ROUND(3650/1000/3*Столешницы[[#This Row],[600 х 3000]],0)</f>
        <v>3662</v>
      </c>
    </row>
    <row r="18" spans="1:112" ht="30" customHeight="1" x14ac:dyDescent="0.25">
      <c r="A18" s="35" t="s">
        <v>87</v>
      </c>
      <c r="S18" s="35" t="s">
        <v>173</v>
      </c>
      <c r="T18" s="35" t="s">
        <v>143</v>
      </c>
      <c r="U18" s="35">
        <v>1</v>
      </c>
      <c r="V1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40">
        <v>182</v>
      </c>
      <c r="AB18" s="160" t="s">
        <v>190</v>
      </c>
      <c r="AC18" s="160" t="s">
        <v>158</v>
      </c>
      <c r="AD18" s="160">
        <v>19</v>
      </c>
      <c r="AE18" s="160">
        <v>16</v>
      </c>
      <c r="AF18" s="162">
        <v>140</v>
      </c>
      <c r="AG18" s="162">
        <v>2550</v>
      </c>
      <c r="AH18" s="162">
        <v>290</v>
      </c>
      <c r="AI18" s="162">
        <v>950</v>
      </c>
      <c r="AJ18" s="160" t="s">
        <v>71</v>
      </c>
      <c r="AK18" s="160" t="s">
        <v>71</v>
      </c>
      <c r="AL18" s="160">
        <v>0</v>
      </c>
      <c r="AN18" s="164" t="s">
        <v>862</v>
      </c>
      <c r="AO18" s="165" t="s">
        <v>557</v>
      </c>
      <c r="AP18" s="165">
        <f>VLOOKUP(Пластики_Acryline[[#This Row],[Ценовая группа]],Цены_по_категориям_Acryline[],2,0)</f>
        <v>7745</v>
      </c>
      <c r="AQ18" s="165">
        <f>VLOOKUP(Пластики_Acryline[[#This Row],[Ценовая группа]],Цены_по_категориям_Acryline[],3,0)</f>
        <v>12274</v>
      </c>
      <c r="AR18" s="165" t="s">
        <v>551</v>
      </c>
      <c r="AS18" s="165" t="s">
        <v>71</v>
      </c>
      <c r="AT18" s="165" t="s">
        <v>10</v>
      </c>
      <c r="AU18" s="165">
        <v>90</v>
      </c>
      <c r="AV18" s="165">
        <v>2750</v>
      </c>
      <c r="AW18" s="165">
        <v>250</v>
      </c>
      <c r="AX18" s="165">
        <v>1200</v>
      </c>
      <c r="AY1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8" s="159">
        <v>27</v>
      </c>
      <c r="CF18" s="73" t="s">
        <v>621</v>
      </c>
      <c r="CG18" s="65" t="s">
        <v>582</v>
      </c>
      <c r="CH18" s="73" t="s">
        <v>585</v>
      </c>
      <c r="CI18" s="82" t="s">
        <v>723</v>
      </c>
      <c r="CJ18" s="98">
        <f>VLOOKUP(Ручки[[#This Row],[Категория]],Ценовые_категории_ручек[],2,0)</f>
        <v>625</v>
      </c>
      <c r="CM18" s="68"/>
      <c r="CN18" s="53"/>
      <c r="CZ18" s="159" t="s">
        <v>453</v>
      </c>
      <c r="DA18" s="35" t="s">
        <v>458</v>
      </c>
      <c r="DB18" s="35">
        <v>15</v>
      </c>
      <c r="DC18" s="35">
        <v>3600</v>
      </c>
      <c r="DD18" s="35">
        <v>1200</v>
      </c>
      <c r="DE18" s="39">
        <v>1268</v>
      </c>
      <c r="DF18" s="39">
        <v>2139</v>
      </c>
      <c r="DG18" s="39">
        <v>3010</v>
      </c>
      <c r="DH18" s="39">
        <f>ROUND(3650/1000/3*Столешницы[[#This Row],[600 х 3000]],0)</f>
        <v>3662</v>
      </c>
    </row>
    <row r="19" spans="1:112" ht="30" customHeight="1" x14ac:dyDescent="0.25">
      <c r="A19" s="35" t="s">
        <v>349</v>
      </c>
      <c r="B19" s="35" t="s">
        <v>431</v>
      </c>
      <c r="S19" s="35" t="s">
        <v>175</v>
      </c>
      <c r="T19" s="35" t="s">
        <v>143</v>
      </c>
      <c r="U19" s="35">
        <v>1</v>
      </c>
      <c r="V1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40">
        <v>185</v>
      </c>
      <c r="AB19" s="160" t="s">
        <v>192</v>
      </c>
      <c r="AC19" s="160" t="s">
        <v>158</v>
      </c>
      <c r="AD19" s="160">
        <v>19</v>
      </c>
      <c r="AE19" s="160">
        <v>16</v>
      </c>
      <c r="AF19" s="162">
        <v>175</v>
      </c>
      <c r="AG19" s="162">
        <v>2550</v>
      </c>
      <c r="AH19" s="162">
        <v>290</v>
      </c>
      <c r="AI19" s="162">
        <v>950</v>
      </c>
      <c r="AJ19" s="160" t="s">
        <v>71</v>
      </c>
      <c r="AK19" s="160" t="s">
        <v>10</v>
      </c>
      <c r="AL19" s="160">
        <v>0</v>
      </c>
      <c r="AN19" s="164" t="s">
        <v>863</v>
      </c>
      <c r="AO19" s="165" t="s">
        <v>557</v>
      </c>
      <c r="AP19" s="165">
        <f>VLOOKUP(Пластики_Acryline[[#This Row],[Ценовая группа]],Цены_по_категориям_Acryline[],2,0)</f>
        <v>7745</v>
      </c>
      <c r="AQ19" s="165">
        <f>VLOOKUP(Пластики_Acryline[[#This Row],[Ценовая группа]],Цены_по_категориям_Acryline[],3,0)</f>
        <v>12274</v>
      </c>
      <c r="AR19" s="165" t="s">
        <v>552</v>
      </c>
      <c r="AS19" s="165" t="s">
        <v>71</v>
      </c>
      <c r="AT19" s="165" t="s">
        <v>10</v>
      </c>
      <c r="AU19" s="165">
        <v>90</v>
      </c>
      <c r="AV19" s="165">
        <v>2750</v>
      </c>
      <c r="AW19" s="165">
        <v>250</v>
      </c>
      <c r="AX19" s="165">
        <v>1200</v>
      </c>
      <c r="AY1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19" s="159">
        <v>28</v>
      </c>
      <c r="CF19" s="73" t="s">
        <v>614</v>
      </c>
      <c r="CG19" s="65" t="s">
        <v>582</v>
      </c>
      <c r="CH19" s="71" t="s">
        <v>584</v>
      </c>
      <c r="CI19" s="82" t="s">
        <v>708</v>
      </c>
      <c r="CJ19" s="98">
        <f>VLOOKUP(Ручки[[#This Row],[Категория]],Ценовые_категории_ручек[],2,0)</f>
        <v>450</v>
      </c>
      <c r="CM19" s="68"/>
      <c r="CN19" s="53"/>
      <c r="CZ19" s="159" t="s">
        <v>463</v>
      </c>
      <c r="DA19" s="35" t="s">
        <v>458</v>
      </c>
      <c r="DB19" s="35">
        <v>15</v>
      </c>
      <c r="DC19" s="35">
        <v>3600</v>
      </c>
      <c r="DD19" s="35">
        <v>1200</v>
      </c>
      <c r="DE19" s="39">
        <v>1268</v>
      </c>
      <c r="DF19" s="39">
        <v>2139</v>
      </c>
      <c r="DG19" s="39">
        <v>3010</v>
      </c>
      <c r="DH19" s="39">
        <f>ROUND(3650/1000/3*Столешницы[[#This Row],[600 х 3000]],0)</f>
        <v>3662</v>
      </c>
    </row>
    <row r="20" spans="1:112" ht="30" customHeight="1" x14ac:dyDescent="0.25">
      <c r="A20" s="35" t="s">
        <v>432</v>
      </c>
      <c r="B20" s="98">
        <v>1872</v>
      </c>
      <c r="S20" s="35" t="s">
        <v>177</v>
      </c>
      <c r="T20" s="35" t="s">
        <v>142</v>
      </c>
      <c r="U20" s="35">
        <v>1</v>
      </c>
      <c r="V2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40">
        <v>186</v>
      </c>
      <c r="AB20" s="160" t="s">
        <v>194</v>
      </c>
      <c r="AC20" s="160" t="s">
        <v>156</v>
      </c>
      <c r="AD20" s="160">
        <v>19</v>
      </c>
      <c r="AE20" s="160">
        <v>0</v>
      </c>
      <c r="AF20" s="162">
        <v>275</v>
      </c>
      <c r="AG20" s="162">
        <v>2550</v>
      </c>
      <c r="AH20" s="162">
        <v>286</v>
      </c>
      <c r="AI20" s="162">
        <v>950</v>
      </c>
      <c r="AJ20" s="160" t="s">
        <v>10</v>
      </c>
      <c r="AK20" s="160" t="s">
        <v>10</v>
      </c>
      <c r="AL20" s="160">
        <v>0</v>
      </c>
      <c r="AN20" s="164" t="s">
        <v>864</v>
      </c>
      <c r="AO20" s="165" t="s">
        <v>557</v>
      </c>
      <c r="AP20" s="165">
        <f>VLOOKUP(Пластики_Acryline[[#This Row],[Ценовая группа]],Цены_по_категориям_Acryline[],2,0)</f>
        <v>7745</v>
      </c>
      <c r="AQ20" s="165">
        <f>VLOOKUP(Пластики_Acryline[[#This Row],[Ценовая группа]],Цены_по_категориям_Acryline[],3,0)</f>
        <v>12274</v>
      </c>
      <c r="AR20" s="165" t="s">
        <v>551</v>
      </c>
      <c r="AS20" s="165" t="s">
        <v>71</v>
      </c>
      <c r="AT20" s="165" t="s">
        <v>10</v>
      </c>
      <c r="AU20" s="165">
        <v>90</v>
      </c>
      <c r="AV20" s="165">
        <v>2750</v>
      </c>
      <c r="AW20" s="165">
        <v>250</v>
      </c>
      <c r="AX20" s="165">
        <v>1200</v>
      </c>
      <c r="AY2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0" s="159">
        <v>28</v>
      </c>
      <c r="CF20" s="72" t="s">
        <v>594</v>
      </c>
      <c r="CG20" s="67" t="s">
        <v>580</v>
      </c>
      <c r="CH20" s="53" t="s">
        <v>544</v>
      </c>
      <c r="CI20" s="82" t="s">
        <v>708</v>
      </c>
      <c r="CJ20" s="98">
        <f>VLOOKUP(Ручки[[#This Row],[Категория]],Ценовые_категории_ручек[],2,0)</f>
        <v>257</v>
      </c>
      <c r="CM20" s="68"/>
      <c r="CN20" s="53"/>
      <c r="CZ20" s="159" t="s">
        <v>464</v>
      </c>
      <c r="DA20" s="35" t="s">
        <v>458</v>
      </c>
      <c r="DB20" s="35">
        <v>15</v>
      </c>
      <c r="DC20" s="35">
        <v>3600</v>
      </c>
      <c r="DD20" s="35">
        <v>1200</v>
      </c>
      <c r="DE20" s="39">
        <v>1268</v>
      </c>
      <c r="DF20" s="39">
        <v>2139</v>
      </c>
      <c r="DG20" s="39">
        <v>3010</v>
      </c>
      <c r="DH20" s="39">
        <f>ROUND(3650/1000/3*Столешницы[[#This Row],[600 х 3000]],0)</f>
        <v>3662</v>
      </c>
    </row>
    <row r="21" spans="1:112" ht="30" customHeight="1" x14ac:dyDescent="0.25">
      <c r="A21" s="35" t="s">
        <v>563</v>
      </c>
      <c r="B21" s="98">
        <v>2912</v>
      </c>
      <c r="N21" s="36"/>
      <c r="S21" s="35" t="s">
        <v>179</v>
      </c>
      <c r="T21" s="35" t="s">
        <v>143</v>
      </c>
      <c r="U21" s="35">
        <v>1</v>
      </c>
      <c r="V2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40">
        <v>192</v>
      </c>
      <c r="AB21" s="160" t="s">
        <v>196</v>
      </c>
      <c r="AC21" s="160" t="s">
        <v>156</v>
      </c>
      <c r="AD21" s="160">
        <v>19</v>
      </c>
      <c r="AE21" s="160">
        <v>0</v>
      </c>
      <c r="AF21" s="162">
        <v>275</v>
      </c>
      <c r="AG21" s="162">
        <v>1100</v>
      </c>
      <c r="AH21" s="162">
        <v>290</v>
      </c>
      <c r="AI21" s="162">
        <v>950</v>
      </c>
      <c r="AJ21" s="160" t="s">
        <v>71</v>
      </c>
      <c r="AK21" s="160" t="s">
        <v>10</v>
      </c>
      <c r="AL21" s="160">
        <v>0</v>
      </c>
      <c r="AN21" s="164" t="s">
        <v>865</v>
      </c>
      <c r="AO21" s="165" t="s">
        <v>545</v>
      </c>
      <c r="AP21" s="165">
        <f>VLOOKUP(Пластики_Acryline[[#This Row],[Ценовая группа]],Цены_по_категориям_Acryline[],2,0)</f>
        <v>5808</v>
      </c>
      <c r="AQ21" s="165">
        <f>VLOOKUP(Пластики_Acryline[[#This Row],[Ценовая группа]],Цены_по_категориям_Acryline[],3,0)</f>
        <v>9206</v>
      </c>
      <c r="AR21" s="165" t="s">
        <v>551</v>
      </c>
      <c r="AS21" s="165" t="s">
        <v>71</v>
      </c>
      <c r="AT21" s="165" t="s">
        <v>10</v>
      </c>
      <c r="AU21" s="165">
        <v>90</v>
      </c>
      <c r="AV21" s="165">
        <v>2750</v>
      </c>
      <c r="AW21" s="165">
        <v>250</v>
      </c>
      <c r="AX21" s="165">
        <v>1200</v>
      </c>
      <c r="AY2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1" s="160">
        <v>36</v>
      </c>
      <c r="BS21" s="107"/>
      <c r="BT21" s="107"/>
      <c r="BU21" s="107"/>
      <c r="BV21" s="108"/>
      <c r="CF21" s="73" t="s">
        <v>624</v>
      </c>
      <c r="CG21" s="65" t="s">
        <v>582</v>
      </c>
      <c r="CH21" s="73" t="s">
        <v>585</v>
      </c>
      <c r="CI21" s="82" t="s">
        <v>707</v>
      </c>
      <c r="CJ21" s="98">
        <f>VLOOKUP(Ручки[[#This Row],[Категория]],Ценовые_категории_ручек[],2,0)</f>
        <v>625</v>
      </c>
      <c r="CM21" s="68"/>
      <c r="CN21" s="53"/>
      <c r="CZ21" s="159" t="s">
        <v>456</v>
      </c>
      <c r="DA21" s="35" t="s">
        <v>458</v>
      </c>
      <c r="DB21" s="35">
        <v>15</v>
      </c>
      <c r="DC21" s="35">
        <v>3600</v>
      </c>
      <c r="DD21" s="35">
        <v>600</v>
      </c>
      <c r="DE21" s="39">
        <v>1268</v>
      </c>
      <c r="DF21" s="39">
        <v>2139</v>
      </c>
      <c r="DG21" s="39">
        <v>3010</v>
      </c>
      <c r="DH21" s="39">
        <f>ROUND(3650/1000/3*Столешницы[[#This Row],[600 х 3000]],0)</f>
        <v>3662</v>
      </c>
    </row>
    <row r="22" spans="1:112" ht="30" customHeight="1" x14ac:dyDescent="0.25">
      <c r="A22" s="35" t="s">
        <v>554</v>
      </c>
      <c r="B22" s="98">
        <v>2618</v>
      </c>
      <c r="N22" s="36"/>
      <c r="S22" s="35" t="s">
        <v>180</v>
      </c>
      <c r="T22" s="35" t="s">
        <v>143</v>
      </c>
      <c r="U22" s="35">
        <v>1</v>
      </c>
      <c r="V2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40">
        <v>196</v>
      </c>
      <c r="AB22" s="160" t="s">
        <v>746</v>
      </c>
      <c r="AC22" s="160" t="s">
        <v>156</v>
      </c>
      <c r="AD22" s="160">
        <v>19</v>
      </c>
      <c r="AE22" s="160">
        <v>0</v>
      </c>
      <c r="AF22" s="162">
        <v>116</v>
      </c>
      <c r="AG22" s="162">
        <v>2550</v>
      </c>
      <c r="AH22" s="162">
        <v>146</v>
      </c>
      <c r="AI22" s="162">
        <v>946</v>
      </c>
      <c r="AJ22" s="160" t="s">
        <v>10</v>
      </c>
      <c r="AK22" s="160" t="s">
        <v>10</v>
      </c>
      <c r="AL22" s="160">
        <v>0.1</v>
      </c>
      <c r="AN22" s="164" t="s">
        <v>866</v>
      </c>
      <c r="AO22" s="165" t="s">
        <v>557</v>
      </c>
      <c r="AP22" s="165">
        <f>VLOOKUP(Пластики_Acryline[[#This Row],[Ценовая группа]],Цены_по_категориям_Acryline[],2,0)</f>
        <v>7745</v>
      </c>
      <c r="AQ22" s="165">
        <f>VLOOKUP(Пластики_Acryline[[#This Row],[Ценовая группа]],Цены_по_категориям_Acryline[],3,0)</f>
        <v>12274</v>
      </c>
      <c r="AR22" s="165" t="s">
        <v>552</v>
      </c>
      <c r="AS22" s="165" t="s">
        <v>71</v>
      </c>
      <c r="AT22" s="165" t="s">
        <v>10</v>
      </c>
      <c r="AU22" s="165">
        <v>90</v>
      </c>
      <c r="AV22" s="165">
        <v>2750</v>
      </c>
      <c r="AW22" s="165">
        <v>250</v>
      </c>
      <c r="AX22" s="165">
        <v>1200</v>
      </c>
      <c r="AY2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2" s="159">
        <v>39</v>
      </c>
      <c r="BQ22" s="107"/>
      <c r="BR22" s="107"/>
      <c r="CF22" s="71" t="s">
        <v>613</v>
      </c>
      <c r="CG22" s="65" t="s">
        <v>582</v>
      </c>
      <c r="CH22" s="70" t="s">
        <v>584</v>
      </c>
      <c r="CI22" s="82" t="s">
        <v>707</v>
      </c>
      <c r="CJ22" s="98">
        <f>VLOOKUP(Ручки[[#This Row],[Категория]],Ценовые_категории_ручек[],2,0)</f>
        <v>450</v>
      </c>
      <c r="CZ22" s="159" t="s">
        <v>457</v>
      </c>
      <c r="DA22" s="35" t="s">
        <v>458</v>
      </c>
      <c r="DB22" s="35">
        <v>15</v>
      </c>
      <c r="DC22" s="35">
        <v>3600</v>
      </c>
      <c r="DD22" s="35">
        <v>1200</v>
      </c>
      <c r="DE22" s="39">
        <v>1268</v>
      </c>
      <c r="DF22" s="39">
        <v>2139</v>
      </c>
      <c r="DG22" s="39">
        <v>3010</v>
      </c>
      <c r="DH22" s="39">
        <f>ROUND(3650/1000/3*Столешницы[[#This Row],[600 х 3000]],0)</f>
        <v>3662</v>
      </c>
    </row>
    <row r="23" spans="1:112" ht="30" customHeight="1" x14ac:dyDescent="0.25">
      <c r="A23" s="33" t="s">
        <v>392</v>
      </c>
      <c r="B23" s="98">
        <f>'комплекты фурнитуры'!$C$87</f>
        <v>1110</v>
      </c>
      <c r="N23" s="50"/>
      <c r="S23" s="35" t="s">
        <v>182</v>
      </c>
      <c r="T23" s="35" t="s">
        <v>143</v>
      </c>
      <c r="U23" s="35">
        <v>1</v>
      </c>
      <c r="V2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40">
        <v>197</v>
      </c>
      <c r="AB23" s="160" t="s">
        <v>199</v>
      </c>
      <c r="AC23" s="160" t="s">
        <v>156</v>
      </c>
      <c r="AD23" s="160">
        <v>19</v>
      </c>
      <c r="AE23" s="160">
        <v>0</v>
      </c>
      <c r="AF23" s="162">
        <v>116</v>
      </c>
      <c r="AG23" s="162">
        <v>2550</v>
      </c>
      <c r="AH23" s="162">
        <v>246</v>
      </c>
      <c r="AI23" s="162">
        <v>946</v>
      </c>
      <c r="AJ23" s="160" t="s">
        <v>10</v>
      </c>
      <c r="AK23" s="160" t="s">
        <v>10</v>
      </c>
      <c r="AL23" s="160">
        <v>0.1</v>
      </c>
      <c r="AN23" s="164" t="s">
        <v>867</v>
      </c>
      <c r="AO23" s="165" t="s">
        <v>557</v>
      </c>
      <c r="AP23" s="165">
        <f>VLOOKUP(Пластики_Acryline[[#This Row],[Ценовая группа]],Цены_по_категориям_Acryline[],2,0)</f>
        <v>7745</v>
      </c>
      <c r="AQ23" s="165">
        <f>VLOOKUP(Пластики_Acryline[[#This Row],[Ценовая группа]],Цены_по_категориям_Acryline[],3,0)</f>
        <v>12274</v>
      </c>
      <c r="AR23" s="165" t="s">
        <v>551</v>
      </c>
      <c r="AS23" s="165" t="s">
        <v>71</v>
      </c>
      <c r="AT23" s="165" t="s">
        <v>10</v>
      </c>
      <c r="AU23" s="165">
        <v>90</v>
      </c>
      <c r="AV23" s="165">
        <v>2750</v>
      </c>
      <c r="AW23" s="165">
        <v>250</v>
      </c>
      <c r="AX23" s="165">
        <v>1200</v>
      </c>
      <c r="AY23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3" s="159">
        <v>40</v>
      </c>
      <c r="CF23" s="53" t="s">
        <v>579</v>
      </c>
      <c r="CG23" s="67" t="s">
        <v>580</v>
      </c>
      <c r="CH23" s="53" t="s">
        <v>544</v>
      </c>
      <c r="CI23" s="82" t="s">
        <v>707</v>
      </c>
      <c r="CJ23" s="98">
        <f>VLOOKUP(Ручки[[#This Row],[Категория]],Ценовые_категории_ручек[],2,0)</f>
        <v>257</v>
      </c>
      <c r="CZ23" s="159" t="s">
        <v>451</v>
      </c>
      <c r="DA23" s="35" t="s">
        <v>458</v>
      </c>
      <c r="DB23" s="35">
        <v>15</v>
      </c>
      <c r="DC23" s="35">
        <v>3600</v>
      </c>
      <c r="DD23" s="35">
        <v>1200</v>
      </c>
      <c r="DE23" s="39">
        <v>1268</v>
      </c>
      <c r="DF23" s="39">
        <v>2139</v>
      </c>
      <c r="DG23" s="39">
        <v>3010</v>
      </c>
      <c r="DH23" s="39">
        <f>ROUND(3650/1000/3*Столешницы[[#This Row],[600 х 3000]],0)</f>
        <v>3662</v>
      </c>
    </row>
    <row r="24" spans="1:112" ht="30" customHeight="1" x14ac:dyDescent="0.25">
      <c r="A24" s="35" t="s">
        <v>555</v>
      </c>
      <c r="B24" s="98">
        <v>2610</v>
      </c>
      <c r="N24" s="49"/>
      <c r="S24" s="35" t="s">
        <v>184</v>
      </c>
      <c r="T24" s="35" t="s">
        <v>143</v>
      </c>
      <c r="U24" s="35">
        <v>1</v>
      </c>
      <c r="V2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40">
        <v>198</v>
      </c>
      <c r="AB24" s="160" t="s">
        <v>201</v>
      </c>
      <c r="AC24" s="160" t="s">
        <v>156</v>
      </c>
      <c r="AD24" s="160">
        <v>22</v>
      </c>
      <c r="AE24" s="160">
        <v>0</v>
      </c>
      <c r="AF24" s="162">
        <v>100</v>
      </c>
      <c r="AG24" s="162">
        <v>2550</v>
      </c>
      <c r="AH24" s="162">
        <v>235</v>
      </c>
      <c r="AI24" s="162">
        <v>950</v>
      </c>
      <c r="AJ24" s="160" t="s">
        <v>71</v>
      </c>
      <c r="AK24" s="160" t="s">
        <v>10</v>
      </c>
      <c r="AL24" s="160">
        <v>0</v>
      </c>
      <c r="AN24" s="164" t="s">
        <v>868</v>
      </c>
      <c r="AO24" s="165" t="s">
        <v>557</v>
      </c>
      <c r="AP24" s="165">
        <f>VLOOKUP(Пластики_Acryline[[#This Row],[Ценовая группа]],Цены_по_категориям_Acryline[],2,0)</f>
        <v>7745</v>
      </c>
      <c r="AQ24" s="165">
        <f>VLOOKUP(Пластики_Acryline[[#This Row],[Ценовая группа]],Цены_по_категориям_Acryline[],3,0)</f>
        <v>12274</v>
      </c>
      <c r="AR24" s="165" t="s">
        <v>552</v>
      </c>
      <c r="AS24" s="165" t="s">
        <v>71</v>
      </c>
      <c r="AT24" s="165" t="s">
        <v>10</v>
      </c>
      <c r="AU24" s="165">
        <v>90</v>
      </c>
      <c r="AV24" s="165">
        <v>2750</v>
      </c>
      <c r="AW24" s="165">
        <v>250</v>
      </c>
      <c r="AX24" s="165">
        <v>1200</v>
      </c>
      <c r="AY24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4" s="159">
        <v>41</v>
      </c>
      <c r="CF24" s="71" t="s">
        <v>593</v>
      </c>
      <c r="CG24" s="67" t="s">
        <v>580</v>
      </c>
      <c r="CH24" s="53" t="s">
        <v>544</v>
      </c>
      <c r="CI24" s="82" t="s">
        <v>707</v>
      </c>
      <c r="CJ24" s="98">
        <f>VLOOKUP(Ручки[[#This Row],[Категория]],Ценовые_категории_ручек[],2,0)</f>
        <v>257</v>
      </c>
      <c r="CZ24" s="164" t="s">
        <v>465</v>
      </c>
      <c r="DA24" s="35" t="s">
        <v>472</v>
      </c>
      <c r="DB24" s="35">
        <v>38</v>
      </c>
      <c r="DC24" s="35">
        <v>4190</v>
      </c>
      <c r="DD24" s="35">
        <v>1200</v>
      </c>
      <c r="DE24" s="39">
        <v>5477</v>
      </c>
      <c r="DF24" s="39">
        <v>9240</v>
      </c>
      <c r="DG24" s="39">
        <v>13003</v>
      </c>
      <c r="DH24" s="39">
        <v>18022</v>
      </c>
    </row>
    <row r="25" spans="1:112" ht="30" customHeight="1" x14ac:dyDescent="0.25">
      <c r="A25" s="35" t="s">
        <v>733</v>
      </c>
      <c r="B25" s="99">
        <v>1040</v>
      </c>
      <c r="N25" s="49"/>
      <c r="S25" s="35" t="s">
        <v>186</v>
      </c>
      <c r="T25" s="35" t="s">
        <v>143</v>
      </c>
      <c r="U25" s="35">
        <v>1</v>
      </c>
      <c r="V2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40">
        <v>201</v>
      </c>
      <c r="AB25" s="160" t="s">
        <v>203</v>
      </c>
      <c r="AC25" s="160" t="s">
        <v>158</v>
      </c>
      <c r="AD25" s="160">
        <v>18</v>
      </c>
      <c r="AE25" s="160">
        <v>16</v>
      </c>
      <c r="AF25" s="162">
        <v>50</v>
      </c>
      <c r="AG25" s="162">
        <v>2550</v>
      </c>
      <c r="AH25" s="162">
        <v>50</v>
      </c>
      <c r="AI25" s="162">
        <v>950</v>
      </c>
      <c r="AJ25" s="160" t="s">
        <v>71</v>
      </c>
      <c r="AK25" s="160" t="s">
        <v>10</v>
      </c>
      <c r="AL25" s="160">
        <v>0</v>
      </c>
      <c r="AN25" s="164" t="s">
        <v>869</v>
      </c>
      <c r="AO25" s="165" t="s">
        <v>548</v>
      </c>
      <c r="AP25" s="165">
        <f>VLOOKUP(Пластики_Acryline[[#This Row],[Ценовая группа]],Цены_по_категориям_Acryline[],2,0)</f>
        <v>8520</v>
      </c>
      <c r="AQ25" s="165">
        <f>VLOOKUP(Пластики_Acryline[[#This Row],[Ценовая группа]],Цены_по_категориям_Acryline[],3,0)</f>
        <v>13501</v>
      </c>
      <c r="AR25" s="165" t="s">
        <v>552</v>
      </c>
      <c r="AS25" s="165" t="s">
        <v>71</v>
      </c>
      <c r="AT25" s="165" t="s">
        <v>10</v>
      </c>
      <c r="AU25" s="165">
        <v>90</v>
      </c>
      <c r="AV25" s="165">
        <v>2750</v>
      </c>
      <c r="AW25" s="165">
        <v>250</v>
      </c>
      <c r="AX25" s="165">
        <v>1200</v>
      </c>
      <c r="AY25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5" s="159">
        <v>41</v>
      </c>
      <c r="CF25" s="72" t="s">
        <v>626</v>
      </c>
      <c r="CG25" s="65" t="s">
        <v>582</v>
      </c>
      <c r="CH25" s="73" t="s">
        <v>585</v>
      </c>
      <c r="CI25" s="82" t="s">
        <v>710</v>
      </c>
      <c r="CJ25" s="98">
        <f>VLOOKUP(Ручки[[#This Row],[Категория]],Ценовые_категории_ручек[],2,0)</f>
        <v>625</v>
      </c>
      <c r="CZ25" s="164" t="s">
        <v>466</v>
      </c>
      <c r="DA25" s="35" t="s">
        <v>472</v>
      </c>
      <c r="DB25" s="35">
        <v>38</v>
      </c>
      <c r="DC25" s="35">
        <v>4190</v>
      </c>
      <c r="DD25" s="35">
        <v>1200</v>
      </c>
      <c r="DE25" s="39">
        <v>5477</v>
      </c>
      <c r="DF25" s="39">
        <v>9240</v>
      </c>
      <c r="DG25" s="39">
        <v>13003</v>
      </c>
      <c r="DH25" s="39">
        <v>18022</v>
      </c>
    </row>
    <row r="26" spans="1:112" ht="30" customHeight="1" x14ac:dyDescent="0.25">
      <c r="F26" s="36"/>
      <c r="N26" s="51"/>
      <c r="S26" s="35" t="s">
        <v>187</v>
      </c>
      <c r="T26" s="35" t="s">
        <v>143</v>
      </c>
      <c r="U26" s="35">
        <v>3</v>
      </c>
      <c r="V2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40">
        <v>211</v>
      </c>
      <c r="AB26" s="160" t="s">
        <v>205</v>
      </c>
      <c r="AC26" s="160" t="s">
        <v>158</v>
      </c>
      <c r="AD26" s="160">
        <v>18</v>
      </c>
      <c r="AE26" s="160">
        <v>16</v>
      </c>
      <c r="AF26" s="162">
        <v>50</v>
      </c>
      <c r="AG26" s="162">
        <v>1200</v>
      </c>
      <c r="AH26" s="162">
        <v>50</v>
      </c>
      <c r="AI26" s="162">
        <v>2550</v>
      </c>
      <c r="AJ26" s="160" t="s">
        <v>71</v>
      </c>
      <c r="AK26" s="160" t="s">
        <v>10</v>
      </c>
      <c r="AL26" s="160">
        <v>0</v>
      </c>
      <c r="AN26" s="164" t="s">
        <v>870</v>
      </c>
      <c r="AO26" s="165" t="s">
        <v>557</v>
      </c>
      <c r="AP26" s="165">
        <f>VLOOKUP(Пластики_Acryline[[#This Row],[Ценовая группа]],Цены_по_категориям_Acryline[],2,0)</f>
        <v>7745</v>
      </c>
      <c r="AQ26" s="165">
        <f>VLOOKUP(Пластики_Acryline[[#This Row],[Ценовая группа]],Цены_по_категориям_Acryline[],3,0)</f>
        <v>12274</v>
      </c>
      <c r="AR26" s="165" t="s">
        <v>552</v>
      </c>
      <c r="AS26" s="165" t="s">
        <v>71</v>
      </c>
      <c r="AT26" s="165" t="s">
        <v>10</v>
      </c>
      <c r="AU26" s="165">
        <v>90</v>
      </c>
      <c r="AV26" s="165">
        <v>2750</v>
      </c>
      <c r="AW26" s="165">
        <v>250</v>
      </c>
      <c r="AX26" s="165">
        <v>1200</v>
      </c>
      <c r="AY26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6" s="159">
        <v>42</v>
      </c>
      <c r="CF26" s="72" t="s">
        <v>596</v>
      </c>
      <c r="CG26" s="67" t="s">
        <v>580</v>
      </c>
      <c r="CH26" s="53" t="s">
        <v>544</v>
      </c>
      <c r="CI26" s="82" t="s">
        <v>710</v>
      </c>
      <c r="CJ26" s="98">
        <f>VLOOKUP(Ручки[[#This Row],[Категория]],Ценовые_категории_ручек[],2,0)</f>
        <v>257</v>
      </c>
      <c r="CZ26" s="164" t="s">
        <v>467</v>
      </c>
      <c r="DA26" s="35" t="s">
        <v>472</v>
      </c>
      <c r="DB26" s="35">
        <v>38</v>
      </c>
      <c r="DC26" s="35">
        <v>4190</v>
      </c>
      <c r="DD26" s="35">
        <v>1200</v>
      </c>
      <c r="DE26" s="39">
        <v>5477</v>
      </c>
      <c r="DF26" s="39">
        <v>9240</v>
      </c>
      <c r="DG26" s="39">
        <v>13003</v>
      </c>
      <c r="DH26" s="39">
        <v>18022</v>
      </c>
    </row>
    <row r="27" spans="1:112" ht="30" customHeight="1" x14ac:dyDescent="0.25">
      <c r="C27" s="36"/>
      <c r="D27" s="36"/>
      <c r="E27" s="36"/>
      <c r="F27" s="36"/>
      <c r="S27" s="35" t="s">
        <v>189</v>
      </c>
      <c r="T27" s="35" t="s">
        <v>143</v>
      </c>
      <c r="U27" s="35">
        <v>2</v>
      </c>
      <c r="V2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40">
        <v>212</v>
      </c>
      <c r="AB27" s="160" t="s">
        <v>207</v>
      </c>
      <c r="AC27" s="160" t="s">
        <v>158</v>
      </c>
      <c r="AD27" s="160">
        <v>19</v>
      </c>
      <c r="AE27" s="160">
        <v>16</v>
      </c>
      <c r="AF27" s="162">
        <v>116</v>
      </c>
      <c r="AG27" s="162">
        <v>2550</v>
      </c>
      <c r="AH27" s="162">
        <v>270</v>
      </c>
      <c r="AI27" s="162">
        <v>950</v>
      </c>
      <c r="AJ27" s="160" t="s">
        <v>71</v>
      </c>
      <c r="AK27" s="160" t="s">
        <v>10</v>
      </c>
      <c r="AL27" s="160">
        <v>0.1</v>
      </c>
      <c r="AN27" s="164" t="s">
        <v>871</v>
      </c>
      <c r="AO27" s="165" t="s">
        <v>557</v>
      </c>
      <c r="AP27" s="165">
        <f>VLOOKUP(Пластики_Acryline[[#This Row],[Ценовая группа]],Цены_по_категориям_Acryline[],2,0)</f>
        <v>7745</v>
      </c>
      <c r="AQ27" s="165">
        <f>VLOOKUP(Пластики_Acryline[[#This Row],[Ценовая группа]],Цены_по_категориям_Acryline[],3,0)</f>
        <v>12274</v>
      </c>
      <c r="AR27" s="165" t="s">
        <v>552</v>
      </c>
      <c r="AS27" s="165" t="s">
        <v>71</v>
      </c>
      <c r="AT27" s="165" t="s">
        <v>10</v>
      </c>
      <c r="AU27" s="165">
        <v>90</v>
      </c>
      <c r="AV27" s="165">
        <v>2750</v>
      </c>
      <c r="AW27" s="165">
        <v>250</v>
      </c>
      <c r="AX27" s="165">
        <v>1200</v>
      </c>
      <c r="AY27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7" s="159">
        <v>43</v>
      </c>
      <c r="CF27" s="72" t="s">
        <v>629</v>
      </c>
      <c r="CG27" s="65" t="s">
        <v>582</v>
      </c>
      <c r="CH27" s="73" t="s">
        <v>586</v>
      </c>
      <c r="CI27" s="82" t="s">
        <v>710</v>
      </c>
      <c r="CJ27" s="98">
        <f>VLOOKUP(Ручки[[#This Row],[Категория]],Ценовые_категории_ручек[],2,0)</f>
        <v>800</v>
      </c>
      <c r="CZ27" s="164" t="s">
        <v>468</v>
      </c>
      <c r="DA27" s="35" t="s">
        <v>472</v>
      </c>
      <c r="DB27" s="35">
        <v>38</v>
      </c>
      <c r="DC27" s="35">
        <v>4190</v>
      </c>
      <c r="DD27" s="35">
        <v>1200</v>
      </c>
      <c r="DE27" s="39">
        <v>5477</v>
      </c>
      <c r="DF27" s="39">
        <v>9240</v>
      </c>
      <c r="DG27" s="39">
        <v>13003</v>
      </c>
      <c r="DH27" s="39">
        <v>18022</v>
      </c>
    </row>
    <row r="28" spans="1:112" ht="30" customHeight="1" x14ac:dyDescent="0.25">
      <c r="C28" s="36"/>
      <c r="D28" s="36"/>
      <c r="E28" s="36"/>
      <c r="F28" s="36"/>
      <c r="S28" s="35" t="s">
        <v>191</v>
      </c>
      <c r="T28" s="35" t="s">
        <v>143</v>
      </c>
      <c r="U28" s="35">
        <v>1</v>
      </c>
      <c r="V2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40">
        <v>217</v>
      </c>
      <c r="AB28" s="160" t="s">
        <v>209</v>
      </c>
      <c r="AC28" s="160" t="s">
        <v>158</v>
      </c>
      <c r="AD28" s="160">
        <v>19</v>
      </c>
      <c r="AE28" s="160">
        <v>0</v>
      </c>
      <c r="AF28" s="162">
        <v>70</v>
      </c>
      <c r="AG28" s="162">
        <v>950</v>
      </c>
      <c r="AH28" s="162">
        <v>90</v>
      </c>
      <c r="AI28" s="162">
        <v>950</v>
      </c>
      <c r="AJ28" s="160" t="s">
        <v>71</v>
      </c>
      <c r="AK28" s="160" t="s">
        <v>10</v>
      </c>
      <c r="AL28" s="160">
        <v>0</v>
      </c>
      <c r="AN28" s="164" t="s">
        <v>872</v>
      </c>
      <c r="AO28" s="165" t="s">
        <v>557</v>
      </c>
      <c r="AP28" s="165">
        <f>VLOOKUP(Пластики_Acryline[[#This Row],[Ценовая группа]],Цены_по_категориям_Acryline[],2,0)</f>
        <v>7745</v>
      </c>
      <c r="AQ28" s="165">
        <f>VLOOKUP(Пластики_Acryline[[#This Row],[Ценовая группа]],Цены_по_категориям_Acryline[],3,0)</f>
        <v>12274</v>
      </c>
      <c r="AR28" s="165" t="s">
        <v>552</v>
      </c>
      <c r="AS28" s="165" t="s">
        <v>71</v>
      </c>
      <c r="AT28" s="165" t="s">
        <v>10</v>
      </c>
      <c r="AU28" s="165">
        <v>90</v>
      </c>
      <c r="AV28" s="165">
        <v>2750</v>
      </c>
      <c r="AW28" s="165">
        <v>250</v>
      </c>
      <c r="AX28" s="165">
        <v>1200</v>
      </c>
      <c r="AY28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</v>
      </c>
      <c r="AZ28" s="159">
        <v>44</v>
      </c>
      <c r="CC28" s="90"/>
      <c r="CF28" s="72" t="s">
        <v>616</v>
      </c>
      <c r="CG28" s="67" t="s">
        <v>580</v>
      </c>
      <c r="CH28" s="71" t="s">
        <v>584</v>
      </c>
      <c r="CI28" s="82" t="s">
        <v>710</v>
      </c>
      <c r="CJ28" s="98">
        <f>VLOOKUP(Ручки[[#This Row],[Категория]],Ценовые_категории_ручек[],2,0)</f>
        <v>450</v>
      </c>
      <c r="CZ28" s="164" t="s">
        <v>469</v>
      </c>
      <c r="DA28" s="35" t="s">
        <v>472</v>
      </c>
      <c r="DB28" s="35">
        <v>38</v>
      </c>
      <c r="DC28" s="35">
        <v>4190</v>
      </c>
      <c r="DD28" s="35">
        <v>1200</v>
      </c>
      <c r="DE28" s="39">
        <v>5477</v>
      </c>
      <c r="DF28" s="39">
        <v>9240</v>
      </c>
      <c r="DG28" s="39">
        <v>13003</v>
      </c>
      <c r="DH28" s="39">
        <v>18022</v>
      </c>
    </row>
    <row r="29" spans="1:112" ht="30" customHeight="1" x14ac:dyDescent="0.25">
      <c r="C29" s="36"/>
      <c r="D29" s="36"/>
      <c r="E29" s="36"/>
      <c r="F29" s="36"/>
      <c r="S29" s="35" t="s">
        <v>193</v>
      </c>
      <c r="T29" s="35" t="s">
        <v>143</v>
      </c>
      <c r="U29" s="35">
        <v>3</v>
      </c>
      <c r="V2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40">
        <v>218</v>
      </c>
      <c r="AB29" s="160" t="s">
        <v>211</v>
      </c>
      <c r="AC29" s="160" t="s">
        <v>158</v>
      </c>
      <c r="AD29" s="160">
        <v>19</v>
      </c>
      <c r="AE29" s="160">
        <v>0</v>
      </c>
      <c r="AF29" s="162">
        <v>70</v>
      </c>
      <c r="AG29" s="162">
        <v>2400</v>
      </c>
      <c r="AH29" s="162">
        <v>230</v>
      </c>
      <c r="AI29" s="162">
        <v>950</v>
      </c>
      <c r="AJ29" s="160" t="s">
        <v>71</v>
      </c>
      <c r="AK29" s="160" t="s">
        <v>10</v>
      </c>
      <c r="AL29" s="160">
        <v>0</v>
      </c>
      <c r="AN29" s="164" t="s">
        <v>873</v>
      </c>
      <c r="AO29" s="165" t="s">
        <v>548</v>
      </c>
      <c r="AP29" s="165">
        <f>VLOOKUP(Пластики_Acryline[[#This Row],[Ценовая группа]],Цены_по_категориям_Acryline[],2,0)</f>
        <v>8520</v>
      </c>
      <c r="AQ29" s="165">
        <f>VLOOKUP(Пластики_Acryline[[#This Row],[Ценовая группа]],Цены_по_категориям_Acryline[],3,0)</f>
        <v>13501</v>
      </c>
      <c r="AR29" s="165" t="s">
        <v>552</v>
      </c>
      <c r="AS29" s="165" t="s">
        <v>71</v>
      </c>
      <c r="AT29" s="165" t="s">
        <v>10</v>
      </c>
      <c r="AU29" s="165">
        <v>90</v>
      </c>
      <c r="AV29" s="165">
        <v>2750</v>
      </c>
      <c r="AW29" s="165">
        <v>250</v>
      </c>
      <c r="AX29" s="165">
        <v>1200</v>
      </c>
      <c r="AY29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29" s="159">
        <v>44</v>
      </c>
      <c r="CC29" s="90"/>
      <c r="CF29" s="71" t="s">
        <v>638</v>
      </c>
      <c r="CG29" s="65" t="s">
        <v>582</v>
      </c>
      <c r="CH29" s="79" t="s">
        <v>591</v>
      </c>
      <c r="CI29" s="82" t="s">
        <v>729</v>
      </c>
      <c r="CJ29" s="98">
        <f>VLOOKUP(Ручки[[#This Row],[Категория]],Ценовые_категории_ручек[],2,0)</f>
        <v>800</v>
      </c>
      <c r="CZ29" s="164" t="s">
        <v>470</v>
      </c>
      <c r="DA29" s="35" t="s">
        <v>472</v>
      </c>
      <c r="DB29" s="35">
        <v>38</v>
      </c>
      <c r="DC29" s="35">
        <v>4190</v>
      </c>
      <c r="DD29" s="35">
        <v>1200</v>
      </c>
      <c r="DE29" s="39">
        <v>5477</v>
      </c>
      <c r="DF29" s="39">
        <v>9240</v>
      </c>
      <c r="DG29" s="39">
        <v>13003</v>
      </c>
      <c r="DH29" s="39">
        <v>18022</v>
      </c>
    </row>
    <row r="30" spans="1:112" ht="30" customHeight="1" x14ac:dyDescent="0.25">
      <c r="C30" s="36"/>
      <c r="D30" s="36"/>
      <c r="E30" s="36"/>
      <c r="F30" s="36"/>
      <c r="S30" s="35" t="s">
        <v>197</v>
      </c>
      <c r="T30" s="35" t="s">
        <v>143</v>
      </c>
      <c r="U30" s="35">
        <v>1</v>
      </c>
      <c r="V3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40">
        <v>222</v>
      </c>
      <c r="AB30" s="160" t="s">
        <v>213</v>
      </c>
      <c r="AC30" s="160" t="s">
        <v>156</v>
      </c>
      <c r="AD30" s="160">
        <v>19</v>
      </c>
      <c r="AE30" s="160">
        <v>0</v>
      </c>
      <c r="AF30" s="162">
        <v>285</v>
      </c>
      <c r="AG30" s="162">
        <v>2550</v>
      </c>
      <c r="AH30" s="162">
        <v>296</v>
      </c>
      <c r="AI30" s="162">
        <v>950</v>
      </c>
      <c r="AJ30" s="160" t="s">
        <v>71</v>
      </c>
      <c r="AK30" s="160" t="s">
        <v>10</v>
      </c>
      <c r="AL30" s="160">
        <v>0</v>
      </c>
      <c r="AN30" s="164" t="s">
        <v>874</v>
      </c>
      <c r="AO30" s="165" t="s">
        <v>548</v>
      </c>
      <c r="AP30" s="165">
        <f>VLOOKUP(Пластики_Acryline[[#This Row],[Ценовая группа]],Цены_по_категориям_Acryline[],2,0)</f>
        <v>8520</v>
      </c>
      <c r="AQ30" s="165">
        <f>VLOOKUP(Пластики_Acryline[[#This Row],[Ценовая группа]],Цены_по_категориям_Acryline[],3,0)</f>
        <v>13501</v>
      </c>
      <c r="AR30" s="165" t="s">
        <v>552</v>
      </c>
      <c r="AS30" s="165" t="s">
        <v>71</v>
      </c>
      <c r="AT30" s="165" t="s">
        <v>10</v>
      </c>
      <c r="AU30" s="165">
        <v>90</v>
      </c>
      <c r="AV30" s="165">
        <v>2750</v>
      </c>
      <c r="AW30" s="165">
        <v>250</v>
      </c>
      <c r="AX30" s="165">
        <v>1200</v>
      </c>
      <c r="AY30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0" s="159">
        <v>45</v>
      </c>
      <c r="CC30" s="90"/>
      <c r="CF30" s="71" t="s">
        <v>637</v>
      </c>
      <c r="CG30" s="65" t="s">
        <v>582</v>
      </c>
      <c r="CH30" s="79" t="s">
        <v>591</v>
      </c>
      <c r="CI30" s="82" t="s">
        <v>729</v>
      </c>
      <c r="CJ30" s="98">
        <f>VLOOKUP(Ручки[[#This Row],[Категория]],Ценовые_категории_ручек[],2,0)</f>
        <v>800</v>
      </c>
      <c r="CZ30" s="164" t="s">
        <v>471</v>
      </c>
      <c r="DA30" s="35" t="s">
        <v>472</v>
      </c>
      <c r="DB30" s="35">
        <v>38</v>
      </c>
      <c r="DC30" s="35">
        <v>4190</v>
      </c>
      <c r="DD30" s="35">
        <v>1200</v>
      </c>
      <c r="DE30" s="39">
        <v>5477</v>
      </c>
      <c r="DF30" s="39">
        <v>9240</v>
      </c>
      <c r="DG30" s="39">
        <v>13003</v>
      </c>
      <c r="DH30" s="39">
        <v>18022</v>
      </c>
    </row>
    <row r="31" spans="1:112" ht="30" customHeight="1" x14ac:dyDescent="0.25">
      <c r="C31" s="36"/>
      <c r="D31" s="36"/>
      <c r="E31" s="36"/>
      <c r="F31" s="36"/>
      <c r="S31" s="35" t="s">
        <v>198</v>
      </c>
      <c r="T31" s="35" t="s">
        <v>143</v>
      </c>
      <c r="U31" s="35">
        <v>3</v>
      </c>
      <c r="V3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40">
        <v>223</v>
      </c>
      <c r="AB31" s="160" t="s">
        <v>215</v>
      </c>
      <c r="AC31" s="160" t="s">
        <v>156</v>
      </c>
      <c r="AD31" s="160">
        <v>19</v>
      </c>
      <c r="AE31" s="160">
        <v>0</v>
      </c>
      <c r="AF31" s="162">
        <v>205</v>
      </c>
      <c r="AG31" s="162">
        <v>2400</v>
      </c>
      <c r="AH31" s="162">
        <v>205</v>
      </c>
      <c r="AI31" s="162">
        <v>950</v>
      </c>
      <c r="AJ31" s="160" t="s">
        <v>71</v>
      </c>
      <c r="AK31" s="160" t="s">
        <v>10</v>
      </c>
      <c r="AL31" s="160">
        <v>0</v>
      </c>
      <c r="AN31" s="164" t="s">
        <v>875</v>
      </c>
      <c r="AO31" s="165" t="s">
        <v>548</v>
      </c>
      <c r="AP31" s="165">
        <f>VLOOKUP(Пластики_Acryline[[#This Row],[Ценовая группа]],Цены_по_категориям_Acryline[],2,0)</f>
        <v>8520</v>
      </c>
      <c r="AQ31" s="165">
        <f>VLOOKUP(Пластики_Acryline[[#This Row],[Ценовая группа]],Цены_по_категориям_Acryline[],3,0)</f>
        <v>13501</v>
      </c>
      <c r="AR31" s="165" t="s">
        <v>552</v>
      </c>
      <c r="AS31" s="165" t="s">
        <v>71</v>
      </c>
      <c r="AT31" s="165" t="s">
        <v>10</v>
      </c>
      <c r="AU31" s="165">
        <v>90</v>
      </c>
      <c r="AV31" s="165">
        <v>2750</v>
      </c>
      <c r="AW31" s="165">
        <v>250</v>
      </c>
      <c r="AX31" s="165">
        <v>1200</v>
      </c>
      <c r="AY31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1" s="159">
        <v>46</v>
      </c>
      <c r="CC31" s="90"/>
      <c r="CF31" s="73" t="s">
        <v>622</v>
      </c>
      <c r="CG31" s="65" t="s">
        <v>582</v>
      </c>
      <c r="CH31" s="73" t="s">
        <v>585</v>
      </c>
      <c r="CI31" s="82" t="s">
        <v>643</v>
      </c>
      <c r="CJ31" s="98">
        <f>VLOOKUP(Ручки[[#This Row],[Категория]],Ценовые_категории_ручек[],2,0)</f>
        <v>625</v>
      </c>
      <c r="CZ31" s="159" t="s">
        <v>473</v>
      </c>
      <c r="DA31" s="35" t="s">
        <v>472</v>
      </c>
      <c r="DB31" s="35">
        <v>38</v>
      </c>
      <c r="DC31" s="35">
        <v>4190</v>
      </c>
      <c r="DD31" s="35">
        <v>1200</v>
      </c>
      <c r="DE31" s="39">
        <v>5477</v>
      </c>
      <c r="DF31" s="39">
        <v>9240</v>
      </c>
      <c r="DG31" s="39">
        <v>13003</v>
      </c>
      <c r="DH31" s="39">
        <v>18022</v>
      </c>
    </row>
    <row r="32" spans="1:112" ht="30" customHeight="1" x14ac:dyDescent="0.25">
      <c r="C32" s="36"/>
      <c r="D32" s="36"/>
      <c r="E32" s="36"/>
      <c r="F32" s="36"/>
      <c r="S32" s="35" t="s">
        <v>200</v>
      </c>
      <c r="T32" s="35" t="s">
        <v>143</v>
      </c>
      <c r="U32" s="35">
        <v>2</v>
      </c>
      <c r="V3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40">
        <v>224</v>
      </c>
      <c r="AB32" s="160" t="s">
        <v>217</v>
      </c>
      <c r="AC32" s="160" t="s">
        <v>158</v>
      </c>
      <c r="AD32" s="160">
        <v>19</v>
      </c>
      <c r="AE32" s="160">
        <v>16</v>
      </c>
      <c r="AF32" s="162">
        <v>135</v>
      </c>
      <c r="AG32" s="162">
        <v>2550</v>
      </c>
      <c r="AH32" s="162">
        <v>285</v>
      </c>
      <c r="AI32" s="162">
        <v>950</v>
      </c>
      <c r="AJ32" s="160" t="s">
        <v>71</v>
      </c>
      <c r="AK32" s="160" t="s">
        <v>10</v>
      </c>
      <c r="AL32" s="160">
        <v>0</v>
      </c>
      <c r="AN32" s="164" t="s">
        <v>876</v>
      </c>
      <c r="AO32" s="165" t="s">
        <v>548</v>
      </c>
      <c r="AP32" s="165">
        <f>VLOOKUP(Пластики_Acryline[[#This Row],[Ценовая группа]],Цены_по_категориям_Acryline[],2,0)</f>
        <v>8520</v>
      </c>
      <c r="AQ32" s="165">
        <f>VLOOKUP(Пластики_Acryline[[#This Row],[Ценовая группа]],Цены_по_категориям_Acryline[],3,0)</f>
        <v>13501</v>
      </c>
      <c r="AR32" s="165" t="s">
        <v>552</v>
      </c>
      <c r="AS32" s="165" t="s">
        <v>71</v>
      </c>
      <c r="AT32" s="165" t="s">
        <v>10</v>
      </c>
      <c r="AU32" s="165">
        <v>90</v>
      </c>
      <c r="AV32" s="165">
        <v>2750</v>
      </c>
      <c r="AW32" s="165">
        <v>250</v>
      </c>
      <c r="AX32" s="165">
        <v>1200</v>
      </c>
      <c r="AY32" s="165">
        <f>IF(Пластики_Acryline[[#This Row],[Ценовая группа]]="ПОДИУМ",VLOOKUP(Пластики_Acryline[[#This Row],[Ценовая группа]],Цены_по_категориям_Acryline[],5,0),
IF(Пластики_Acryline[[#This Row],[Ценовая группа]]="МОЦАРТ КЛАССИК",VLOOKUP(Пластики_Acryline[[#This Row],[Ценовая группа]],Цены_по_категориям_Acryline[],5,0),
IF(Пластики_Acryline[[#This Row],[Ценовая группа]]="МОЦАРТ",VLOOKUP(Пластики_Acryline[[#This Row],[Ценовая группа]],Цены_по_категориям_Acryline[],5,0),
IF(Пластики_Acryline[[#This Row],[Ценовая группа]]="АМАДЕУС",VLOOKUP(Пластики_Acryline[[#This Row],[Ценовая группа]],Цены_по_категориям_Acryline[],5,0),0))))</f>
        <v>0.1</v>
      </c>
      <c r="AZ32" s="159">
        <v>47</v>
      </c>
      <c r="CC32" s="90"/>
      <c r="CF32" s="53" t="s">
        <v>578</v>
      </c>
      <c r="CG32" s="67" t="s">
        <v>580</v>
      </c>
      <c r="CH32" s="53" t="s">
        <v>544</v>
      </c>
      <c r="CI32" s="82" t="s">
        <v>643</v>
      </c>
      <c r="CJ32" s="98">
        <f>VLOOKUP(Ручки[[#This Row],[Категория]],Ценовые_категории_ручек[],2,0)</f>
        <v>257</v>
      </c>
      <c r="CZ32" s="164" t="s">
        <v>448</v>
      </c>
      <c r="DA32" s="126" t="s">
        <v>458</v>
      </c>
      <c r="DB32" s="126">
        <v>10</v>
      </c>
      <c r="DC32" s="126">
        <v>3600</v>
      </c>
      <c r="DD32" s="126">
        <v>600</v>
      </c>
      <c r="DE32" s="127">
        <v>2536</v>
      </c>
      <c r="DF32" s="127">
        <v>4278</v>
      </c>
      <c r="DG32" s="127">
        <v>6020</v>
      </c>
      <c r="DH32" s="39">
        <f>ROUND(3650/1000/3*Столешницы[[#This Row],[600 х 3000]],0)</f>
        <v>7324</v>
      </c>
    </row>
    <row r="33" spans="1:140" ht="30" customHeight="1" x14ac:dyDescent="0.25">
      <c r="C33" s="36"/>
      <c r="D33" s="36"/>
      <c r="E33" s="36"/>
      <c r="F33" s="36"/>
      <c r="S33" s="35" t="s">
        <v>202</v>
      </c>
      <c r="T33" s="35" t="s">
        <v>143</v>
      </c>
      <c r="U33" s="35">
        <v>3</v>
      </c>
      <c r="V3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40">
        <v>226</v>
      </c>
      <c r="AB33" s="160" t="s">
        <v>219</v>
      </c>
      <c r="AC33" s="160" t="s">
        <v>158</v>
      </c>
      <c r="AD33" s="160">
        <v>19</v>
      </c>
      <c r="AE33" s="160">
        <v>16</v>
      </c>
      <c r="AF33" s="162">
        <v>137</v>
      </c>
      <c r="AG33" s="162">
        <v>2550</v>
      </c>
      <c r="AH33" s="162">
        <v>290</v>
      </c>
      <c r="AI33" s="162">
        <v>950</v>
      </c>
      <c r="AJ33" s="160" t="s">
        <v>71</v>
      </c>
      <c r="AK33" s="160" t="s">
        <v>10</v>
      </c>
      <c r="AL33" s="160">
        <v>0</v>
      </c>
      <c r="CC33" s="90"/>
      <c r="CF33" s="73" t="s">
        <v>611</v>
      </c>
      <c r="CG33" s="67" t="s">
        <v>580</v>
      </c>
      <c r="CH33" s="70" t="s">
        <v>584</v>
      </c>
      <c r="CI33" s="82" t="s">
        <v>643</v>
      </c>
      <c r="CJ33" s="98">
        <f>VLOOKUP(Ручки[[#This Row],[Категория]],Ценовые_категории_ручек[],2,0)</f>
        <v>450</v>
      </c>
      <c r="CZ33" s="164" t="s">
        <v>449</v>
      </c>
      <c r="DA33" s="126" t="s">
        <v>458</v>
      </c>
      <c r="DB33" s="126">
        <v>10</v>
      </c>
      <c r="DC33" s="126">
        <v>3600</v>
      </c>
      <c r="DD33" s="126">
        <v>600</v>
      </c>
      <c r="DE33" s="127">
        <v>2536</v>
      </c>
      <c r="DF33" s="127">
        <v>4278</v>
      </c>
      <c r="DG33" s="127">
        <v>6020</v>
      </c>
      <c r="DH33" s="39">
        <f>ROUND(3650/1000/3*Столешницы[[#This Row],[600 х 3000]],0)</f>
        <v>7324</v>
      </c>
    </row>
    <row r="34" spans="1:140" ht="30" customHeight="1" x14ac:dyDescent="0.25">
      <c r="C34" s="36"/>
      <c r="D34" s="36"/>
      <c r="E34" s="36"/>
      <c r="S34" s="35" t="s">
        <v>204</v>
      </c>
      <c r="T34" s="35" t="s">
        <v>142</v>
      </c>
      <c r="U34" s="35">
        <v>1</v>
      </c>
      <c r="V3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40">
        <v>229</v>
      </c>
      <c r="AB34" s="160" t="s">
        <v>221</v>
      </c>
      <c r="AC34" s="160" t="s">
        <v>158</v>
      </c>
      <c r="AD34" s="160">
        <v>19</v>
      </c>
      <c r="AE34" s="160">
        <v>0</v>
      </c>
      <c r="AF34" s="162">
        <v>90</v>
      </c>
      <c r="AG34" s="162">
        <v>950</v>
      </c>
      <c r="AH34" s="162">
        <v>270</v>
      </c>
      <c r="AI34" s="162">
        <v>950</v>
      </c>
      <c r="AJ34" s="160" t="s">
        <v>71</v>
      </c>
      <c r="AK34" s="160" t="s">
        <v>10</v>
      </c>
      <c r="AL34" s="160">
        <v>0</v>
      </c>
      <c r="CC34" s="90"/>
      <c r="CF34" s="53" t="s">
        <v>577</v>
      </c>
      <c r="CG34" s="67" t="s">
        <v>580</v>
      </c>
      <c r="CH34" s="53" t="s">
        <v>544</v>
      </c>
      <c r="CI34" s="82" t="s">
        <v>643</v>
      </c>
      <c r="CJ34" s="98">
        <f>VLOOKUP(Ручки[[#This Row],[Категория]],Ценовые_категории_ручек[],2,0)</f>
        <v>257</v>
      </c>
      <c r="CZ34" s="164" t="s">
        <v>450</v>
      </c>
      <c r="DA34" s="126" t="s">
        <v>458</v>
      </c>
      <c r="DB34" s="126">
        <v>10</v>
      </c>
      <c r="DC34" s="126">
        <v>3600</v>
      </c>
      <c r="DD34" s="126">
        <v>600</v>
      </c>
      <c r="DE34" s="127">
        <v>2536</v>
      </c>
      <c r="DF34" s="127">
        <v>4278</v>
      </c>
      <c r="DG34" s="127">
        <v>6020</v>
      </c>
      <c r="DH34" s="39">
        <f>ROUND(3650/1000/3*Столешницы[[#This Row],[600 х 3000]],0)</f>
        <v>7324</v>
      </c>
    </row>
    <row r="35" spans="1:140" ht="30" customHeight="1" x14ac:dyDescent="0.25">
      <c r="S35" s="35" t="s">
        <v>206</v>
      </c>
      <c r="T35" s="35" t="s">
        <v>143</v>
      </c>
      <c r="U35" s="35">
        <v>2</v>
      </c>
      <c r="V3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40">
        <v>230</v>
      </c>
      <c r="AB35" s="160" t="s">
        <v>223</v>
      </c>
      <c r="AC35" s="160" t="s">
        <v>158</v>
      </c>
      <c r="AD35" s="160">
        <v>19</v>
      </c>
      <c r="AE35" s="160">
        <v>0</v>
      </c>
      <c r="AF35" s="162">
        <v>90</v>
      </c>
      <c r="AG35" s="162">
        <v>2400</v>
      </c>
      <c r="AH35" s="162">
        <v>270</v>
      </c>
      <c r="AI35" s="162">
        <v>950</v>
      </c>
      <c r="AJ35" s="160" t="s">
        <v>71</v>
      </c>
      <c r="AK35" s="160" t="s">
        <v>10</v>
      </c>
      <c r="AL35" s="160">
        <v>0</v>
      </c>
      <c r="CC35" s="90"/>
      <c r="CF35" s="73" t="s">
        <v>636</v>
      </c>
      <c r="CG35" s="65" t="s">
        <v>592</v>
      </c>
      <c r="CH35" s="79" t="s">
        <v>591</v>
      </c>
      <c r="CI35" s="82" t="s">
        <v>728</v>
      </c>
      <c r="CJ35" s="98">
        <f>VLOOKUP(Ручки[[#This Row],[Категория]],Ценовые_категории_ручек[],2,0)</f>
        <v>800</v>
      </c>
      <c r="CZ35" s="164" t="s">
        <v>451</v>
      </c>
      <c r="DA35" s="126" t="s">
        <v>458</v>
      </c>
      <c r="DB35" s="126">
        <v>10</v>
      </c>
      <c r="DC35" s="126">
        <v>3600</v>
      </c>
      <c r="DD35" s="126">
        <v>600</v>
      </c>
      <c r="DE35" s="127">
        <v>2536</v>
      </c>
      <c r="DF35" s="127">
        <v>4278</v>
      </c>
      <c r="DG35" s="127">
        <v>6020</v>
      </c>
      <c r="DH35" s="39">
        <f>ROUND(3650/1000/3*Столешницы[[#This Row],[600 х 3000]],0)</f>
        <v>7324</v>
      </c>
    </row>
    <row r="36" spans="1:140" ht="30" customHeight="1" x14ac:dyDescent="0.25">
      <c r="C36" s="36"/>
      <c r="D36" s="36"/>
      <c r="E36" s="36"/>
      <c r="F36" s="36"/>
      <c r="G36" s="37"/>
      <c r="S36" s="35" t="s">
        <v>208</v>
      </c>
      <c r="T36" s="35" t="s">
        <v>143</v>
      </c>
      <c r="U36" s="35">
        <v>1</v>
      </c>
      <c r="V3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40">
        <v>232</v>
      </c>
      <c r="AB36" s="160" t="s">
        <v>225</v>
      </c>
      <c r="AC36" s="160" t="s">
        <v>158</v>
      </c>
      <c r="AD36" s="160">
        <v>19</v>
      </c>
      <c r="AE36" s="160">
        <v>16</v>
      </c>
      <c r="AF36" s="162">
        <v>135</v>
      </c>
      <c r="AG36" s="162">
        <v>2550</v>
      </c>
      <c r="AH36" s="162">
        <v>240</v>
      </c>
      <c r="AI36" s="162">
        <v>950</v>
      </c>
      <c r="AJ36" s="160" t="s">
        <v>71</v>
      </c>
      <c r="AK36" s="160" t="s">
        <v>71</v>
      </c>
      <c r="AL36" s="160">
        <v>0</v>
      </c>
      <c r="CC36" s="90"/>
      <c r="CF36" s="73" t="s">
        <v>635</v>
      </c>
      <c r="CG36" s="65" t="s">
        <v>592</v>
      </c>
      <c r="CH36" s="79" t="s">
        <v>591</v>
      </c>
      <c r="CI36" s="82" t="s">
        <v>728</v>
      </c>
      <c r="CJ36" s="98">
        <f>VLOOKUP(Ручки[[#This Row],[Категория]],Ценовые_категории_ручек[],2,0)</f>
        <v>800</v>
      </c>
      <c r="CK36" s="69"/>
      <c r="CZ36" s="164" t="s">
        <v>452</v>
      </c>
      <c r="DA36" s="126" t="s">
        <v>458</v>
      </c>
      <c r="DB36" s="126">
        <v>10</v>
      </c>
      <c r="DC36" s="126">
        <v>3600</v>
      </c>
      <c r="DD36" s="126">
        <v>600</v>
      </c>
      <c r="DE36" s="127">
        <v>2536</v>
      </c>
      <c r="DF36" s="127">
        <v>4278</v>
      </c>
      <c r="DG36" s="127">
        <v>6020</v>
      </c>
      <c r="DH36" s="39">
        <f>ROUND(3650/1000/3*Столешницы[[#This Row],[600 х 3000]],0)</f>
        <v>7324</v>
      </c>
    </row>
    <row r="37" spans="1:140" ht="30" customHeight="1" x14ac:dyDescent="0.25">
      <c r="S37" s="35" t="s">
        <v>210</v>
      </c>
      <c r="T37" s="35" t="s">
        <v>143</v>
      </c>
      <c r="U37" s="35">
        <v>1</v>
      </c>
      <c r="V3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40">
        <v>233</v>
      </c>
      <c r="AB37" s="160" t="s">
        <v>227</v>
      </c>
      <c r="AC37" s="160" t="s">
        <v>158</v>
      </c>
      <c r="AD37" s="160">
        <v>19</v>
      </c>
      <c r="AE37" s="160">
        <v>16</v>
      </c>
      <c r="AF37" s="162">
        <v>135</v>
      </c>
      <c r="AG37" s="162">
        <v>2550</v>
      </c>
      <c r="AH37" s="162">
        <v>285</v>
      </c>
      <c r="AI37" s="162">
        <v>950</v>
      </c>
      <c r="AJ37" s="160" t="s">
        <v>71</v>
      </c>
      <c r="AK37" s="160" t="s">
        <v>10</v>
      </c>
      <c r="AL37" s="160">
        <v>0</v>
      </c>
      <c r="CC37" s="90"/>
      <c r="CF37" s="71" t="s">
        <v>634</v>
      </c>
      <c r="CG37" s="65" t="s">
        <v>592</v>
      </c>
      <c r="CH37" s="79" t="s">
        <v>591</v>
      </c>
      <c r="CI37" s="82" t="s">
        <v>728</v>
      </c>
      <c r="CJ37" s="98">
        <f>VLOOKUP(Ручки[[#This Row],[Категория]],Ценовые_категории_ручек[],2,0)</f>
        <v>800</v>
      </c>
      <c r="CK37" s="66"/>
      <c r="CZ37" s="164" t="s">
        <v>456</v>
      </c>
      <c r="DA37" s="126" t="s">
        <v>458</v>
      </c>
      <c r="DB37" s="126">
        <v>10</v>
      </c>
      <c r="DC37" s="126">
        <v>3600</v>
      </c>
      <c r="DD37" s="126">
        <v>600</v>
      </c>
      <c r="DE37" s="127">
        <v>2536</v>
      </c>
      <c r="DF37" s="127">
        <v>4278</v>
      </c>
      <c r="DG37" s="127">
        <v>6020</v>
      </c>
      <c r="DH37" s="39">
        <f>ROUND(3650/1000/3*Столешницы[[#This Row],[600 х 3000]],0)</f>
        <v>7324</v>
      </c>
    </row>
    <row r="38" spans="1:140" ht="30" customHeight="1" x14ac:dyDescent="0.25">
      <c r="C38" s="36"/>
      <c r="D38" s="36"/>
      <c r="E38" s="36"/>
      <c r="F38" s="36"/>
      <c r="S38" s="35" t="s">
        <v>212</v>
      </c>
      <c r="T38" s="35" t="s">
        <v>143</v>
      </c>
      <c r="U38" s="35">
        <v>1</v>
      </c>
      <c r="V3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40">
        <v>236</v>
      </c>
      <c r="AB38" s="160" t="s">
        <v>229</v>
      </c>
      <c r="AC38" s="160" t="s">
        <v>158</v>
      </c>
      <c r="AD38" s="160">
        <v>19</v>
      </c>
      <c r="AE38" s="160">
        <v>16</v>
      </c>
      <c r="AF38" s="162">
        <v>135</v>
      </c>
      <c r="AG38" s="162">
        <v>2550</v>
      </c>
      <c r="AH38" s="162">
        <v>228</v>
      </c>
      <c r="AI38" s="162">
        <v>950</v>
      </c>
      <c r="AJ38" s="160" t="s">
        <v>71</v>
      </c>
      <c r="AK38" s="160" t="s">
        <v>71</v>
      </c>
      <c r="AL38" s="160">
        <v>0</v>
      </c>
      <c r="CC38" s="90"/>
      <c r="CF38" s="72" t="s">
        <v>619</v>
      </c>
      <c r="CG38" s="65" t="s">
        <v>582</v>
      </c>
      <c r="CH38" s="70" t="s">
        <v>584</v>
      </c>
      <c r="CI38" s="82" t="s">
        <v>712</v>
      </c>
      <c r="CJ38" s="98">
        <f>VLOOKUP(Ручки[[#This Row],[Категория]],Ценовые_категории_ручек[],2,0)</f>
        <v>450</v>
      </c>
      <c r="CK38" s="66"/>
      <c r="CZ38" s="164" t="s">
        <v>457</v>
      </c>
      <c r="DA38" s="126" t="s">
        <v>458</v>
      </c>
      <c r="DB38" s="126">
        <v>10</v>
      </c>
      <c r="DC38" s="126">
        <v>3600</v>
      </c>
      <c r="DD38" s="126">
        <v>600</v>
      </c>
      <c r="DE38" s="127">
        <v>2536</v>
      </c>
      <c r="DF38" s="127">
        <v>4278</v>
      </c>
      <c r="DG38" s="127">
        <v>6020</v>
      </c>
      <c r="DH38" s="39">
        <f>ROUND(3650/1000/3*Столешницы[[#This Row],[600 х 3000]],0)</f>
        <v>7324</v>
      </c>
    </row>
    <row r="39" spans="1:140" ht="30" customHeight="1" x14ac:dyDescent="0.25">
      <c r="A39" s="60" t="s">
        <v>560</v>
      </c>
      <c r="B39" s="36"/>
      <c r="C39" s="36"/>
      <c r="D39" s="36"/>
      <c r="E39" s="36"/>
      <c r="F39" s="36"/>
      <c r="S39" s="35" t="s">
        <v>765</v>
      </c>
      <c r="T39" s="35" t="s">
        <v>142</v>
      </c>
      <c r="U39" s="35">
        <v>3</v>
      </c>
      <c r="V3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5">
        <v>237</v>
      </c>
      <c r="AB39" s="160" t="s">
        <v>231</v>
      </c>
      <c r="AC39" s="160" t="s">
        <v>158</v>
      </c>
      <c r="AD39" s="160">
        <v>19</v>
      </c>
      <c r="AE39" s="160">
        <v>16</v>
      </c>
      <c r="AF39" s="162">
        <v>70</v>
      </c>
      <c r="AG39" s="162">
        <v>2550</v>
      </c>
      <c r="AH39" s="162">
        <v>278</v>
      </c>
      <c r="AI39" s="162">
        <v>950</v>
      </c>
      <c r="AJ39" s="160" t="s">
        <v>71</v>
      </c>
      <c r="AK39" s="160" t="s">
        <v>10</v>
      </c>
      <c r="AL39" s="160">
        <v>0</v>
      </c>
      <c r="CC39" s="90"/>
      <c r="CF39" s="72" t="s">
        <v>598</v>
      </c>
      <c r="CG39" s="67" t="s">
        <v>580</v>
      </c>
      <c r="CH39" s="53" t="s">
        <v>544</v>
      </c>
      <c r="CI39" s="82" t="s">
        <v>712</v>
      </c>
      <c r="CJ39" s="98">
        <f>VLOOKUP(Ручки[[#This Row],[Категория]],Ценовые_категории_ручек[],2,0)</f>
        <v>257</v>
      </c>
      <c r="CZ39" s="159" t="s">
        <v>462</v>
      </c>
      <c r="DA39" s="126" t="s">
        <v>458</v>
      </c>
      <c r="DB39" s="126">
        <v>10</v>
      </c>
      <c r="DC39" s="126">
        <v>3600</v>
      </c>
      <c r="DD39" s="126">
        <v>600</v>
      </c>
      <c r="DE39" s="127">
        <v>2536</v>
      </c>
      <c r="DF39" s="127">
        <v>4278</v>
      </c>
      <c r="DG39" s="127">
        <v>6020</v>
      </c>
      <c r="DH39" s="39">
        <f>ROUND(3650/1000/3*Столешницы[[#This Row],[600 х 3000]],0)</f>
        <v>7324</v>
      </c>
    </row>
    <row r="40" spans="1:140" ht="30" customHeight="1" x14ac:dyDescent="0.25">
      <c r="A40" s="61" t="s">
        <v>561</v>
      </c>
      <c r="S40" s="35" t="s">
        <v>214</v>
      </c>
      <c r="T40" s="35" t="s">
        <v>143</v>
      </c>
      <c r="U40" s="35">
        <v>2</v>
      </c>
      <c r="V4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40">
        <v>276</v>
      </c>
      <c r="AB40" s="160" t="s">
        <v>233</v>
      </c>
      <c r="AC40" s="160" t="s">
        <v>158</v>
      </c>
      <c r="AD40" s="160">
        <v>19</v>
      </c>
      <c r="AE40" s="160">
        <v>16</v>
      </c>
      <c r="AF40" s="162">
        <v>70</v>
      </c>
      <c r="AG40" s="162">
        <v>2550</v>
      </c>
      <c r="AH40" s="162">
        <v>205</v>
      </c>
      <c r="AI40" s="162">
        <v>950</v>
      </c>
      <c r="AJ40" s="160" t="s">
        <v>71</v>
      </c>
      <c r="AK40" s="160" t="s">
        <v>71</v>
      </c>
      <c r="AL40" s="160">
        <v>0</v>
      </c>
      <c r="CF40" s="72" t="s">
        <v>628</v>
      </c>
      <c r="CG40" s="65" t="s">
        <v>582</v>
      </c>
      <c r="CH40" s="73" t="s">
        <v>586</v>
      </c>
      <c r="CI40" s="82" t="s">
        <v>716</v>
      </c>
      <c r="CJ40" s="98">
        <f>VLOOKUP(Ручки[[#This Row],[Категория]],Ценовые_категории_ручек[],2,0)</f>
        <v>800</v>
      </c>
      <c r="CZ40" s="159" t="s">
        <v>463</v>
      </c>
      <c r="DA40" s="126" t="s">
        <v>458</v>
      </c>
      <c r="DB40" s="126">
        <v>10</v>
      </c>
      <c r="DC40" s="126">
        <v>3600</v>
      </c>
      <c r="DD40" s="126">
        <v>600</v>
      </c>
      <c r="DE40" s="127">
        <v>2536</v>
      </c>
      <c r="DF40" s="127">
        <v>4278</v>
      </c>
      <c r="DG40" s="127">
        <v>6020</v>
      </c>
      <c r="DH40" s="39">
        <f>ROUND(3650/1000/3*Столешницы[[#This Row],[600 х 3000]],0)</f>
        <v>7324</v>
      </c>
    </row>
    <row r="41" spans="1:140" ht="30" customHeight="1" x14ac:dyDescent="0.25">
      <c r="A41" s="167" t="s">
        <v>509</v>
      </c>
      <c r="B41" s="167" t="s">
        <v>122</v>
      </c>
      <c r="C41" s="177" t="s">
        <v>764</v>
      </c>
      <c r="D41" s="38"/>
      <c r="E41" s="38"/>
      <c r="S41" s="35" t="s">
        <v>216</v>
      </c>
      <c r="T41" s="35" t="s">
        <v>143</v>
      </c>
      <c r="U41" s="35">
        <v>2</v>
      </c>
      <c r="V4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40">
        <v>277</v>
      </c>
      <c r="AB41" s="160" t="s">
        <v>235</v>
      </c>
      <c r="AC41" s="160" t="s">
        <v>156</v>
      </c>
      <c r="AD41" s="160">
        <v>19</v>
      </c>
      <c r="AE41" s="160">
        <v>0</v>
      </c>
      <c r="AF41" s="162">
        <v>250</v>
      </c>
      <c r="AG41" s="162">
        <v>2550</v>
      </c>
      <c r="AH41" s="162">
        <v>250</v>
      </c>
      <c r="AI41" s="162">
        <v>950</v>
      </c>
      <c r="AJ41" s="160" t="s">
        <v>71</v>
      </c>
      <c r="AK41" s="160" t="s">
        <v>71</v>
      </c>
      <c r="AL41" s="160">
        <v>0</v>
      </c>
      <c r="CF41" s="53" t="s">
        <v>601</v>
      </c>
      <c r="CG41" s="67" t="s">
        <v>580</v>
      </c>
      <c r="CH41" s="53" t="s">
        <v>544</v>
      </c>
      <c r="CI41" s="82" t="s">
        <v>716</v>
      </c>
      <c r="CJ41" s="98">
        <f>VLOOKUP(Ручки[[#This Row],[Категория]],Ценовые_категории_ручек[],2,0)</f>
        <v>257</v>
      </c>
      <c r="CZ41" s="159" t="s">
        <v>464</v>
      </c>
      <c r="DA41" s="126" t="s">
        <v>458</v>
      </c>
      <c r="DB41" s="126">
        <v>10</v>
      </c>
      <c r="DC41" s="126">
        <v>3600</v>
      </c>
      <c r="DD41" s="126">
        <v>600</v>
      </c>
      <c r="DE41" s="127">
        <v>2536</v>
      </c>
      <c r="DF41" s="127">
        <v>4278</v>
      </c>
      <c r="DG41" s="127">
        <v>6020</v>
      </c>
      <c r="DH41" s="39">
        <f>ROUND(3650/1000/3*Столешницы[[#This Row],[600 х 3000]],0)</f>
        <v>7324</v>
      </c>
    </row>
    <row r="42" spans="1:140" ht="30" customHeight="1" x14ac:dyDescent="0.25">
      <c r="A42" s="178" t="s">
        <v>495</v>
      </c>
      <c r="B42" s="179">
        <v>1179</v>
      </c>
      <c r="C42" s="179"/>
      <c r="D42" s="41"/>
      <c r="E42" s="38"/>
      <c r="S42" s="35" t="s">
        <v>218</v>
      </c>
      <c r="T42" s="35" t="s">
        <v>143</v>
      </c>
      <c r="U42" s="35">
        <v>2</v>
      </c>
      <c r="V4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2" s="40">
        <v>278</v>
      </c>
      <c r="AB42" s="160" t="s">
        <v>237</v>
      </c>
      <c r="AC42" s="160" t="s">
        <v>156</v>
      </c>
      <c r="AD42" s="160">
        <v>19</v>
      </c>
      <c r="AE42" s="160">
        <v>0</v>
      </c>
      <c r="AF42" s="162">
        <v>186</v>
      </c>
      <c r="AG42" s="162">
        <v>2550</v>
      </c>
      <c r="AH42" s="162">
        <v>254</v>
      </c>
      <c r="AI42" s="162">
        <v>950</v>
      </c>
      <c r="AJ42" s="160" t="s">
        <v>71</v>
      </c>
      <c r="AK42" s="160" t="s">
        <v>71</v>
      </c>
      <c r="AL42" s="160">
        <v>0</v>
      </c>
      <c r="CF42" s="72" t="s">
        <v>641</v>
      </c>
      <c r="CG42" s="65" t="s">
        <v>575</v>
      </c>
      <c r="CH42" s="79" t="s">
        <v>591</v>
      </c>
      <c r="CI42" s="82" t="s">
        <v>731</v>
      </c>
      <c r="CJ42" s="98">
        <f>VLOOKUP(Ручки[[#This Row],[Категория]],Ценовые_категории_ручек[],2,0)</f>
        <v>800</v>
      </c>
      <c r="CZ42" s="164" t="s">
        <v>465</v>
      </c>
      <c r="DA42" s="126" t="s">
        <v>472</v>
      </c>
      <c r="DB42" s="126">
        <v>10</v>
      </c>
      <c r="DC42" s="126">
        <v>4200</v>
      </c>
      <c r="DD42" s="126">
        <v>600</v>
      </c>
      <c r="DE42" s="127">
        <v>5477</v>
      </c>
      <c r="DF42" s="127">
        <v>9240</v>
      </c>
      <c r="DG42" s="127">
        <v>13003</v>
      </c>
      <c r="DH42" s="39">
        <v>18022</v>
      </c>
    </row>
    <row r="43" spans="1:140" ht="30" customHeight="1" x14ac:dyDescent="0.25">
      <c r="A43" s="62" t="s">
        <v>496</v>
      </c>
      <c r="B43" s="179">
        <v>2024</v>
      </c>
      <c r="C43" s="179"/>
      <c r="D43" s="41"/>
      <c r="E43" s="38"/>
      <c r="S43" s="35" t="s">
        <v>220</v>
      </c>
      <c r="T43" s="35" t="s">
        <v>143</v>
      </c>
      <c r="U43" s="35">
        <v>1</v>
      </c>
      <c r="V4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3" s="40">
        <v>281</v>
      </c>
      <c r="AB43" s="160" t="s">
        <v>239</v>
      </c>
      <c r="AC43" s="160" t="s">
        <v>156</v>
      </c>
      <c r="AD43" s="160">
        <v>19</v>
      </c>
      <c r="AE43" s="160">
        <v>0</v>
      </c>
      <c r="AF43" s="162">
        <v>70</v>
      </c>
      <c r="AG43" s="162">
        <v>2550</v>
      </c>
      <c r="AH43" s="162">
        <v>70</v>
      </c>
      <c r="AI43" s="162">
        <v>2550</v>
      </c>
      <c r="AJ43" s="160" t="s">
        <v>71</v>
      </c>
      <c r="AK43" s="160" t="s">
        <v>10</v>
      </c>
      <c r="AL43" s="160">
        <v>0</v>
      </c>
      <c r="CF43" s="71" t="s">
        <v>631</v>
      </c>
      <c r="CG43" s="65" t="s">
        <v>588</v>
      </c>
      <c r="CH43" s="79" t="s">
        <v>590</v>
      </c>
      <c r="CI43" s="82" t="s">
        <v>726</v>
      </c>
      <c r="CJ43" s="98">
        <f>VLOOKUP(Ручки[[#This Row],[Категория]],Ценовые_категории_ручек[],2,0)</f>
        <v>625</v>
      </c>
      <c r="CZ43" s="164" t="s">
        <v>466</v>
      </c>
      <c r="DA43" s="126" t="s">
        <v>472</v>
      </c>
      <c r="DB43" s="126">
        <v>10</v>
      </c>
      <c r="DC43" s="126">
        <v>4200</v>
      </c>
      <c r="DD43" s="126">
        <v>600</v>
      </c>
      <c r="DE43" s="127">
        <v>5477</v>
      </c>
      <c r="DF43" s="127">
        <v>9240</v>
      </c>
      <c r="DG43" s="127">
        <v>13003</v>
      </c>
      <c r="DH43" s="39">
        <v>18022</v>
      </c>
    </row>
    <row r="44" spans="1:140" ht="30" customHeight="1" x14ac:dyDescent="0.25">
      <c r="A44" s="62" t="s">
        <v>497</v>
      </c>
      <c r="B44" s="179">
        <v>2024</v>
      </c>
      <c r="C44" s="179"/>
      <c r="D44" s="41"/>
      <c r="E44" s="38"/>
      <c r="S44" s="35" t="s">
        <v>222</v>
      </c>
      <c r="T44" s="35" t="s">
        <v>143</v>
      </c>
      <c r="U44" s="35">
        <v>4</v>
      </c>
      <c r="V4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40">
        <v>283</v>
      </c>
      <c r="CF44" s="71" t="s">
        <v>633</v>
      </c>
      <c r="CG44" s="65" t="s">
        <v>588</v>
      </c>
      <c r="CH44" s="79" t="s">
        <v>590</v>
      </c>
      <c r="CI44" s="82" t="s">
        <v>726</v>
      </c>
      <c r="CJ44" s="98">
        <f>VLOOKUP(Ручки[[#This Row],[Категория]],Ценовые_категории_ручек[],2,0)</f>
        <v>625</v>
      </c>
      <c r="CZ44" s="164" t="s">
        <v>467</v>
      </c>
      <c r="DA44" s="126" t="s">
        <v>472</v>
      </c>
      <c r="DB44" s="126">
        <v>10</v>
      </c>
      <c r="DC44" s="126">
        <v>4200</v>
      </c>
      <c r="DD44" s="126">
        <v>600</v>
      </c>
      <c r="DE44" s="127">
        <v>5477</v>
      </c>
      <c r="DF44" s="127">
        <v>9240</v>
      </c>
      <c r="DG44" s="127">
        <v>13003</v>
      </c>
      <c r="DH44" s="39">
        <v>18022</v>
      </c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</row>
    <row r="45" spans="1:140" ht="30" customHeight="1" x14ac:dyDescent="0.25">
      <c r="A45" s="62" t="s">
        <v>498</v>
      </c>
      <c r="B45" s="179">
        <v>2024</v>
      </c>
      <c r="C45" s="180"/>
      <c r="D45" s="41"/>
      <c r="E45" s="38"/>
      <c r="S45" s="35" t="s">
        <v>224</v>
      </c>
      <c r="T45" s="35" t="s">
        <v>143</v>
      </c>
      <c r="U45" s="35">
        <v>4</v>
      </c>
      <c r="V4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5" s="40">
        <v>284</v>
      </c>
      <c r="CF45" s="72" t="s">
        <v>630</v>
      </c>
      <c r="CG45" s="65" t="s">
        <v>582</v>
      </c>
      <c r="CH45" s="79" t="s">
        <v>587</v>
      </c>
      <c r="CI45" s="82" t="s">
        <v>725</v>
      </c>
      <c r="CJ45" s="98">
        <f>VLOOKUP(Ручки[[#This Row],[Категория]],Ценовые_категории_ручек[],2,0)</f>
        <v>450</v>
      </c>
      <c r="CZ45" s="164" t="s">
        <v>468</v>
      </c>
      <c r="DA45" s="126" t="s">
        <v>472</v>
      </c>
      <c r="DB45" s="126">
        <v>10</v>
      </c>
      <c r="DC45" s="126">
        <v>4200</v>
      </c>
      <c r="DD45" s="126">
        <v>600</v>
      </c>
      <c r="DE45" s="127">
        <v>5477</v>
      </c>
      <c r="DF45" s="127">
        <v>9240</v>
      </c>
      <c r="DG45" s="127">
        <v>13003</v>
      </c>
      <c r="DH45" s="39">
        <v>18022</v>
      </c>
      <c r="DX45" s="89"/>
      <c r="DY45" s="89"/>
      <c r="DZ45" s="89"/>
      <c r="EA45" s="89"/>
      <c r="EB45" s="89"/>
      <c r="EC45" s="89"/>
      <c r="ED45" s="89"/>
      <c r="EE45" s="89"/>
      <c r="EF45" s="89"/>
      <c r="EG45" s="89"/>
      <c r="EH45" s="89"/>
      <c r="EI45" s="89"/>
      <c r="EJ45" s="89"/>
    </row>
    <row r="46" spans="1:140" ht="30" customHeight="1" x14ac:dyDescent="0.25">
      <c r="A46" s="181" t="s">
        <v>499</v>
      </c>
      <c r="B46" s="180">
        <v>2931</v>
      </c>
      <c r="C46" s="179"/>
      <c r="D46" s="41"/>
      <c r="E46" s="38"/>
      <c r="S46" s="35" t="s">
        <v>226</v>
      </c>
      <c r="T46" s="35" t="s">
        <v>143</v>
      </c>
      <c r="U46" s="35">
        <v>1</v>
      </c>
      <c r="V4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6" s="40">
        <v>285</v>
      </c>
      <c r="CF46" s="72" t="s">
        <v>618</v>
      </c>
      <c r="CG46" s="65" t="s">
        <v>582</v>
      </c>
      <c r="CH46" s="71" t="s">
        <v>584</v>
      </c>
      <c r="CI46" s="82" t="s">
        <v>722</v>
      </c>
      <c r="CJ46" s="98">
        <f>VLOOKUP(Ручки[[#This Row],[Категория]],Ценовые_категории_ручек[],2,0)</f>
        <v>450</v>
      </c>
      <c r="CZ46" s="164" t="s">
        <v>469</v>
      </c>
      <c r="DA46" s="126" t="s">
        <v>472</v>
      </c>
      <c r="DB46" s="126">
        <v>10</v>
      </c>
      <c r="DC46" s="126">
        <v>4200</v>
      </c>
      <c r="DD46" s="126">
        <v>600</v>
      </c>
      <c r="DE46" s="127">
        <v>5477</v>
      </c>
      <c r="DF46" s="127">
        <v>9240</v>
      </c>
      <c r="DG46" s="127">
        <v>13003</v>
      </c>
      <c r="DH46" s="39">
        <v>18022</v>
      </c>
      <c r="DX46" s="89"/>
      <c r="DY46" s="89"/>
      <c r="DZ46" s="89"/>
      <c r="EA46" s="89"/>
      <c r="EB46" s="89"/>
      <c r="EC46" s="89"/>
      <c r="ED46" s="89"/>
      <c r="EE46" s="89"/>
      <c r="EF46" s="89"/>
      <c r="EG46" s="89"/>
      <c r="EH46" s="89"/>
      <c r="EI46" s="89"/>
      <c r="EJ46" s="89"/>
    </row>
    <row r="47" spans="1:140" ht="30" customHeight="1" x14ac:dyDescent="0.25">
      <c r="A47" s="181" t="s">
        <v>500</v>
      </c>
      <c r="B47" s="179">
        <v>4373</v>
      </c>
      <c r="C47" s="179"/>
      <c r="D47" s="41"/>
      <c r="E47" s="38"/>
      <c r="S47" s="35" t="s">
        <v>228</v>
      </c>
      <c r="T47" s="35" t="s">
        <v>143</v>
      </c>
      <c r="U47" s="35">
        <v>3</v>
      </c>
      <c r="V4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40">
        <v>286</v>
      </c>
      <c r="CF47" s="53" t="s">
        <v>599</v>
      </c>
      <c r="CG47" s="65" t="s">
        <v>582</v>
      </c>
      <c r="CH47" s="53" t="s">
        <v>544</v>
      </c>
      <c r="CI47" s="82" t="s">
        <v>714</v>
      </c>
      <c r="CJ47" s="98">
        <f>VLOOKUP(Ручки[[#This Row],[Категория]],Ценовые_категории_ручек[],2,0)</f>
        <v>257</v>
      </c>
      <c r="CZ47" s="164" t="s">
        <v>470</v>
      </c>
      <c r="DA47" s="126" t="s">
        <v>472</v>
      </c>
      <c r="DB47" s="126">
        <v>10</v>
      </c>
      <c r="DC47" s="126">
        <v>4200</v>
      </c>
      <c r="DD47" s="126">
        <v>600</v>
      </c>
      <c r="DE47" s="127">
        <v>5477</v>
      </c>
      <c r="DF47" s="127">
        <v>9240</v>
      </c>
      <c r="DG47" s="127">
        <v>13003</v>
      </c>
      <c r="DH47" s="39">
        <v>18022</v>
      </c>
      <c r="DX47" s="89"/>
      <c r="DY47" s="89"/>
      <c r="DZ47" s="89"/>
      <c r="EA47" s="89"/>
      <c r="EB47" s="89"/>
      <c r="EC47" s="89"/>
      <c r="ED47" s="89"/>
      <c r="EE47" s="89"/>
      <c r="EF47" s="89"/>
      <c r="EG47" s="89"/>
      <c r="EH47" s="89"/>
      <c r="EI47" s="89"/>
      <c r="EJ47" s="89"/>
    </row>
    <row r="48" spans="1:140" ht="30" customHeight="1" x14ac:dyDescent="0.25">
      <c r="A48" s="181" t="s">
        <v>501</v>
      </c>
      <c r="B48" s="179">
        <v>4373</v>
      </c>
      <c r="C48" s="179"/>
      <c r="D48" s="41"/>
      <c r="E48" s="38"/>
      <c r="S48" s="35" t="s">
        <v>230</v>
      </c>
      <c r="T48" s="35" t="s">
        <v>143</v>
      </c>
      <c r="U48" s="35">
        <v>3</v>
      </c>
      <c r="V4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40">
        <v>296</v>
      </c>
      <c r="CF48" s="72" t="s">
        <v>640</v>
      </c>
      <c r="CG48" s="65" t="s">
        <v>582</v>
      </c>
      <c r="CH48" s="79" t="s">
        <v>591</v>
      </c>
      <c r="CI48" s="82" t="s">
        <v>730</v>
      </c>
      <c r="CJ48" s="98">
        <f>VLOOKUP(Ручки[[#This Row],[Категория]],Ценовые_категории_ручек[],2,0)</f>
        <v>800</v>
      </c>
      <c r="CZ48" s="164" t="s">
        <v>471</v>
      </c>
      <c r="DA48" s="126" t="s">
        <v>472</v>
      </c>
      <c r="DB48" s="126">
        <v>10</v>
      </c>
      <c r="DC48" s="126">
        <v>4200</v>
      </c>
      <c r="DD48" s="126">
        <v>600</v>
      </c>
      <c r="DE48" s="127">
        <v>5477</v>
      </c>
      <c r="DF48" s="127">
        <v>9240</v>
      </c>
      <c r="DG48" s="127">
        <v>13003</v>
      </c>
      <c r="DH48" s="39">
        <v>18022</v>
      </c>
    </row>
    <row r="49" spans="1:112" ht="30" customHeight="1" x14ac:dyDescent="0.25">
      <c r="A49" s="181" t="s">
        <v>502</v>
      </c>
      <c r="B49" s="179">
        <v>4033</v>
      </c>
      <c r="C49" s="179"/>
      <c r="D49" s="41"/>
      <c r="E49" s="38"/>
      <c r="S49" s="35" t="s">
        <v>232</v>
      </c>
      <c r="T49" s="35" t="s">
        <v>143</v>
      </c>
      <c r="U49" s="35">
        <v>3</v>
      </c>
      <c r="V4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40">
        <v>300</v>
      </c>
      <c r="CF49" s="71" t="s">
        <v>639</v>
      </c>
      <c r="CG49" s="65" t="s">
        <v>582</v>
      </c>
      <c r="CH49" s="79" t="s">
        <v>591</v>
      </c>
      <c r="CI49" s="82" t="s">
        <v>730</v>
      </c>
      <c r="CJ49" s="98">
        <f>VLOOKUP(Ручки[[#This Row],[Категория]],Ценовые_категории_ручек[],2,0)</f>
        <v>800</v>
      </c>
      <c r="CZ49" s="159" t="s">
        <v>473</v>
      </c>
      <c r="DA49" s="126" t="s">
        <v>472</v>
      </c>
      <c r="DB49" s="126">
        <v>10</v>
      </c>
      <c r="DC49" s="126">
        <v>4200</v>
      </c>
      <c r="DD49" s="126">
        <v>600</v>
      </c>
      <c r="DE49" s="127">
        <v>5477</v>
      </c>
      <c r="DF49" s="127">
        <v>9240</v>
      </c>
      <c r="DG49" s="127">
        <v>13003</v>
      </c>
      <c r="DH49" s="39">
        <v>18022</v>
      </c>
    </row>
    <row r="50" spans="1:112" ht="30" customHeight="1" x14ac:dyDescent="0.25">
      <c r="A50" s="181" t="s">
        <v>503</v>
      </c>
      <c r="B50" s="182">
        <v>4915</v>
      </c>
      <c r="C50" s="167"/>
      <c r="D50" s="41"/>
      <c r="E50" s="38"/>
      <c r="S50" s="35" t="s">
        <v>234</v>
      </c>
      <c r="T50" s="35" t="s">
        <v>143</v>
      </c>
      <c r="U50" s="35">
        <v>2</v>
      </c>
      <c r="V5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0" s="40">
        <v>301</v>
      </c>
      <c r="CF50" s="53" t="s">
        <v>581</v>
      </c>
      <c r="CG50" s="65" t="s">
        <v>582</v>
      </c>
      <c r="CH50" s="53" t="s">
        <v>544</v>
      </c>
      <c r="CI50" s="82" t="s">
        <v>713</v>
      </c>
      <c r="CJ50" s="98">
        <f>VLOOKUP(Ручки[[#This Row],[Категория]],Ценовые_категории_ручек[],2,0)</f>
        <v>257</v>
      </c>
    </row>
    <row r="51" spans="1:112" ht="30" customHeight="1" x14ac:dyDescent="0.25">
      <c r="A51" s="62" t="s">
        <v>504</v>
      </c>
      <c r="B51" s="179">
        <v>4660</v>
      </c>
      <c r="C51" s="179"/>
      <c r="D51" s="41"/>
      <c r="E51" s="38"/>
      <c r="S51" s="35" t="s">
        <v>236</v>
      </c>
      <c r="T51" s="35" t="s">
        <v>142</v>
      </c>
      <c r="U51" s="35">
        <v>1</v>
      </c>
      <c r="V5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40">
        <v>307</v>
      </c>
      <c r="CF51" s="72" t="s">
        <v>620</v>
      </c>
      <c r="CG51" s="65" t="s">
        <v>582</v>
      </c>
      <c r="CH51" s="71" t="s">
        <v>584</v>
      </c>
      <c r="CI51" s="82" t="s">
        <v>720</v>
      </c>
      <c r="CJ51" s="98">
        <f>VLOOKUP(Ручки[[#This Row],[Категория]],Ценовые_категории_ручек[],2,0)</f>
        <v>450</v>
      </c>
    </row>
    <row r="52" spans="1:112" ht="30" customHeight="1" x14ac:dyDescent="0.25">
      <c r="A52" s="62" t="s">
        <v>505</v>
      </c>
      <c r="B52" s="179">
        <v>4660</v>
      </c>
      <c r="C52" s="180"/>
      <c r="D52" s="41"/>
      <c r="E52" s="38"/>
      <c r="S52" s="35" t="s">
        <v>238</v>
      </c>
      <c r="T52" s="35" t="s">
        <v>142</v>
      </c>
      <c r="U52" s="35">
        <v>1</v>
      </c>
      <c r="V5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2" s="40">
        <v>308</v>
      </c>
      <c r="CF52" s="73" t="s">
        <v>615</v>
      </c>
      <c r="CG52" s="65" t="s">
        <v>582</v>
      </c>
      <c r="CH52" s="70" t="s">
        <v>584</v>
      </c>
      <c r="CI52" s="82" t="s">
        <v>720</v>
      </c>
      <c r="CJ52" s="98">
        <f>VLOOKUP(Ручки[[#This Row],[Категория]],Ценовые_категории_ручек[],2,0)</f>
        <v>450</v>
      </c>
    </row>
    <row r="53" spans="1:112" ht="30" customHeight="1" x14ac:dyDescent="0.25">
      <c r="A53" s="181" t="s">
        <v>506</v>
      </c>
      <c r="B53" s="180">
        <v>5423</v>
      </c>
      <c r="C53" s="179"/>
      <c r="D53" s="41"/>
      <c r="E53" s="38"/>
      <c r="S53" s="35" t="s">
        <v>240</v>
      </c>
      <c r="T53" s="35" t="s">
        <v>143</v>
      </c>
      <c r="U53" s="35">
        <v>4</v>
      </c>
      <c r="V5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3" s="40">
        <v>384</v>
      </c>
      <c r="CF53" s="72" t="s">
        <v>625</v>
      </c>
      <c r="CG53" s="65" t="s">
        <v>582</v>
      </c>
      <c r="CH53" s="73" t="s">
        <v>585</v>
      </c>
      <c r="CI53" s="82" t="s">
        <v>709</v>
      </c>
      <c r="CJ53" s="98">
        <f>VLOOKUP(Ручки[[#This Row],[Категория]],Ценовые_категории_ручек[],2,0)</f>
        <v>625</v>
      </c>
    </row>
    <row r="54" spans="1:112" ht="30" customHeight="1" x14ac:dyDescent="0.25">
      <c r="A54" s="62" t="s">
        <v>507</v>
      </c>
      <c r="B54" s="179">
        <v>9200</v>
      </c>
      <c r="C54" s="167"/>
      <c r="S54" s="35" t="s">
        <v>242</v>
      </c>
      <c r="T54" s="35" t="s">
        <v>143</v>
      </c>
      <c r="U54" s="35">
        <v>1</v>
      </c>
      <c r="V5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4" s="40">
        <v>419</v>
      </c>
      <c r="CF54" s="72" t="s">
        <v>595</v>
      </c>
      <c r="CG54" s="67" t="s">
        <v>580</v>
      </c>
      <c r="CH54" s="53" t="s">
        <v>544</v>
      </c>
      <c r="CI54" s="82" t="s">
        <v>709</v>
      </c>
      <c r="CJ54" s="98">
        <f>VLOOKUP(Ручки[[#This Row],[Категория]],Ценовые_категории_ручек[],2,0)</f>
        <v>257</v>
      </c>
    </row>
    <row r="55" spans="1:112" ht="30" customHeight="1" x14ac:dyDescent="0.25">
      <c r="S55" s="35" t="s">
        <v>244</v>
      </c>
      <c r="T55" s="35" t="s">
        <v>142</v>
      </c>
      <c r="U55" s="35">
        <v>3</v>
      </c>
      <c r="V5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40">
        <v>500</v>
      </c>
      <c r="CF55" s="72" t="s">
        <v>642</v>
      </c>
      <c r="CG55" s="65" t="s">
        <v>582</v>
      </c>
      <c r="CH55" s="79" t="s">
        <v>591</v>
      </c>
      <c r="CI55" s="82" t="s">
        <v>732</v>
      </c>
      <c r="CJ55" s="98">
        <f>VLOOKUP(Ручки[[#This Row],[Категория]],Ценовые_категории_ручек[],2,0)</f>
        <v>800</v>
      </c>
    </row>
    <row r="56" spans="1:112" ht="30" customHeight="1" x14ac:dyDescent="0.25">
      <c r="S56" s="35" t="s">
        <v>245</v>
      </c>
      <c r="T56" s="35" t="s">
        <v>142</v>
      </c>
      <c r="U56" s="35">
        <v>3</v>
      </c>
      <c r="V5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40">
        <v>501</v>
      </c>
      <c r="CF56" s="73" t="s">
        <v>627</v>
      </c>
      <c r="CG56" s="65" t="s">
        <v>582</v>
      </c>
      <c r="CH56" s="73" t="s">
        <v>586</v>
      </c>
      <c r="CI56" s="82" t="s">
        <v>721</v>
      </c>
      <c r="CJ56" s="98">
        <f>VLOOKUP(Ручки[[#This Row],[Категория]],Ценовые_категории_ручек[],2,0)</f>
        <v>800</v>
      </c>
    </row>
    <row r="57" spans="1:112" ht="30" customHeight="1" x14ac:dyDescent="0.25">
      <c r="S57" s="35" t="s">
        <v>246</v>
      </c>
      <c r="T57" s="35" t="s">
        <v>142</v>
      </c>
      <c r="U57" s="35">
        <v>3</v>
      </c>
      <c r="V5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40">
        <v>503</v>
      </c>
      <c r="CF57" s="72" t="s">
        <v>617</v>
      </c>
      <c r="CG57" s="67" t="s">
        <v>580</v>
      </c>
      <c r="CH57" s="70" t="s">
        <v>584</v>
      </c>
      <c r="CI57" s="82" t="s">
        <v>721</v>
      </c>
      <c r="CJ57" s="98">
        <f>VLOOKUP(Ручки[[#This Row],[Категория]],Ценовые_категории_ручек[],2,0)</f>
        <v>450</v>
      </c>
    </row>
    <row r="58" spans="1:112" ht="30" customHeight="1" x14ac:dyDescent="0.25">
      <c r="S58" s="35" t="s">
        <v>247</v>
      </c>
      <c r="T58" s="35" t="s">
        <v>142</v>
      </c>
      <c r="U58" s="35">
        <v>3</v>
      </c>
      <c r="V5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40">
        <v>504</v>
      </c>
      <c r="CF58" s="71" t="s">
        <v>632</v>
      </c>
      <c r="CG58" s="65" t="s">
        <v>589</v>
      </c>
      <c r="CH58" s="79" t="s">
        <v>590</v>
      </c>
      <c r="CI58" s="82" t="s">
        <v>727</v>
      </c>
      <c r="CJ58" s="98">
        <f>VLOOKUP(Ручки[[#This Row],[Категория]],Ценовые_категории_ручек[],2,0)</f>
        <v>625</v>
      </c>
    </row>
    <row r="59" spans="1:112" ht="30" customHeight="1" x14ac:dyDescent="0.25">
      <c r="S59" s="35" t="s">
        <v>248</v>
      </c>
      <c r="T59" s="35" t="s">
        <v>142</v>
      </c>
      <c r="U59" s="35">
        <v>3</v>
      </c>
      <c r="V5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40">
        <v>505</v>
      </c>
      <c r="CF59" s="53" t="s">
        <v>574</v>
      </c>
      <c r="CG59" s="65" t="s">
        <v>575</v>
      </c>
      <c r="CH59" s="82" t="s">
        <v>576</v>
      </c>
      <c r="CI59" s="82" t="s">
        <v>644</v>
      </c>
      <c r="CJ59" s="98">
        <f>VLOOKUP(Ручки[[#This Row],[Категория]],Ценовые_категории_ручек[],2,0)</f>
        <v>50</v>
      </c>
    </row>
    <row r="60" spans="1:112" ht="30" customHeight="1" x14ac:dyDescent="0.25">
      <c r="S60" s="35" t="s">
        <v>249</v>
      </c>
      <c r="T60" s="35" t="s">
        <v>142</v>
      </c>
      <c r="U60" s="35">
        <v>3</v>
      </c>
      <c r="V6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40">
        <v>506</v>
      </c>
    </row>
    <row r="61" spans="1:112" ht="30" customHeight="1" x14ac:dyDescent="0.25">
      <c r="S61" s="35" t="s">
        <v>250</v>
      </c>
      <c r="T61" s="35" t="s">
        <v>142</v>
      </c>
      <c r="U61" s="35">
        <v>3</v>
      </c>
      <c r="V6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40">
        <v>507</v>
      </c>
    </row>
    <row r="62" spans="1:112" ht="30" customHeight="1" x14ac:dyDescent="0.25">
      <c r="S62" s="35" t="s">
        <v>251</v>
      </c>
      <c r="T62" s="35" t="s">
        <v>142</v>
      </c>
      <c r="U62" s="35">
        <v>3</v>
      </c>
      <c r="V6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40">
        <v>508</v>
      </c>
    </row>
    <row r="63" spans="1:112" ht="30" customHeight="1" x14ac:dyDescent="0.25">
      <c r="S63" s="35" t="s">
        <v>252</v>
      </c>
      <c r="T63" s="35" t="s">
        <v>142</v>
      </c>
      <c r="U63" s="35">
        <v>3</v>
      </c>
      <c r="V6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40">
        <v>509</v>
      </c>
    </row>
    <row r="64" spans="1:112" ht="30" customHeight="1" x14ac:dyDescent="0.25">
      <c r="S64" s="35" t="s">
        <v>253</v>
      </c>
      <c r="T64" s="35" t="s">
        <v>142</v>
      </c>
      <c r="U64" s="35">
        <v>3</v>
      </c>
      <c r="V6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40">
        <v>510</v>
      </c>
    </row>
    <row r="65" spans="19:26" ht="30" customHeight="1" x14ac:dyDescent="0.25">
      <c r="S65" s="35" t="s">
        <v>254</v>
      </c>
      <c r="T65" s="35" t="s">
        <v>142</v>
      </c>
      <c r="U65" s="35">
        <v>2</v>
      </c>
      <c r="V6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40">
        <v>511</v>
      </c>
    </row>
    <row r="66" spans="19:26" ht="30" customHeight="1" x14ac:dyDescent="0.25">
      <c r="S66" s="35" t="s">
        <v>255</v>
      </c>
      <c r="T66" s="35" t="s">
        <v>142</v>
      </c>
      <c r="U66" s="35">
        <v>3</v>
      </c>
      <c r="V6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40">
        <v>513</v>
      </c>
    </row>
    <row r="67" spans="19:26" ht="30" customHeight="1" x14ac:dyDescent="0.25">
      <c r="S67" s="35" t="s">
        <v>256</v>
      </c>
      <c r="T67" s="35" t="s">
        <v>142</v>
      </c>
      <c r="U67" s="35">
        <v>2</v>
      </c>
      <c r="V6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40">
        <v>514</v>
      </c>
    </row>
    <row r="68" spans="19:26" ht="30" customHeight="1" x14ac:dyDescent="0.25">
      <c r="S68" s="35" t="s">
        <v>257</v>
      </c>
      <c r="T68" s="35" t="s">
        <v>142</v>
      </c>
      <c r="U68" s="35">
        <v>3</v>
      </c>
      <c r="V6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40">
        <v>515</v>
      </c>
    </row>
    <row r="69" spans="19:26" ht="30" customHeight="1" x14ac:dyDescent="0.25">
      <c r="S69" s="35" t="s">
        <v>258</v>
      </c>
      <c r="T69" s="35" t="s">
        <v>142</v>
      </c>
      <c r="U69" s="35">
        <v>2</v>
      </c>
      <c r="V6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9" s="40">
        <v>516</v>
      </c>
    </row>
    <row r="70" spans="19:26" ht="30" customHeight="1" x14ac:dyDescent="0.25">
      <c r="S70" s="35" t="s">
        <v>259</v>
      </c>
      <c r="T70" s="35" t="s">
        <v>142</v>
      </c>
      <c r="U70" s="35">
        <v>1</v>
      </c>
      <c r="V7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7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7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7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70" s="40">
        <v>518</v>
      </c>
    </row>
    <row r="71" spans="19:26" ht="30" customHeight="1" x14ac:dyDescent="0.25">
      <c r="S71" s="35" t="s">
        <v>260</v>
      </c>
      <c r="T71" s="35" t="s">
        <v>142</v>
      </c>
      <c r="U71" s="35">
        <v>2</v>
      </c>
      <c r="V7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40">
        <v>519</v>
      </c>
    </row>
    <row r="72" spans="19:26" ht="30" customHeight="1" x14ac:dyDescent="0.25">
      <c r="S72" s="35" t="s">
        <v>261</v>
      </c>
      <c r="T72" s="35" t="s">
        <v>142</v>
      </c>
      <c r="U72" s="35">
        <v>2</v>
      </c>
      <c r="V7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40">
        <v>520</v>
      </c>
    </row>
    <row r="73" spans="19:26" ht="30" customHeight="1" x14ac:dyDescent="0.25">
      <c r="S73" s="35" t="s">
        <v>263</v>
      </c>
      <c r="T73" s="35" t="s">
        <v>142</v>
      </c>
      <c r="U73" s="35">
        <v>2</v>
      </c>
      <c r="V7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40">
        <v>522</v>
      </c>
    </row>
    <row r="74" spans="19:26" ht="30" customHeight="1" x14ac:dyDescent="0.25">
      <c r="S74" s="35" t="s">
        <v>264</v>
      </c>
      <c r="T74" s="35" t="s">
        <v>142</v>
      </c>
      <c r="U74" s="35">
        <v>3</v>
      </c>
      <c r="V7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40">
        <v>524</v>
      </c>
    </row>
    <row r="75" spans="19:26" ht="30" customHeight="1" x14ac:dyDescent="0.25">
      <c r="S75" s="35" t="s">
        <v>265</v>
      </c>
      <c r="T75" s="35" t="s">
        <v>142</v>
      </c>
      <c r="U75" s="35">
        <v>3</v>
      </c>
      <c r="V7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40">
        <v>525</v>
      </c>
    </row>
    <row r="76" spans="19:26" ht="30" customHeight="1" x14ac:dyDescent="0.25">
      <c r="S76" s="35" t="s">
        <v>266</v>
      </c>
      <c r="T76" s="35" t="s">
        <v>142</v>
      </c>
      <c r="U76" s="35">
        <v>3</v>
      </c>
      <c r="V7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40">
        <v>526</v>
      </c>
    </row>
    <row r="77" spans="19:26" ht="30" customHeight="1" x14ac:dyDescent="0.25">
      <c r="S77" s="35" t="s">
        <v>267</v>
      </c>
      <c r="T77" s="35" t="s">
        <v>142</v>
      </c>
      <c r="U77" s="35">
        <v>3</v>
      </c>
      <c r="V7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40">
        <v>528</v>
      </c>
    </row>
    <row r="78" spans="19:26" ht="30" customHeight="1" x14ac:dyDescent="0.25">
      <c r="S78" s="35" t="s">
        <v>268</v>
      </c>
      <c r="T78" s="35" t="s">
        <v>142</v>
      </c>
      <c r="U78" s="35">
        <v>3</v>
      </c>
      <c r="V7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40">
        <v>529</v>
      </c>
    </row>
    <row r="79" spans="19:26" ht="30" customHeight="1" x14ac:dyDescent="0.25">
      <c r="S79" s="35" t="s">
        <v>269</v>
      </c>
      <c r="T79" s="35" t="s">
        <v>143</v>
      </c>
      <c r="U79" s="35">
        <v>4</v>
      </c>
      <c r="V7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40">
        <v>530</v>
      </c>
    </row>
    <row r="80" spans="19:26" ht="30" customHeight="1" x14ac:dyDescent="0.25">
      <c r="S80" s="35" t="s">
        <v>270</v>
      </c>
      <c r="T80" s="35" t="s">
        <v>143</v>
      </c>
      <c r="U80" s="35">
        <v>3</v>
      </c>
      <c r="V8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40">
        <v>533</v>
      </c>
    </row>
    <row r="81" spans="1:26" ht="30" customHeight="1" x14ac:dyDescent="0.25">
      <c r="S81" s="35" t="s">
        <v>271</v>
      </c>
      <c r="T81" s="35" t="s">
        <v>143</v>
      </c>
      <c r="U81" s="35">
        <v>2</v>
      </c>
      <c r="V8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40">
        <v>534</v>
      </c>
    </row>
    <row r="82" spans="1:26" ht="30" customHeight="1" x14ac:dyDescent="0.25">
      <c r="S82" s="35" t="s">
        <v>272</v>
      </c>
      <c r="T82" s="35" t="s">
        <v>143</v>
      </c>
      <c r="U82" s="35">
        <v>2</v>
      </c>
      <c r="V8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40">
        <v>535</v>
      </c>
    </row>
    <row r="83" spans="1:26" ht="30" customHeight="1" x14ac:dyDescent="0.25">
      <c r="S83" s="35" t="s">
        <v>273</v>
      </c>
      <c r="T83" s="35" t="s">
        <v>143</v>
      </c>
      <c r="U83" s="35">
        <v>4</v>
      </c>
      <c r="V8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40">
        <v>536</v>
      </c>
    </row>
    <row r="84" spans="1:26" ht="30" customHeight="1" x14ac:dyDescent="0.25">
      <c r="S84" s="35" t="s">
        <v>274</v>
      </c>
      <c r="T84" s="35" t="s">
        <v>143</v>
      </c>
      <c r="U84" s="35">
        <v>4</v>
      </c>
      <c r="V8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40">
        <v>537</v>
      </c>
    </row>
    <row r="85" spans="1:26" ht="30" customHeight="1" x14ac:dyDescent="0.25">
      <c r="S85" s="35" t="s">
        <v>275</v>
      </c>
      <c r="T85" s="35" t="s">
        <v>142</v>
      </c>
      <c r="U85" s="35">
        <v>2</v>
      </c>
      <c r="V8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40">
        <v>538</v>
      </c>
    </row>
    <row r="86" spans="1:26" ht="30" customHeight="1" x14ac:dyDescent="0.25">
      <c r="S86" s="35" t="s">
        <v>276</v>
      </c>
      <c r="T86" s="35" t="s">
        <v>142</v>
      </c>
      <c r="U86" s="35">
        <v>3</v>
      </c>
      <c r="V8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40">
        <v>539</v>
      </c>
    </row>
    <row r="87" spans="1:26" ht="30" customHeight="1" x14ac:dyDescent="0.25">
      <c r="S87" s="35" t="s">
        <v>277</v>
      </c>
      <c r="T87" s="35" t="s">
        <v>142</v>
      </c>
      <c r="U87" s="35">
        <v>3</v>
      </c>
      <c r="V8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40">
        <v>540</v>
      </c>
    </row>
    <row r="88" spans="1:26" ht="30" customHeight="1" x14ac:dyDescent="0.25">
      <c r="S88" s="35" t="s">
        <v>278</v>
      </c>
      <c r="T88" s="35" t="s">
        <v>142</v>
      </c>
      <c r="U88" s="35">
        <v>3</v>
      </c>
      <c r="V8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40">
        <v>541</v>
      </c>
    </row>
    <row r="89" spans="1:26" ht="30" customHeight="1" x14ac:dyDescent="0.25">
      <c r="C89" s="33"/>
      <c r="D89" s="33"/>
      <c r="S89" s="35" t="s">
        <v>279</v>
      </c>
      <c r="T89" s="35" t="s">
        <v>142</v>
      </c>
      <c r="U89" s="35">
        <v>3</v>
      </c>
      <c r="V8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40">
        <v>543</v>
      </c>
    </row>
    <row r="90" spans="1:26" ht="30" customHeight="1" x14ac:dyDescent="0.25">
      <c r="A90" s="33"/>
      <c r="B90" s="33"/>
      <c r="C90" s="33"/>
      <c r="D90" s="33"/>
      <c r="S90" s="35" t="s">
        <v>280</v>
      </c>
      <c r="T90" s="35" t="s">
        <v>142</v>
      </c>
      <c r="U90" s="35">
        <v>3</v>
      </c>
      <c r="V9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40">
        <v>544</v>
      </c>
    </row>
    <row r="91" spans="1:26" ht="30" customHeight="1" x14ac:dyDescent="0.25">
      <c r="A91" s="33"/>
      <c r="B91" s="33"/>
      <c r="C91" s="33"/>
      <c r="D91" s="33"/>
      <c r="S91" s="35" t="s">
        <v>281</v>
      </c>
      <c r="T91" s="35" t="s">
        <v>142</v>
      </c>
      <c r="U91" s="35">
        <v>2</v>
      </c>
      <c r="V9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40">
        <v>545</v>
      </c>
    </row>
    <row r="92" spans="1:26" ht="30" customHeight="1" x14ac:dyDescent="0.25">
      <c r="A92" s="33"/>
      <c r="B92" s="33"/>
      <c r="C92" s="33"/>
      <c r="D92" s="33"/>
      <c r="S92" s="35" t="s">
        <v>282</v>
      </c>
      <c r="T92" s="35" t="s">
        <v>142</v>
      </c>
      <c r="U92" s="35">
        <v>3</v>
      </c>
      <c r="V9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40">
        <v>546</v>
      </c>
    </row>
    <row r="93" spans="1:26" ht="30" customHeight="1" x14ac:dyDescent="0.25">
      <c r="A93" s="33"/>
      <c r="B93" s="33"/>
      <c r="C93" s="33"/>
      <c r="D93" s="33"/>
      <c r="S93" s="35" t="s">
        <v>283</v>
      </c>
      <c r="T93" s="35" t="s">
        <v>142</v>
      </c>
      <c r="U93" s="35">
        <v>3</v>
      </c>
      <c r="V9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40">
        <v>547</v>
      </c>
    </row>
    <row r="94" spans="1:26" ht="30" customHeight="1" x14ac:dyDescent="0.25">
      <c r="A94" s="33"/>
      <c r="B94" s="33"/>
      <c r="C94" s="33"/>
      <c r="D94" s="33"/>
      <c r="S94" s="35" t="s">
        <v>284</v>
      </c>
      <c r="T94" s="35" t="s">
        <v>143</v>
      </c>
      <c r="U94" s="35">
        <v>4</v>
      </c>
      <c r="V9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40">
        <v>548</v>
      </c>
    </row>
    <row r="95" spans="1:26" ht="30" customHeight="1" x14ac:dyDescent="0.25">
      <c r="A95" s="33"/>
      <c r="B95" s="33"/>
      <c r="C95" s="33"/>
      <c r="D95" s="33"/>
      <c r="S95" s="35" t="s">
        <v>285</v>
      </c>
      <c r="T95" s="35" t="s">
        <v>142</v>
      </c>
      <c r="U95" s="35">
        <v>3</v>
      </c>
      <c r="V9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40">
        <v>549</v>
      </c>
    </row>
    <row r="96" spans="1:26" ht="30" customHeight="1" x14ac:dyDescent="0.25">
      <c r="A96" s="33"/>
      <c r="B96" s="33"/>
      <c r="C96" s="33"/>
      <c r="D96" s="33"/>
      <c r="S96" s="35" t="s">
        <v>286</v>
      </c>
      <c r="T96" s="35" t="s">
        <v>142</v>
      </c>
      <c r="U96" s="35">
        <v>3</v>
      </c>
      <c r="V9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40">
        <v>550</v>
      </c>
    </row>
    <row r="97" spans="1:26" ht="30" customHeight="1" x14ac:dyDescent="0.25">
      <c r="A97" s="33"/>
      <c r="B97" s="33"/>
      <c r="C97" s="33"/>
      <c r="D97" s="33"/>
      <c r="S97" s="35" t="s">
        <v>287</v>
      </c>
      <c r="T97" s="35" t="s">
        <v>142</v>
      </c>
      <c r="U97" s="35">
        <v>3</v>
      </c>
      <c r="V97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40">
        <v>551</v>
      </c>
    </row>
    <row r="98" spans="1:26" ht="30" customHeight="1" x14ac:dyDescent="0.25">
      <c r="A98" s="33"/>
      <c r="B98" s="33"/>
      <c r="C98" s="33"/>
      <c r="D98" s="33"/>
      <c r="S98" s="35" t="s">
        <v>288</v>
      </c>
      <c r="T98" s="35" t="s">
        <v>142</v>
      </c>
      <c r="U98" s="35">
        <v>3</v>
      </c>
      <c r="V98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40">
        <v>552</v>
      </c>
    </row>
    <row r="99" spans="1:26" ht="30" customHeight="1" x14ac:dyDescent="0.25">
      <c r="A99" s="33"/>
      <c r="B99" s="33"/>
      <c r="C99" s="33"/>
      <c r="D99" s="33"/>
      <c r="S99" s="35" t="s">
        <v>289</v>
      </c>
      <c r="T99" s="35" t="s">
        <v>142</v>
      </c>
      <c r="U99" s="35">
        <v>3</v>
      </c>
      <c r="V99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40">
        <v>553</v>
      </c>
    </row>
    <row r="100" spans="1:26" ht="30" customHeight="1" x14ac:dyDescent="0.25">
      <c r="A100" s="33"/>
      <c r="B100" s="33"/>
      <c r="C100" s="33"/>
      <c r="D100" s="33"/>
      <c r="S100" s="35" t="s">
        <v>290</v>
      </c>
      <c r="T100" s="35" t="s">
        <v>142</v>
      </c>
      <c r="U100" s="35">
        <v>3</v>
      </c>
      <c r="V100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40">
        <v>554</v>
      </c>
    </row>
    <row r="101" spans="1:26" ht="30" customHeight="1" x14ac:dyDescent="0.25">
      <c r="A101" s="33"/>
      <c r="B101" s="33"/>
      <c r="C101" s="33"/>
      <c r="D101" s="33"/>
      <c r="S101" s="35" t="s">
        <v>291</v>
      </c>
      <c r="T101" s="35" t="s">
        <v>142</v>
      </c>
      <c r="U101" s="35">
        <v>3</v>
      </c>
      <c r="V101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1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1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1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40">
        <v>555</v>
      </c>
    </row>
    <row r="102" spans="1:26" ht="30" customHeight="1" x14ac:dyDescent="0.25">
      <c r="A102" s="33"/>
      <c r="B102" s="33"/>
      <c r="C102" s="33"/>
      <c r="D102" s="33"/>
      <c r="S102" s="35" t="s">
        <v>292</v>
      </c>
      <c r="T102" s="35" t="s">
        <v>142</v>
      </c>
      <c r="U102" s="35">
        <v>2</v>
      </c>
      <c r="V102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2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2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2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40">
        <v>556</v>
      </c>
    </row>
    <row r="103" spans="1:26" ht="30" customHeight="1" x14ac:dyDescent="0.25">
      <c r="A103" s="33"/>
      <c r="B103" s="33"/>
      <c r="C103" s="33"/>
      <c r="D103" s="33"/>
      <c r="S103" s="35" t="s">
        <v>293</v>
      </c>
      <c r="T103" s="35" t="s">
        <v>142</v>
      </c>
      <c r="U103" s="35">
        <v>3</v>
      </c>
      <c r="V103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3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3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3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40">
        <v>557</v>
      </c>
    </row>
    <row r="104" spans="1:26" ht="30" customHeight="1" x14ac:dyDescent="0.25">
      <c r="A104" s="33"/>
      <c r="B104" s="33"/>
      <c r="C104" s="33"/>
      <c r="D104" s="33"/>
      <c r="S104" s="35" t="s">
        <v>294</v>
      </c>
      <c r="T104" s="35" t="s">
        <v>142</v>
      </c>
      <c r="U104" s="35">
        <v>2</v>
      </c>
      <c r="V104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4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4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4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4" s="40">
        <v>558</v>
      </c>
    </row>
    <row r="105" spans="1:26" ht="30" customHeight="1" x14ac:dyDescent="0.25">
      <c r="A105" s="33"/>
      <c r="B105" s="33"/>
      <c r="C105" s="33"/>
      <c r="D105" s="33"/>
      <c r="S105" s="35" t="s">
        <v>297</v>
      </c>
      <c r="T105" s="35" t="s">
        <v>142</v>
      </c>
      <c r="U105" s="35">
        <v>1</v>
      </c>
      <c r="V105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5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5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5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5" s="40">
        <v>709</v>
      </c>
    </row>
    <row r="106" spans="1:26" ht="30" customHeight="1" x14ac:dyDescent="0.25">
      <c r="A106" s="33"/>
      <c r="B106" s="33"/>
      <c r="C106" s="33"/>
      <c r="D106" s="33"/>
      <c r="S106" s="35" t="s">
        <v>262</v>
      </c>
      <c r="T106" s="35" t="s">
        <v>142</v>
      </c>
      <c r="U106" s="35">
        <v>2</v>
      </c>
      <c r="V106" s="35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6" s="35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6" s="35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6" s="35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6" s="40">
        <v>5211</v>
      </c>
    </row>
    <row r="107" spans="1:26" ht="30" customHeight="1" x14ac:dyDescent="0.25">
      <c r="A107" s="33"/>
      <c r="B107" s="33"/>
    </row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ht="30" customHeight="1" x14ac:dyDescent="0.25"/>
    <row r="114" ht="30" customHeight="1" x14ac:dyDescent="0.25"/>
    <row r="115" ht="30" customHeight="1" x14ac:dyDescent="0.25"/>
    <row r="116" ht="30" customHeight="1" x14ac:dyDescent="0.25"/>
    <row r="117" ht="30" customHeight="1" x14ac:dyDescent="0.25"/>
    <row r="118" ht="30" customHeight="1" x14ac:dyDescent="0.25"/>
    <row r="119" ht="30" customHeight="1" x14ac:dyDescent="0.25"/>
    <row r="120" ht="30" customHeight="1" x14ac:dyDescent="0.25"/>
    <row r="121" ht="30" customHeight="1" x14ac:dyDescent="0.25"/>
    <row r="122" ht="30" customHeight="1" x14ac:dyDescent="0.25"/>
    <row r="123" ht="30" customHeight="1" x14ac:dyDescent="0.25"/>
    <row r="124" ht="30" customHeight="1" x14ac:dyDescent="0.25"/>
    <row r="125" ht="30" customHeight="1" x14ac:dyDescent="0.25"/>
    <row r="126" ht="30" customHeight="1" x14ac:dyDescent="0.25"/>
    <row r="127" ht="30" customHeight="1" x14ac:dyDescent="0.25"/>
    <row r="128" ht="30" customHeight="1" x14ac:dyDescent="0.25"/>
    <row r="129" ht="30" customHeight="1" x14ac:dyDescent="0.25"/>
    <row r="130" ht="30" customHeight="1" x14ac:dyDescent="0.25"/>
    <row r="131" ht="30" customHeight="1" x14ac:dyDescent="0.25"/>
    <row r="132" ht="30" customHeight="1" x14ac:dyDescent="0.25"/>
    <row r="133" ht="30" customHeight="1" x14ac:dyDescent="0.25"/>
    <row r="134" ht="30" customHeight="1" x14ac:dyDescent="0.25"/>
    <row r="135" ht="30" customHeight="1" x14ac:dyDescent="0.25"/>
    <row r="136" ht="30" customHeight="1" x14ac:dyDescent="0.25"/>
    <row r="137" ht="30" customHeight="1" x14ac:dyDescent="0.25"/>
    <row r="138" ht="30" customHeight="1" x14ac:dyDescent="0.25"/>
    <row r="139" ht="30" customHeight="1" x14ac:dyDescent="0.25"/>
    <row r="140" ht="30" customHeight="1" x14ac:dyDescent="0.25"/>
    <row r="141" ht="30" customHeight="1" x14ac:dyDescent="0.25"/>
    <row r="142" ht="30" customHeight="1" x14ac:dyDescent="0.25"/>
    <row r="143" ht="30" customHeight="1" x14ac:dyDescent="0.25"/>
    <row r="144" ht="30" customHeight="1" x14ac:dyDescent="0.25"/>
    <row r="145" ht="30" customHeight="1" x14ac:dyDescent="0.25"/>
    <row r="146" ht="30" customHeight="1" x14ac:dyDescent="0.25"/>
    <row r="147" ht="30" customHeight="1" x14ac:dyDescent="0.25"/>
    <row r="148" ht="30" customHeight="1" x14ac:dyDescent="0.25"/>
  </sheetData>
  <mergeCells count="9">
    <mergeCell ref="BH2:BJ2"/>
    <mergeCell ref="BQ1:BR1"/>
    <mergeCell ref="BU1:BV1"/>
    <mergeCell ref="BX1:BY1"/>
    <mergeCell ref="K1:P1"/>
    <mergeCell ref="CF1:CJ1"/>
    <mergeCell ref="CN1:CO1"/>
    <mergeCell ref="CR1:CV1"/>
    <mergeCell ref="BB1:BE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6" r:id="rId4" name="Button 12">
              <controlPr defaultSize="0" print="0" autoFill="0" autoPict="0" macro="[0]!UnprotectSheets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0</xdr:col>
                    <xdr:colOff>2076450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6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H96"/>
  <sheetViews>
    <sheetView topLeftCell="A10" zoomScale="115" zoomScaleNormal="115" workbookViewId="0">
      <selection activeCell="G22" sqref="G22"/>
    </sheetView>
  </sheetViews>
  <sheetFormatPr defaultColWidth="9.140625" defaultRowHeight="12" x14ac:dyDescent="0.2"/>
  <cols>
    <col min="1" max="1" width="15.5703125" style="9" bestFit="1" customWidth="1"/>
    <col min="2" max="2" width="42.5703125" style="9" customWidth="1"/>
    <col min="3" max="4" width="15" style="9" customWidth="1"/>
    <col min="5" max="16384" width="9.140625" style="9"/>
  </cols>
  <sheetData>
    <row r="2" spans="2:4" x14ac:dyDescent="0.2">
      <c r="C2" s="11">
        <f>SUM(C9:C27,C28:C38,C41:C51,C59:C76,C77:C93,C94:C96)</f>
        <v>208250.32</v>
      </c>
      <c r="D2" s="10"/>
    </row>
    <row r="3" spans="2:4" ht="12.75" customHeight="1" x14ac:dyDescent="0.2">
      <c r="B3" s="12"/>
      <c r="C3" s="12"/>
      <c r="D3" s="12"/>
    </row>
    <row r="4" spans="2:4" ht="12.75" customHeight="1" x14ac:dyDescent="0.2">
      <c r="B4" s="12"/>
      <c r="C4" s="5">
        <v>1</v>
      </c>
      <c r="D4" s="8" t="s">
        <v>350</v>
      </c>
    </row>
    <row r="5" spans="2:4" ht="12.75" x14ac:dyDescent="0.2">
      <c r="C5" s="5">
        <v>1</v>
      </c>
      <c r="D5" s="8" t="s">
        <v>351</v>
      </c>
    </row>
    <row r="7" spans="2:4" ht="23.25" customHeight="1" x14ac:dyDescent="0.2">
      <c r="B7" s="209" t="s">
        <v>352</v>
      </c>
      <c r="C7" s="207" t="s">
        <v>353</v>
      </c>
      <c r="D7" s="207" t="s">
        <v>354</v>
      </c>
    </row>
    <row r="8" spans="2:4" ht="12" customHeight="1" x14ac:dyDescent="0.2">
      <c r="B8" s="209"/>
      <c r="C8" s="208"/>
      <c r="D8" s="208"/>
    </row>
    <row r="9" spans="2:4" x14ac:dyDescent="0.2">
      <c r="B9" s="13" t="s">
        <v>300</v>
      </c>
      <c r="C9" s="11">
        <v>540</v>
      </c>
      <c r="D9" s="11">
        <v>500</v>
      </c>
    </row>
    <row r="10" spans="2:4" x14ac:dyDescent="0.2">
      <c r="B10" s="13" t="s">
        <v>306</v>
      </c>
      <c r="C10" s="11">
        <v>460</v>
      </c>
      <c r="D10" s="11">
        <v>420</v>
      </c>
    </row>
    <row r="11" spans="2:4" x14ac:dyDescent="0.2">
      <c r="B11" s="13" t="s">
        <v>356</v>
      </c>
      <c r="C11" s="11">
        <v>550</v>
      </c>
      <c r="D11" s="11">
        <v>510</v>
      </c>
    </row>
    <row r="12" spans="2:4" x14ac:dyDescent="0.2">
      <c r="B12" s="13" t="s">
        <v>307</v>
      </c>
      <c r="C12" s="11">
        <v>810</v>
      </c>
      <c r="D12" s="11">
        <v>740</v>
      </c>
    </row>
    <row r="13" spans="2:4" x14ac:dyDescent="0.2">
      <c r="B13" s="13" t="s">
        <v>357</v>
      </c>
      <c r="C13" s="11">
        <v>700</v>
      </c>
      <c r="D13" s="11">
        <v>650</v>
      </c>
    </row>
    <row r="14" spans="2:4" x14ac:dyDescent="0.2">
      <c r="B14" s="13" t="s">
        <v>310</v>
      </c>
      <c r="C14" s="11">
        <v>740</v>
      </c>
      <c r="D14" s="11">
        <v>690</v>
      </c>
    </row>
    <row r="15" spans="2:4" x14ac:dyDescent="0.2">
      <c r="B15" s="13" t="s">
        <v>311</v>
      </c>
      <c r="C15" s="11">
        <v>940</v>
      </c>
      <c r="D15" s="11">
        <v>870</v>
      </c>
    </row>
    <row r="16" spans="2:4" x14ac:dyDescent="0.2">
      <c r="B16" s="13" t="s">
        <v>358</v>
      </c>
      <c r="C16" s="11">
        <v>750</v>
      </c>
      <c r="D16" s="11">
        <v>690</v>
      </c>
    </row>
    <row r="17" spans="1:8" x14ac:dyDescent="0.2">
      <c r="B17" s="13" t="s">
        <v>322</v>
      </c>
      <c r="C17" s="11">
        <v>650</v>
      </c>
      <c r="D17" s="11">
        <v>600</v>
      </c>
    </row>
    <row r="18" spans="1:8" x14ac:dyDescent="0.2">
      <c r="B18" s="13" t="s">
        <v>344</v>
      </c>
      <c r="C18" s="11">
        <v>840</v>
      </c>
      <c r="D18" s="11">
        <v>780</v>
      </c>
    </row>
    <row r="19" spans="1:8" x14ac:dyDescent="0.2">
      <c r="B19" s="13" t="s">
        <v>320</v>
      </c>
      <c r="C19" s="11">
        <v>740</v>
      </c>
      <c r="D19" s="11">
        <v>680</v>
      </c>
    </row>
    <row r="20" spans="1:8" x14ac:dyDescent="0.2">
      <c r="B20" s="13" t="s">
        <v>347</v>
      </c>
      <c r="C20" s="11">
        <v>930</v>
      </c>
      <c r="D20" s="11">
        <v>860</v>
      </c>
    </row>
    <row r="21" spans="1:8" x14ac:dyDescent="0.2">
      <c r="B21" s="13" t="s">
        <v>334</v>
      </c>
      <c r="C21" s="11">
        <v>1130</v>
      </c>
      <c r="D21" s="11">
        <v>1040</v>
      </c>
    </row>
    <row r="22" spans="1:8" x14ac:dyDescent="0.2">
      <c r="B22" s="13" t="s">
        <v>359</v>
      </c>
      <c r="C22" s="11">
        <v>340</v>
      </c>
      <c r="D22" s="11">
        <v>310</v>
      </c>
    </row>
    <row r="23" spans="1:8" x14ac:dyDescent="0.2">
      <c r="B23" s="13" t="s">
        <v>336</v>
      </c>
      <c r="C23" s="11">
        <v>750</v>
      </c>
      <c r="D23" s="11">
        <v>700</v>
      </c>
    </row>
    <row r="24" spans="1:8" x14ac:dyDescent="0.2">
      <c r="B24" s="13" t="s">
        <v>326</v>
      </c>
      <c r="C24" s="11">
        <v>590</v>
      </c>
      <c r="D24" s="11">
        <v>550</v>
      </c>
    </row>
    <row r="25" spans="1:8" x14ac:dyDescent="0.2">
      <c r="B25" s="13" t="s">
        <v>759</v>
      </c>
      <c r="C25" s="11">
        <v>540</v>
      </c>
      <c r="D25" s="11"/>
    </row>
    <row r="26" spans="1:8" x14ac:dyDescent="0.2">
      <c r="B26" s="13" t="s">
        <v>301</v>
      </c>
      <c r="C26" s="11">
        <v>270</v>
      </c>
      <c r="D26" s="11">
        <v>250</v>
      </c>
    </row>
    <row r="27" spans="1:8" x14ac:dyDescent="0.2">
      <c r="B27" s="13" t="s">
        <v>360</v>
      </c>
      <c r="C27" s="11">
        <v>270</v>
      </c>
      <c r="D27" s="11">
        <v>250</v>
      </c>
    </row>
    <row r="28" spans="1:8" ht="24" x14ac:dyDescent="0.2">
      <c r="A28" s="14" t="s">
        <v>361</v>
      </c>
      <c r="B28" s="13" t="s">
        <v>537</v>
      </c>
      <c r="C28" s="11">
        <v>5100</v>
      </c>
      <c r="D28" s="11">
        <v>4390</v>
      </c>
      <c r="F28" s="45" t="s">
        <v>537</v>
      </c>
      <c r="G28" s="46">
        <v>1</v>
      </c>
      <c r="H28" s="47">
        <v>4750</v>
      </c>
    </row>
    <row r="29" spans="1:8" ht="24" x14ac:dyDescent="0.2">
      <c r="B29" s="13" t="s">
        <v>536</v>
      </c>
      <c r="C29" s="11">
        <v>6660</v>
      </c>
      <c r="D29" s="11">
        <v>6660</v>
      </c>
    </row>
    <row r="30" spans="1:8" x14ac:dyDescent="0.2">
      <c r="A30" s="114" t="s">
        <v>751</v>
      </c>
      <c r="B30" s="115" t="s">
        <v>537</v>
      </c>
      <c r="C30" s="116">
        <v>4750</v>
      </c>
      <c r="D30" s="117"/>
    </row>
    <row r="31" spans="1:8" x14ac:dyDescent="0.2">
      <c r="A31" s="114" t="s">
        <v>751</v>
      </c>
      <c r="B31" s="115" t="s">
        <v>536</v>
      </c>
      <c r="C31" s="116">
        <v>5810</v>
      </c>
      <c r="D31" s="117"/>
    </row>
    <row r="32" spans="1:8" x14ac:dyDescent="0.2">
      <c r="B32" s="13" t="s">
        <v>362</v>
      </c>
      <c r="C32" s="11">
        <v>4750</v>
      </c>
      <c r="D32" s="11">
        <v>4390</v>
      </c>
    </row>
    <row r="33" spans="1:4" x14ac:dyDescent="0.2">
      <c r="B33" s="13" t="s">
        <v>319</v>
      </c>
      <c r="C33" s="11">
        <v>480</v>
      </c>
      <c r="D33" s="11">
        <v>440</v>
      </c>
    </row>
    <row r="34" spans="1:4" x14ac:dyDescent="0.2">
      <c r="A34" s="14" t="s">
        <v>363</v>
      </c>
      <c r="B34" s="13" t="s">
        <v>317</v>
      </c>
      <c r="C34" s="11">
        <v>940</v>
      </c>
      <c r="D34" s="11">
        <v>870</v>
      </c>
    </row>
    <row r="35" spans="1:4" x14ac:dyDescent="0.2">
      <c r="B35" s="13" t="s">
        <v>313</v>
      </c>
      <c r="C35" s="11">
        <v>370</v>
      </c>
      <c r="D35" s="11">
        <v>340</v>
      </c>
    </row>
    <row r="36" spans="1:4" x14ac:dyDescent="0.2">
      <c r="B36" s="13" t="s">
        <v>314</v>
      </c>
      <c r="C36" s="11">
        <v>170</v>
      </c>
      <c r="D36" s="11">
        <v>160</v>
      </c>
    </row>
    <row r="37" spans="1:4" x14ac:dyDescent="0.2">
      <c r="A37" s="14" t="s">
        <v>364</v>
      </c>
      <c r="B37" s="13" t="s">
        <v>346</v>
      </c>
      <c r="C37" s="11">
        <v>5040</v>
      </c>
      <c r="D37" s="11">
        <v>4660</v>
      </c>
    </row>
    <row r="38" spans="1:4" x14ac:dyDescent="0.2">
      <c r="B38" s="13" t="s">
        <v>315</v>
      </c>
      <c r="C38" s="11">
        <v>4130</v>
      </c>
      <c r="D38" s="11">
        <v>3820</v>
      </c>
    </row>
    <row r="39" spans="1:4" ht="12.75" x14ac:dyDescent="0.2">
      <c r="B39" s="15" t="s">
        <v>316</v>
      </c>
      <c r="C39" s="11">
        <v>6440</v>
      </c>
      <c r="D39" s="11"/>
    </row>
    <row r="40" spans="1:4" ht="12.75" x14ac:dyDescent="0.2">
      <c r="B40" s="15" t="s">
        <v>318</v>
      </c>
      <c r="C40" s="11">
        <v>7970</v>
      </c>
      <c r="D40" s="11"/>
    </row>
    <row r="41" spans="1:4" x14ac:dyDescent="0.2">
      <c r="B41" s="13" t="s">
        <v>338</v>
      </c>
      <c r="C41" s="11">
        <v>4920</v>
      </c>
      <c r="D41" s="11">
        <v>2820</v>
      </c>
    </row>
    <row r="42" spans="1:4" x14ac:dyDescent="0.2">
      <c r="B42" s="13" t="s">
        <v>339</v>
      </c>
      <c r="C42" s="11">
        <v>5530</v>
      </c>
      <c r="D42" s="11">
        <v>3170</v>
      </c>
    </row>
    <row r="43" spans="1:4" x14ac:dyDescent="0.2">
      <c r="B43" s="13" t="s">
        <v>340</v>
      </c>
      <c r="C43" s="11">
        <v>6130</v>
      </c>
      <c r="D43" s="11">
        <v>4780</v>
      </c>
    </row>
    <row r="44" spans="1:4" x14ac:dyDescent="0.2">
      <c r="B44" s="13" t="s">
        <v>365</v>
      </c>
      <c r="C44" s="11">
        <v>1590</v>
      </c>
      <c r="D44" s="11">
        <v>5280</v>
      </c>
    </row>
    <row r="45" spans="1:4" x14ac:dyDescent="0.2">
      <c r="B45" s="13" t="s">
        <v>366</v>
      </c>
      <c r="C45" s="11">
        <v>6330</v>
      </c>
      <c r="D45" s="11">
        <v>5850</v>
      </c>
    </row>
    <row r="46" spans="1:4" x14ac:dyDescent="0.2">
      <c r="B46" s="13" t="s">
        <v>367</v>
      </c>
      <c r="C46" s="11">
        <v>7270</v>
      </c>
      <c r="D46" s="11">
        <v>6720</v>
      </c>
    </row>
    <row r="47" spans="1:4" x14ac:dyDescent="0.2">
      <c r="B47" s="13" t="s">
        <v>368</v>
      </c>
      <c r="C47" s="11">
        <v>7810</v>
      </c>
      <c r="D47" s="11">
        <v>7220</v>
      </c>
    </row>
    <row r="48" spans="1:4" ht="12" customHeight="1" x14ac:dyDescent="0.2">
      <c r="B48" s="13" t="s">
        <v>758</v>
      </c>
      <c r="C48" s="120">
        <v>8790</v>
      </c>
      <c r="D48" s="11"/>
    </row>
    <row r="49" spans="1:7" x14ac:dyDescent="0.2">
      <c r="B49" s="13" t="s">
        <v>369</v>
      </c>
      <c r="C49" s="11">
        <v>11560</v>
      </c>
      <c r="D49" s="11">
        <v>10690</v>
      </c>
      <c r="G49" s="47">
        <v>10520</v>
      </c>
    </row>
    <row r="50" spans="1:7" x14ac:dyDescent="0.2">
      <c r="B50" s="13" t="s">
        <v>303</v>
      </c>
      <c r="C50" s="11">
        <v>11370</v>
      </c>
      <c r="D50" s="11">
        <v>10520</v>
      </c>
    </row>
    <row r="51" spans="1:7" x14ac:dyDescent="0.2">
      <c r="B51" s="13" t="s">
        <v>304</v>
      </c>
      <c r="C51" s="47">
        <v>10520</v>
      </c>
      <c r="D51" s="11">
        <v>10520</v>
      </c>
    </row>
    <row r="52" spans="1:7" x14ac:dyDescent="0.2">
      <c r="B52" s="13" t="s">
        <v>341</v>
      </c>
      <c r="C52" s="11">
        <v>1000</v>
      </c>
      <c r="D52" s="11">
        <v>1000</v>
      </c>
    </row>
    <row r="53" spans="1:7" x14ac:dyDescent="0.2">
      <c r="B53" s="13" t="s">
        <v>342</v>
      </c>
      <c r="C53" s="11">
        <v>1220</v>
      </c>
      <c r="D53" s="11">
        <v>1000</v>
      </c>
    </row>
    <row r="54" spans="1:7" x14ac:dyDescent="0.2">
      <c r="B54" s="13" t="s">
        <v>370</v>
      </c>
      <c r="C54" s="11">
        <v>1780</v>
      </c>
      <c r="D54" s="11">
        <v>1000</v>
      </c>
    </row>
    <row r="55" spans="1:7" x14ac:dyDescent="0.2">
      <c r="B55" s="16" t="s">
        <v>371</v>
      </c>
      <c r="C55" s="17">
        <v>1320</v>
      </c>
      <c r="D55" s="204"/>
    </row>
    <row r="56" spans="1:7" x14ac:dyDescent="0.2">
      <c r="B56" s="16" t="s">
        <v>372</v>
      </c>
      <c r="C56" s="17">
        <v>1720</v>
      </c>
      <c r="D56" s="205"/>
    </row>
    <row r="57" spans="1:7" x14ac:dyDescent="0.2">
      <c r="B57" s="16" t="s">
        <v>373</v>
      </c>
      <c r="C57" s="17">
        <v>2140</v>
      </c>
      <c r="D57" s="205"/>
    </row>
    <row r="58" spans="1:7" ht="12.75" thickBot="1" x14ac:dyDescent="0.25">
      <c r="B58" s="16" t="s">
        <v>374</v>
      </c>
      <c r="C58" s="17">
        <v>2410</v>
      </c>
      <c r="D58" s="206"/>
    </row>
    <row r="59" spans="1:7" ht="24" x14ac:dyDescent="0.2">
      <c r="A59" s="14" t="s">
        <v>375</v>
      </c>
      <c r="B59" s="18" t="s">
        <v>376</v>
      </c>
      <c r="C59" s="19">
        <v>820</v>
      </c>
      <c r="D59" s="19">
        <v>760</v>
      </c>
    </row>
    <row r="60" spans="1:7" x14ac:dyDescent="0.2">
      <c r="A60" s="14" t="s">
        <v>361</v>
      </c>
      <c r="B60" s="20" t="s">
        <v>321</v>
      </c>
      <c r="C60" s="21">
        <v>1560</v>
      </c>
      <c r="D60" s="21">
        <v>1440</v>
      </c>
    </row>
    <row r="61" spans="1:7" ht="12.75" thickBot="1" x14ac:dyDescent="0.25">
      <c r="A61" s="14" t="s">
        <v>377</v>
      </c>
      <c r="B61" s="22" t="s">
        <v>312</v>
      </c>
      <c r="C61" s="23">
        <v>190</v>
      </c>
      <c r="D61" s="23">
        <v>180</v>
      </c>
    </row>
    <row r="62" spans="1:7" x14ac:dyDescent="0.2">
      <c r="A62" s="14" t="s">
        <v>375</v>
      </c>
      <c r="B62" s="18" t="s">
        <v>324</v>
      </c>
      <c r="C62" s="19">
        <v>1300</v>
      </c>
      <c r="D62" s="19">
        <v>1200</v>
      </c>
    </row>
    <row r="63" spans="1:7" x14ac:dyDescent="0.2">
      <c r="A63" s="14" t="s">
        <v>361</v>
      </c>
      <c r="B63" s="20" t="s">
        <v>378</v>
      </c>
      <c r="C63" s="21">
        <v>1300</v>
      </c>
      <c r="D63" s="21">
        <v>1410</v>
      </c>
    </row>
    <row r="64" spans="1:7" ht="12" customHeight="1" x14ac:dyDescent="0.2">
      <c r="A64" s="14" t="s">
        <v>377</v>
      </c>
      <c r="B64" s="20" t="s">
        <v>308</v>
      </c>
      <c r="C64" s="21">
        <v>480</v>
      </c>
      <c r="D64" s="21">
        <v>440</v>
      </c>
    </row>
    <row r="65" spans="1:4" ht="12.75" thickBot="1" x14ac:dyDescent="0.25">
      <c r="A65" s="14" t="s">
        <v>377</v>
      </c>
      <c r="B65" s="22" t="s">
        <v>323</v>
      </c>
      <c r="C65" s="23">
        <v>200</v>
      </c>
      <c r="D65" s="23">
        <v>180</v>
      </c>
    </row>
    <row r="66" spans="1:4" x14ac:dyDescent="0.2">
      <c r="A66" s="14" t="s">
        <v>375</v>
      </c>
      <c r="B66" s="18" t="s">
        <v>379</v>
      </c>
      <c r="C66" s="19">
        <v>450</v>
      </c>
      <c r="D66" s="19">
        <v>420</v>
      </c>
    </row>
    <row r="67" spans="1:4" x14ac:dyDescent="0.2">
      <c r="A67" s="14" t="s">
        <v>361</v>
      </c>
      <c r="B67" s="20" t="s">
        <v>380</v>
      </c>
      <c r="C67" s="24">
        <v>660</v>
      </c>
      <c r="D67" s="24">
        <v>610</v>
      </c>
    </row>
    <row r="68" spans="1:4" x14ac:dyDescent="0.2">
      <c r="A68" s="14" t="s">
        <v>361</v>
      </c>
      <c r="B68" s="20" t="s">
        <v>381</v>
      </c>
      <c r="C68" s="25">
        <v>620</v>
      </c>
      <c r="D68" s="24">
        <v>340</v>
      </c>
    </row>
    <row r="69" spans="1:4" ht="12" customHeight="1" thickBot="1" x14ac:dyDescent="0.25">
      <c r="A69" s="14" t="s">
        <v>377</v>
      </c>
      <c r="B69" s="22" t="s">
        <v>302</v>
      </c>
      <c r="C69" s="23">
        <v>130</v>
      </c>
      <c r="D69" s="23">
        <v>120</v>
      </c>
    </row>
    <row r="70" spans="1:4" x14ac:dyDescent="0.2">
      <c r="A70" s="14" t="s">
        <v>375</v>
      </c>
      <c r="B70" s="18" t="s">
        <v>382</v>
      </c>
      <c r="C70" s="26">
        <v>6080</v>
      </c>
      <c r="D70" s="19">
        <v>3470</v>
      </c>
    </row>
    <row r="71" spans="1:4" x14ac:dyDescent="0.2">
      <c r="A71" s="14" t="s">
        <v>375</v>
      </c>
      <c r="B71" s="20" t="s">
        <v>383</v>
      </c>
      <c r="C71" s="27">
        <v>6080</v>
      </c>
      <c r="D71" s="21">
        <v>3540</v>
      </c>
    </row>
    <row r="72" spans="1:4" x14ac:dyDescent="0.2">
      <c r="A72" s="14" t="s">
        <v>375</v>
      </c>
      <c r="B72" s="20" t="s">
        <v>384</v>
      </c>
      <c r="C72" s="21">
        <v>5160</v>
      </c>
      <c r="D72" s="21">
        <v>4770</v>
      </c>
    </row>
    <row r="73" spans="1:4" x14ac:dyDescent="0.2">
      <c r="A73" s="14" t="s">
        <v>361</v>
      </c>
      <c r="B73" s="20" t="s">
        <v>348</v>
      </c>
      <c r="C73" s="21">
        <v>6080</v>
      </c>
      <c r="D73" s="21">
        <v>3460</v>
      </c>
    </row>
    <row r="74" spans="1:4" ht="12" customHeight="1" x14ac:dyDescent="0.2">
      <c r="A74" s="14" t="s">
        <v>361</v>
      </c>
      <c r="B74" s="20" t="s">
        <v>385</v>
      </c>
      <c r="C74" s="21">
        <v>6940</v>
      </c>
      <c r="D74" s="21">
        <v>6410</v>
      </c>
    </row>
    <row r="75" spans="1:4" ht="12" customHeight="1" x14ac:dyDescent="0.2">
      <c r="A75" s="14" t="s">
        <v>377</v>
      </c>
      <c r="B75" s="20" t="s">
        <v>386</v>
      </c>
      <c r="C75" s="21">
        <v>13990</v>
      </c>
      <c r="D75" s="21">
        <v>12930</v>
      </c>
    </row>
    <row r="76" spans="1:4" ht="12.75" thickBot="1" x14ac:dyDescent="0.25">
      <c r="A76" s="14" t="s">
        <v>377</v>
      </c>
      <c r="B76" s="22" t="s">
        <v>332</v>
      </c>
      <c r="C76" s="23">
        <v>2290</v>
      </c>
      <c r="D76" s="23">
        <v>2120</v>
      </c>
    </row>
    <row r="77" spans="1:4" x14ac:dyDescent="0.2">
      <c r="B77" s="13" t="s">
        <v>387</v>
      </c>
      <c r="C77" s="11">
        <v>590</v>
      </c>
      <c r="D77" s="11">
        <v>550</v>
      </c>
    </row>
    <row r="78" spans="1:4" x14ac:dyDescent="0.2">
      <c r="B78" s="13" t="s">
        <v>327</v>
      </c>
      <c r="C78" s="11">
        <v>210</v>
      </c>
      <c r="D78" s="11">
        <v>190</v>
      </c>
    </row>
    <row r="79" spans="1:4" x14ac:dyDescent="0.2">
      <c r="B79" s="13" t="s">
        <v>328</v>
      </c>
      <c r="C79" s="11">
        <v>20</v>
      </c>
      <c r="D79" s="11">
        <v>20</v>
      </c>
    </row>
    <row r="80" spans="1:4" ht="12.75" customHeight="1" x14ac:dyDescent="0.2">
      <c r="B80" s="13" t="s">
        <v>388</v>
      </c>
      <c r="C80" s="11">
        <v>20</v>
      </c>
      <c r="D80" s="11">
        <v>20</v>
      </c>
    </row>
    <row r="81" spans="2:4" x14ac:dyDescent="0.2">
      <c r="B81" s="13" t="s">
        <v>389</v>
      </c>
      <c r="C81" s="11">
        <v>20</v>
      </c>
      <c r="D81" s="11">
        <v>20</v>
      </c>
    </row>
    <row r="82" spans="2:4" x14ac:dyDescent="0.2">
      <c r="B82" s="13" t="s">
        <v>390</v>
      </c>
      <c r="C82" s="11">
        <v>30</v>
      </c>
      <c r="D82" s="11">
        <v>30</v>
      </c>
    </row>
    <row r="83" spans="2:4" x14ac:dyDescent="0.2">
      <c r="B83" s="13" t="s">
        <v>391</v>
      </c>
      <c r="C83" s="11">
        <v>30</v>
      </c>
      <c r="D83" s="11">
        <v>30</v>
      </c>
    </row>
    <row r="84" spans="2:4" x14ac:dyDescent="0.2">
      <c r="B84" s="13" t="s">
        <v>309</v>
      </c>
      <c r="C84" s="11">
        <v>30</v>
      </c>
      <c r="D84" s="11">
        <v>30</v>
      </c>
    </row>
    <row r="85" spans="2:4" x14ac:dyDescent="0.2">
      <c r="B85" s="13" t="s">
        <v>343</v>
      </c>
      <c r="C85" s="11">
        <v>40</v>
      </c>
      <c r="D85" s="11">
        <v>40</v>
      </c>
    </row>
    <row r="86" spans="2:4" x14ac:dyDescent="0.2">
      <c r="B86" s="16" t="s">
        <v>325</v>
      </c>
      <c r="C86" s="17">
        <v>390</v>
      </c>
      <c r="D86" s="17">
        <v>360</v>
      </c>
    </row>
    <row r="87" spans="2:4" x14ac:dyDescent="0.2">
      <c r="B87" s="13" t="s">
        <v>392</v>
      </c>
      <c r="C87" s="11">
        <v>1110</v>
      </c>
      <c r="D87" s="11">
        <v>1030</v>
      </c>
    </row>
    <row r="88" spans="2:4" ht="12.75" x14ac:dyDescent="0.2">
      <c r="B88" s="15" t="s">
        <v>393</v>
      </c>
      <c r="C88" s="11">
        <v>8550</v>
      </c>
      <c r="D88" s="11">
        <v>7910</v>
      </c>
    </row>
    <row r="89" spans="2:4" ht="12.75" x14ac:dyDescent="0.2">
      <c r="B89" s="15" t="s">
        <v>394</v>
      </c>
      <c r="C89" s="11">
        <v>8200</v>
      </c>
      <c r="D89" s="11">
        <v>7580</v>
      </c>
    </row>
    <row r="90" spans="2:4" x14ac:dyDescent="0.2">
      <c r="B90" s="13" t="s">
        <v>305</v>
      </c>
      <c r="C90" s="11">
        <v>10</v>
      </c>
      <c r="D90" s="11">
        <v>10</v>
      </c>
    </row>
    <row r="91" spans="2:4" x14ac:dyDescent="0.2">
      <c r="B91" s="13" t="s">
        <v>345</v>
      </c>
      <c r="C91" s="11">
        <v>290</v>
      </c>
      <c r="D91" s="11">
        <v>270</v>
      </c>
    </row>
    <row r="92" spans="2:4" ht="12.75" x14ac:dyDescent="0.2">
      <c r="B92" s="15" t="s">
        <v>395</v>
      </c>
      <c r="C92" s="11">
        <v>550</v>
      </c>
      <c r="D92" s="11">
        <v>510</v>
      </c>
    </row>
    <row r="93" spans="2:4" ht="12.75" x14ac:dyDescent="0.2">
      <c r="B93" s="15" t="s">
        <v>396</v>
      </c>
      <c r="C93" s="11">
        <v>770</v>
      </c>
      <c r="D93" s="11">
        <v>710</v>
      </c>
    </row>
    <row r="94" spans="2:4" ht="12.75" x14ac:dyDescent="0.2">
      <c r="B94" s="15" t="s">
        <v>397</v>
      </c>
      <c r="C94" s="11">
        <v>300</v>
      </c>
      <c r="D94" s="11">
        <v>280</v>
      </c>
    </row>
    <row r="95" spans="2:4" ht="12.75" x14ac:dyDescent="0.2">
      <c r="B95" s="15" t="s">
        <v>398</v>
      </c>
      <c r="C95" s="11">
        <v>180.32</v>
      </c>
      <c r="D95" s="11">
        <v>180.32</v>
      </c>
    </row>
    <row r="96" spans="2:4" ht="12.75" x14ac:dyDescent="0.2">
      <c r="B96" s="15" t="s">
        <v>335</v>
      </c>
      <c r="C96" s="11">
        <v>20</v>
      </c>
      <c r="D96" s="11">
        <v>10</v>
      </c>
    </row>
  </sheetData>
  <mergeCells count="4">
    <mergeCell ref="D55:D58"/>
    <mergeCell ref="C7:C8"/>
    <mergeCell ref="D7:D8"/>
    <mergeCell ref="B7:B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B90"/>
  <sheetViews>
    <sheetView topLeftCell="A64" zoomScale="85" zoomScaleNormal="85" workbookViewId="0">
      <selection activeCell="F65" sqref="F65"/>
    </sheetView>
  </sheetViews>
  <sheetFormatPr defaultRowHeight="15" x14ac:dyDescent="0.25"/>
  <cols>
    <col min="1" max="1" width="25" style="128" customWidth="1"/>
    <col min="2" max="2" width="30.7109375" style="130" customWidth="1"/>
    <col min="3" max="6" width="9.140625" style="130"/>
    <col min="7" max="7" width="40.42578125" style="130" customWidth="1"/>
    <col min="8" max="8" width="37.85546875" style="130" customWidth="1"/>
    <col min="9" max="9" width="39.85546875" style="130" customWidth="1"/>
    <col min="10" max="16384" width="9.140625" style="130"/>
  </cols>
  <sheetData>
    <row r="1" spans="1:2" customFormat="1" ht="170.1" customHeight="1" thickBot="1" x14ac:dyDescent="0.3">
      <c r="A1" s="183" t="s">
        <v>3</v>
      </c>
      <c r="B1" s="130"/>
    </row>
    <row r="2" spans="1:2" customFormat="1" ht="170.1" customHeight="1" thickBot="1" x14ac:dyDescent="0.3">
      <c r="A2" s="184" t="s">
        <v>0</v>
      </c>
      <c r="B2" s="130"/>
    </row>
    <row r="3" spans="1:2" customFormat="1" ht="170.1" customHeight="1" thickBot="1" x14ac:dyDescent="0.3">
      <c r="A3" s="184" t="s">
        <v>11</v>
      </c>
      <c r="B3" s="130"/>
    </row>
    <row r="4" spans="1:2" customFormat="1" ht="170.1" customHeight="1" thickBot="1" x14ac:dyDescent="0.3">
      <c r="A4" s="184" t="s">
        <v>401</v>
      </c>
      <c r="B4" s="130"/>
    </row>
    <row r="5" spans="1:2" customFormat="1" ht="170.1" customHeight="1" thickBot="1" x14ac:dyDescent="0.3">
      <c r="A5" s="184" t="s">
        <v>402</v>
      </c>
      <c r="B5" s="130"/>
    </row>
    <row r="6" spans="1:2" customFormat="1" ht="170.1" customHeight="1" thickBot="1" x14ac:dyDescent="0.3">
      <c r="A6" s="184" t="s">
        <v>12</v>
      </c>
      <c r="B6" s="130"/>
    </row>
    <row r="7" spans="1:2" customFormat="1" ht="170.1" customHeight="1" thickBot="1" x14ac:dyDescent="0.3">
      <c r="A7" s="184" t="s">
        <v>13</v>
      </c>
      <c r="B7" s="130"/>
    </row>
    <row r="8" spans="1:2" ht="170.1" customHeight="1" thickBot="1" x14ac:dyDescent="0.3">
      <c r="A8" s="184" t="s">
        <v>129</v>
      </c>
    </row>
    <row r="9" spans="1:2" ht="170.1" customHeight="1" thickBot="1" x14ac:dyDescent="0.3">
      <c r="A9" s="184" t="s">
        <v>128</v>
      </c>
    </row>
    <row r="10" spans="1:2" ht="170.1" customHeight="1" thickBot="1" x14ac:dyDescent="0.3">
      <c r="A10" s="184" t="s">
        <v>131</v>
      </c>
    </row>
    <row r="11" spans="1:2" ht="170.1" customHeight="1" thickBot="1" x14ac:dyDescent="0.3">
      <c r="A11" s="184" t="s">
        <v>130</v>
      </c>
    </row>
    <row r="12" spans="1:2" ht="170.1" customHeight="1" thickBot="1" x14ac:dyDescent="0.3">
      <c r="A12" s="184"/>
    </row>
    <row r="13" spans="1:2" ht="170.1" customHeight="1" thickBot="1" x14ac:dyDescent="0.3">
      <c r="A13" s="184"/>
    </row>
    <row r="14" spans="1:2" ht="170.1" customHeight="1" thickBot="1" x14ac:dyDescent="0.3">
      <c r="A14" s="184" t="s">
        <v>14</v>
      </c>
    </row>
    <row r="15" spans="1:2" ht="170.1" customHeight="1" x14ac:dyDescent="0.25">
      <c r="A15" s="184" t="s">
        <v>84</v>
      </c>
    </row>
    <row r="16" spans="1:2" ht="170.1" customHeight="1" x14ac:dyDescent="0.25">
      <c r="A16" s="185" t="s">
        <v>15</v>
      </c>
    </row>
    <row r="17" spans="1:1" ht="170.1" customHeight="1" x14ac:dyDescent="0.25">
      <c r="A17" s="185" t="s">
        <v>1</v>
      </c>
    </row>
    <row r="18" spans="1:1" ht="170.1" customHeight="1" x14ac:dyDescent="0.25">
      <c r="A18" s="185" t="s">
        <v>16</v>
      </c>
    </row>
    <row r="19" spans="1:1" ht="170.1" customHeight="1" x14ac:dyDescent="0.25">
      <c r="A19" s="185" t="s">
        <v>17</v>
      </c>
    </row>
    <row r="20" spans="1:1" ht="170.1" customHeight="1" thickBot="1" x14ac:dyDescent="0.3">
      <c r="A20" s="185" t="s">
        <v>18</v>
      </c>
    </row>
    <row r="21" spans="1:1" ht="170.1" customHeight="1" thickBot="1" x14ac:dyDescent="0.3">
      <c r="A21" s="184" t="s">
        <v>19</v>
      </c>
    </row>
    <row r="22" spans="1:1" ht="170.1" customHeight="1" thickBot="1" x14ac:dyDescent="0.3">
      <c r="A22" s="184" t="s">
        <v>20</v>
      </c>
    </row>
    <row r="23" spans="1:1" ht="170.1" customHeight="1" thickBot="1" x14ac:dyDescent="0.3">
      <c r="A23" s="184" t="s">
        <v>21</v>
      </c>
    </row>
    <row r="24" spans="1:1" ht="170.1" customHeight="1" x14ac:dyDescent="0.25">
      <c r="A24" s="184" t="s">
        <v>22</v>
      </c>
    </row>
    <row r="25" spans="1:1" ht="170.1" customHeight="1" x14ac:dyDescent="0.25">
      <c r="A25" s="186" t="s">
        <v>23</v>
      </c>
    </row>
    <row r="26" spans="1:1" ht="170.1" customHeight="1" x14ac:dyDescent="0.25">
      <c r="A26" s="186" t="s">
        <v>24</v>
      </c>
    </row>
    <row r="27" spans="1:1" ht="170.1" customHeight="1" thickBot="1" x14ac:dyDescent="0.3">
      <c r="A27" s="187" t="s">
        <v>405</v>
      </c>
    </row>
    <row r="28" spans="1:1" ht="170.1" customHeight="1" thickBot="1" x14ac:dyDescent="0.3">
      <c r="A28" s="187" t="s">
        <v>406</v>
      </c>
    </row>
    <row r="29" spans="1:1" ht="170.1" customHeight="1" thickBot="1" x14ac:dyDescent="0.3">
      <c r="A29" s="188" t="s">
        <v>25</v>
      </c>
    </row>
    <row r="30" spans="1:1" ht="170.1" customHeight="1" thickBot="1" x14ac:dyDescent="0.3">
      <c r="A30" s="188" t="s">
        <v>26</v>
      </c>
    </row>
    <row r="31" spans="1:1" ht="170.1" customHeight="1" thickBot="1" x14ac:dyDescent="0.3">
      <c r="A31" s="188" t="s">
        <v>134</v>
      </c>
    </row>
    <row r="32" spans="1:1" ht="170.1" customHeight="1" thickBot="1" x14ac:dyDescent="0.3">
      <c r="A32" s="188" t="s">
        <v>133</v>
      </c>
    </row>
    <row r="33" spans="1:1" ht="170.1" customHeight="1" thickBot="1" x14ac:dyDescent="0.3">
      <c r="A33" s="188" t="s">
        <v>27</v>
      </c>
    </row>
    <row r="34" spans="1:1" ht="170.1" customHeight="1" thickBot="1" x14ac:dyDescent="0.3">
      <c r="A34" s="189" t="s">
        <v>2</v>
      </c>
    </row>
    <row r="35" spans="1:1" ht="170.1" customHeight="1" thickBot="1" x14ac:dyDescent="0.3">
      <c r="A35" s="190" t="s">
        <v>77</v>
      </c>
    </row>
    <row r="36" spans="1:1" ht="170.1" customHeight="1" thickBot="1" x14ac:dyDescent="0.3">
      <c r="A36" s="190" t="s">
        <v>78</v>
      </c>
    </row>
    <row r="37" spans="1:1" ht="170.1" customHeight="1" thickBot="1" x14ac:dyDescent="0.3">
      <c r="A37" s="190" t="s">
        <v>79</v>
      </c>
    </row>
    <row r="38" spans="1:1" ht="170.1" customHeight="1" x14ac:dyDescent="0.25">
      <c r="A38" s="190"/>
    </row>
    <row r="39" spans="1:1" ht="170.1" customHeight="1" thickBot="1" x14ac:dyDescent="0.3">
      <c r="A39" s="189" t="s">
        <v>80</v>
      </c>
    </row>
    <row r="40" spans="1:1" ht="170.1" customHeight="1" thickBot="1" x14ac:dyDescent="0.3">
      <c r="A40" s="190" t="s">
        <v>81</v>
      </c>
    </row>
    <row r="41" spans="1:1" ht="170.1" customHeight="1" thickBot="1" x14ac:dyDescent="0.3">
      <c r="A41" s="190" t="s">
        <v>28</v>
      </c>
    </row>
    <row r="42" spans="1:1" ht="170.1" customHeight="1" thickBot="1" x14ac:dyDescent="0.3">
      <c r="A42" s="190" t="s">
        <v>485</v>
      </c>
    </row>
    <row r="43" spans="1:1" ht="170.1" customHeight="1" thickBot="1" x14ac:dyDescent="0.3">
      <c r="A43" s="191" t="s">
        <v>29</v>
      </c>
    </row>
    <row r="44" spans="1:1" ht="170.1" customHeight="1" thickBot="1" x14ac:dyDescent="0.3">
      <c r="A44" s="191"/>
    </row>
    <row r="45" spans="1:1" ht="170.1" customHeight="1" thickBot="1" x14ac:dyDescent="0.3">
      <c r="A45" s="191" t="s">
        <v>30</v>
      </c>
    </row>
    <row r="46" spans="1:1" ht="170.1" customHeight="1" thickBot="1" x14ac:dyDescent="0.3">
      <c r="A46" s="191"/>
    </row>
    <row r="47" spans="1:1" ht="170.1" customHeight="1" thickBot="1" x14ac:dyDescent="0.3">
      <c r="A47" s="192" t="s">
        <v>31</v>
      </c>
    </row>
    <row r="48" spans="1:1" ht="170.1" customHeight="1" thickBot="1" x14ac:dyDescent="0.3">
      <c r="A48" s="190" t="s">
        <v>407</v>
      </c>
    </row>
    <row r="49" spans="1:1" ht="170.1" customHeight="1" thickBot="1" x14ac:dyDescent="0.3">
      <c r="A49" s="190" t="s">
        <v>408</v>
      </c>
    </row>
    <row r="50" spans="1:1" ht="170.1" customHeight="1" thickBot="1" x14ac:dyDescent="0.3">
      <c r="A50" s="190" t="s">
        <v>409</v>
      </c>
    </row>
    <row r="51" spans="1:1" ht="170.1" customHeight="1" thickBot="1" x14ac:dyDescent="0.3">
      <c r="A51" s="190" t="s">
        <v>410</v>
      </c>
    </row>
    <row r="52" spans="1:1" ht="170.1" customHeight="1" thickBot="1" x14ac:dyDescent="0.3">
      <c r="A52" s="190" t="s">
        <v>411</v>
      </c>
    </row>
    <row r="53" spans="1:1" ht="170.1" customHeight="1" thickBot="1" x14ac:dyDescent="0.3">
      <c r="A53" s="190" t="s">
        <v>412</v>
      </c>
    </row>
    <row r="54" spans="1:1" ht="170.1" customHeight="1" thickBot="1" x14ac:dyDescent="0.3">
      <c r="A54" s="190" t="s">
        <v>523</v>
      </c>
    </row>
    <row r="55" spans="1:1" ht="170.1" customHeight="1" thickBot="1" x14ac:dyDescent="0.3">
      <c r="A55" s="193" t="s">
        <v>413</v>
      </c>
    </row>
    <row r="56" spans="1:1" ht="170.1" customHeight="1" thickBot="1" x14ac:dyDescent="0.3">
      <c r="A56" s="193" t="s">
        <v>414</v>
      </c>
    </row>
    <row r="57" spans="1:1" ht="170.1" customHeight="1" thickBot="1" x14ac:dyDescent="0.3">
      <c r="A57" s="190" t="s">
        <v>32</v>
      </c>
    </row>
    <row r="58" spans="1:1" ht="170.1" customHeight="1" thickBot="1" x14ac:dyDescent="0.3">
      <c r="A58" s="190"/>
    </row>
    <row r="59" spans="1:1" ht="170.1" customHeight="1" thickBot="1" x14ac:dyDescent="0.3">
      <c r="A59" s="190"/>
    </row>
    <row r="60" spans="1:1" ht="170.1" customHeight="1" thickBot="1" x14ac:dyDescent="0.3">
      <c r="A60" s="190"/>
    </row>
    <row r="61" spans="1:1" ht="170.1" customHeight="1" thickBot="1" x14ac:dyDescent="0.3">
      <c r="A61" s="190" t="s">
        <v>82</v>
      </c>
    </row>
    <row r="62" spans="1:1" ht="170.1" customHeight="1" thickBot="1" x14ac:dyDescent="0.3">
      <c r="A62" s="190" t="s">
        <v>33</v>
      </c>
    </row>
    <row r="63" spans="1:1" ht="170.1" customHeight="1" thickBot="1" x14ac:dyDescent="0.3">
      <c r="A63" s="190" t="s">
        <v>34</v>
      </c>
    </row>
    <row r="64" spans="1:1" ht="170.1" customHeight="1" thickBot="1" x14ac:dyDescent="0.3">
      <c r="A64" s="194" t="s">
        <v>890</v>
      </c>
    </row>
    <row r="65" spans="1:1" ht="170.1" customHeight="1" thickBot="1" x14ac:dyDescent="0.3">
      <c r="A65" s="192" t="s">
        <v>529</v>
      </c>
    </row>
    <row r="66" spans="1:1" ht="170.1" customHeight="1" thickBot="1" x14ac:dyDescent="0.3">
      <c r="A66" s="195" t="s">
        <v>530</v>
      </c>
    </row>
    <row r="67" spans="1:1" ht="170.1" customHeight="1" thickBot="1" x14ac:dyDescent="0.3">
      <c r="A67" s="192" t="s">
        <v>36</v>
      </c>
    </row>
    <row r="68" spans="1:1" ht="170.1" customHeight="1" thickBot="1" x14ac:dyDescent="0.3">
      <c r="A68" s="192" t="s">
        <v>37</v>
      </c>
    </row>
    <row r="69" spans="1:1" ht="170.1" customHeight="1" thickBot="1" x14ac:dyDescent="0.3">
      <c r="A69" s="190" t="s">
        <v>519</v>
      </c>
    </row>
    <row r="70" spans="1:1" ht="170.1" customHeight="1" thickBot="1" x14ac:dyDescent="0.3">
      <c r="A70" s="190" t="s">
        <v>520</v>
      </c>
    </row>
    <row r="71" spans="1:1" ht="170.1" customHeight="1" thickBot="1" x14ac:dyDescent="0.3">
      <c r="A71" s="196" t="s">
        <v>38</v>
      </c>
    </row>
    <row r="72" spans="1:1" ht="170.1" customHeight="1" thickBot="1" x14ac:dyDescent="0.3">
      <c r="A72" s="196" t="s">
        <v>763</v>
      </c>
    </row>
    <row r="73" spans="1:1" ht="170.1" customHeight="1" thickBot="1" x14ac:dyDescent="0.3">
      <c r="A73" s="196"/>
    </row>
    <row r="74" spans="1:1" ht="170.1" customHeight="1" thickBot="1" x14ac:dyDescent="0.3">
      <c r="A74" s="190" t="s">
        <v>39</v>
      </c>
    </row>
    <row r="75" spans="1:1" ht="170.1" customHeight="1" thickBot="1" x14ac:dyDescent="0.3">
      <c r="A75" s="190" t="s">
        <v>83</v>
      </c>
    </row>
    <row r="76" spans="1:1" ht="170.1" customHeight="1" thickBot="1" x14ac:dyDescent="0.3">
      <c r="A76" s="190" t="s">
        <v>40</v>
      </c>
    </row>
    <row r="77" spans="1:1" ht="170.1" customHeight="1" thickBot="1" x14ac:dyDescent="0.3">
      <c r="A77" s="190" t="s">
        <v>41</v>
      </c>
    </row>
    <row r="78" spans="1:1" ht="170.1" customHeight="1" thickBot="1" x14ac:dyDescent="0.3">
      <c r="A78" s="197" t="s">
        <v>42</v>
      </c>
    </row>
    <row r="79" spans="1:1" ht="170.1" customHeight="1" thickBot="1" x14ac:dyDescent="0.3">
      <c r="A79" s="190" t="s">
        <v>43</v>
      </c>
    </row>
    <row r="80" spans="1:1" ht="170.1" customHeight="1" thickBot="1" x14ac:dyDescent="0.3">
      <c r="A80" s="190" t="s">
        <v>419</v>
      </c>
    </row>
    <row r="81" spans="1:1" ht="170.1" customHeight="1" thickBot="1" x14ac:dyDescent="0.3">
      <c r="A81" s="190" t="s">
        <v>420</v>
      </c>
    </row>
    <row r="82" spans="1:1" ht="170.1" customHeight="1" thickBot="1" x14ac:dyDescent="0.3">
      <c r="A82" s="190" t="s">
        <v>421</v>
      </c>
    </row>
    <row r="83" spans="1:1" ht="170.1" customHeight="1" thickBot="1" x14ac:dyDescent="0.3">
      <c r="A83" s="190" t="s">
        <v>422</v>
      </c>
    </row>
    <row r="84" spans="1:1" ht="170.1" customHeight="1" thickBot="1" x14ac:dyDescent="0.3">
      <c r="A84" s="190" t="s">
        <v>423</v>
      </c>
    </row>
    <row r="85" spans="1:1" ht="170.1" customHeight="1" thickBot="1" x14ac:dyDescent="0.3">
      <c r="A85" s="190" t="s">
        <v>424</v>
      </c>
    </row>
    <row r="86" spans="1:1" ht="170.1" customHeight="1" thickBot="1" x14ac:dyDescent="0.3">
      <c r="A86" s="190" t="s">
        <v>425</v>
      </c>
    </row>
    <row r="87" spans="1:1" ht="170.1" customHeight="1" thickBot="1" x14ac:dyDescent="0.3">
      <c r="A87" s="190" t="s">
        <v>761</v>
      </c>
    </row>
    <row r="88" spans="1:1" ht="170.1" customHeight="1" thickBot="1" x14ac:dyDescent="0.3">
      <c r="A88" s="190" t="s">
        <v>762</v>
      </c>
    </row>
    <row r="89" spans="1:1" ht="170.1" customHeight="1" x14ac:dyDescent="0.25">
      <c r="A89" s="190" t="s">
        <v>760</v>
      </c>
    </row>
    <row r="90" spans="1:1" ht="170.1" customHeight="1" x14ac:dyDescent="0.25">
      <c r="A90" s="198" t="s">
        <v>44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54" r:id="rId4" name="Image3">
          <controlPr defaultSize="0" autoLine="0" autoPict="0" r:id="rId5">
            <anchor moveWithCells="1">
              <from>
                <xdr:col>8</xdr:col>
                <xdr:colOff>0</xdr:colOff>
                <xdr:row>1</xdr:row>
                <xdr:rowOff>2152650</xdr:rowOff>
              </from>
              <to>
                <xdr:col>9</xdr:col>
                <xdr:colOff>0</xdr:colOff>
                <xdr:row>2</xdr:row>
                <xdr:rowOff>2152650</xdr:rowOff>
              </to>
            </anchor>
          </controlPr>
        </control>
      </mc:Choice>
      <mc:Fallback>
        <control shapeId="5254" r:id="rId4" name="Image3"/>
      </mc:Fallback>
    </mc:AlternateContent>
    <mc:AlternateContent xmlns:mc="http://schemas.openxmlformats.org/markup-compatibility/2006">
      <mc:Choice Requires="x14">
        <control shapeId="5238" r:id="rId6" name="Image14">
          <controlPr defaultSize="0" autoLine="0" autoPict="0" r:id="rId7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2705100</xdr:colOff>
                <xdr:row>2</xdr:row>
                <xdr:rowOff>0</xdr:rowOff>
              </to>
            </anchor>
          </controlPr>
        </control>
      </mc:Choice>
      <mc:Fallback>
        <control shapeId="5238" r:id="rId6" name="Image14"/>
      </mc:Fallback>
    </mc:AlternateContent>
    <mc:AlternateContent xmlns:mc="http://schemas.openxmlformats.org/markup-compatibility/2006">
      <mc:Choice Requires="x14">
        <control shapeId="5237" r:id="rId8" name="Image13">
          <controlPr defaultSize="0" autoLine="0" autoPict="0" r:id="rId9">
            <anchor moveWithCells="1">
              <from>
                <xdr:col>8</xdr:col>
                <xdr:colOff>0</xdr:colOff>
                <xdr:row>0</xdr:row>
                <xdr:rowOff>0</xdr:rowOff>
              </from>
              <to>
                <xdr:col>9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237" r:id="rId8" name="Image13"/>
      </mc:Fallback>
    </mc:AlternateContent>
    <mc:AlternateContent xmlns:mc="http://schemas.openxmlformats.org/markup-compatibility/2006">
      <mc:Choice Requires="x14">
        <control shapeId="5236" r:id="rId10" name="Image12">
          <controlPr defaultSize="0" autoLine="0" autoPict="0" r:id="rId11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36" r:id="rId10" name="Image12"/>
      </mc:Fallback>
    </mc:AlternateContent>
    <mc:AlternateContent xmlns:mc="http://schemas.openxmlformats.org/markup-compatibility/2006">
      <mc:Choice Requires="x14">
        <control shapeId="5224" r:id="rId12" name="Image10">
          <controlPr defaultSize="0" autoLine="0" r:id="rId13">
            <anchor moveWithCells="1">
              <from>
                <xdr:col>24</xdr:col>
                <xdr:colOff>600075</xdr:colOff>
                <xdr:row>7</xdr:row>
                <xdr:rowOff>419100</xdr:rowOff>
              </from>
              <to>
                <xdr:col>26</xdr:col>
                <xdr:colOff>600075</xdr:colOff>
                <xdr:row>7</xdr:row>
                <xdr:rowOff>1390650</xdr:rowOff>
              </to>
            </anchor>
          </controlPr>
        </control>
      </mc:Choice>
      <mc:Fallback>
        <control shapeId="5224" r:id="rId12" name="Image10"/>
      </mc:Fallback>
    </mc:AlternateContent>
    <mc:AlternateContent xmlns:mc="http://schemas.openxmlformats.org/markup-compatibility/2006">
      <mc:Choice Requires="x14">
        <control shapeId="5223" r:id="rId14" name="Image9">
          <controlPr defaultSize="0" autoLine="0" autoPict="0" r:id="rId1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3" r:id="rId14" name="Image9"/>
      </mc:Fallback>
    </mc:AlternateContent>
    <mc:AlternateContent xmlns:mc="http://schemas.openxmlformats.org/markup-compatibility/2006">
      <mc:Choice Requires="x14">
        <control shapeId="5221" r:id="rId16" name="Image7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221" r:id="rId16" name="Image7"/>
      </mc:Fallback>
    </mc:AlternateContent>
    <mc:AlternateContent xmlns:mc="http://schemas.openxmlformats.org/markup-compatibility/2006">
      <mc:Choice Requires="x14">
        <control shapeId="5218" r:id="rId18" name="Image4">
          <controlPr defaultSize="0" autoLine="0" autoPict="0" r:id="rId19">
            <anchor moveWithCells="1">
              <from>
                <xdr:col>8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218" r:id="rId18" name="Image4"/>
      </mc:Fallback>
    </mc:AlternateContent>
    <mc:AlternateContent xmlns:mc="http://schemas.openxmlformats.org/markup-compatibility/2006">
      <mc:Choice Requires="x14">
        <control shapeId="5216" r:id="rId20" name="Image2">
          <controlPr defaultSize="0" autoLine="0" autoPict="0" r:id="rId21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6" r:id="rId20" name="Image2"/>
      </mc:Fallback>
    </mc:AlternateContent>
    <mc:AlternateContent xmlns:mc="http://schemas.openxmlformats.org/markup-compatibility/2006">
      <mc:Choice Requires="x14">
        <control shapeId="5215" r:id="rId22" name="Image1">
          <controlPr defaultSize="0" autoLine="0" autoPict="0" r:id="rId23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0</xdr:row>
                <xdr:rowOff>2152650</xdr:rowOff>
              </to>
            </anchor>
          </controlPr>
        </control>
      </mc:Choice>
      <mc:Fallback>
        <control shapeId="5215" r:id="rId22" name="Image1"/>
      </mc:Fallback>
    </mc:AlternateContent>
    <mc:AlternateContent xmlns:mc="http://schemas.openxmlformats.org/markup-compatibility/2006">
      <mc:Choice Requires="x14">
        <control shapeId="5200" r:id="rId24" name="EWV1V_600">
          <controlPr defaultSize="0" autoLine="0" autoPict="0" r:id="rId25">
            <anchor moveWithCells="1">
              <from>
                <xdr:col>0</xdr:col>
                <xdr:colOff>1666875</xdr:colOff>
                <xdr:row>55</xdr:row>
                <xdr:rowOff>57150</xdr:rowOff>
              </from>
              <to>
                <xdr:col>2</xdr:col>
                <xdr:colOff>0</xdr:colOff>
                <xdr:row>55</xdr:row>
                <xdr:rowOff>2152650</xdr:rowOff>
              </to>
            </anchor>
          </controlPr>
        </control>
      </mc:Choice>
      <mc:Fallback>
        <control shapeId="5200" r:id="rId24" name="EWV1V_600"/>
      </mc:Fallback>
    </mc:AlternateContent>
    <mc:AlternateContent xmlns:mc="http://schemas.openxmlformats.org/markup-compatibility/2006">
      <mc:Choice Requires="x14">
        <control shapeId="5198" r:id="rId26" name="EWV2D_900">
          <controlPr defaultSize="0" autoLine="0" r:id="rId27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26" name="EWV2D_900"/>
      </mc:Fallback>
    </mc:AlternateContent>
    <mc:AlternateContent xmlns:mc="http://schemas.openxmlformats.org/markup-compatibility/2006">
      <mc:Choice Requires="x14">
        <control shapeId="5197" r:id="rId28" name="EWV2D_800">
          <controlPr defaultSize="0" autoLine="0" r:id="rId2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28" name="EWV2D_800"/>
      </mc:Fallback>
    </mc:AlternateContent>
    <mc:AlternateContent xmlns:mc="http://schemas.openxmlformats.org/markup-compatibility/2006">
      <mc:Choice Requires="x14">
        <control shapeId="5196" r:id="rId29" name="EWV1D_600">
          <controlPr defaultSize="0" autoLine="0" r:id="rId30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29" name="EWV1D_600"/>
      </mc:Fallback>
    </mc:AlternateContent>
    <mc:AlternateContent xmlns:mc="http://schemas.openxmlformats.org/markup-compatibility/2006">
      <mc:Choice Requires="x14">
        <control shapeId="5192" r:id="rId31" name="EUG1D_150">
          <controlPr defaultSize="0" autoLine="0" r:id="rId32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31" name="EUG1D_150"/>
      </mc:Fallback>
    </mc:AlternateContent>
    <mc:AlternateContent xmlns:mc="http://schemas.openxmlformats.org/markup-compatibility/2006">
      <mc:Choice Requires="x14">
        <control shapeId="5191" r:id="rId33" name="EWU1D_150">
          <controlPr defaultSize="0" autoLine="0" r:id="rId34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33" name="EWU1D_150"/>
      </mc:Fallback>
    </mc:AlternateContent>
    <mc:AlternateContent xmlns:mc="http://schemas.openxmlformats.org/markup-compatibility/2006">
      <mc:Choice Requires="x14">
        <control shapeId="5190" r:id="rId35" name="EUN1D_150">
          <controlPr defaultSize="0" autoLine="0" r:id="rId36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35" name="EUN1D_150"/>
      </mc:Fallback>
    </mc:AlternateContent>
    <mc:AlternateContent xmlns:mc="http://schemas.openxmlformats.org/markup-compatibility/2006">
      <mc:Choice Requires="x14">
        <control shapeId="5122" r:id="rId37" name="ENO">
          <controlPr defaultSize="0" autoLine="0" autoPict="0" r:id="rId3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37" name="ENO"/>
      </mc:Fallback>
    </mc:AlternateContent>
    <mc:AlternateContent xmlns:mc="http://schemas.openxmlformats.org/markup-compatibility/2006">
      <mc:Choice Requires="x14">
        <control shapeId="5123" r:id="rId39" name="EMN1D">
          <controlPr defaultSize="0" autoLine="0" autoPict="0" r:id="rId40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39" name="EMN1D"/>
      </mc:Fallback>
    </mc:AlternateContent>
    <mc:AlternateContent xmlns:mc="http://schemas.openxmlformats.org/markup-compatibility/2006">
      <mc:Choice Requires="x14">
        <control shapeId="5124" r:id="rId41" name="EMN2D">
          <controlPr defaultSize="0" autoLine="0" autoPict="0" r:id="rId42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41" name="EMN2D"/>
      </mc:Fallback>
    </mc:AlternateContent>
    <mc:AlternateContent xmlns:mc="http://schemas.openxmlformats.org/markup-compatibility/2006">
      <mc:Choice Requires="x14">
        <control shapeId="5125" r:id="rId43" name="EMN1K_150">
          <controlPr defaultSize="0" autoLine="0" autoPict="0" r:id="rId4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43" name="EMN1K_150"/>
      </mc:Fallback>
    </mc:AlternateContent>
    <mc:AlternateContent xmlns:mc="http://schemas.openxmlformats.org/markup-compatibility/2006">
      <mc:Choice Requires="x14">
        <control shapeId="5126" r:id="rId45" name="EWN1D">
          <controlPr defaultSize="0" autoLine="0" autoPict="0" r:id="rId4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45" name="EWN1D"/>
      </mc:Fallback>
    </mc:AlternateContent>
    <mc:AlternateContent xmlns:mc="http://schemas.openxmlformats.org/markup-compatibility/2006">
      <mc:Choice Requires="x14">
        <control shapeId="5127" r:id="rId47" name="EWN2D">
          <controlPr defaultSize="0" autoLine="0" autoPict="0" r:id="rId48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47" name="EWN2D"/>
      </mc:Fallback>
    </mc:AlternateContent>
    <mc:AlternateContent xmlns:mc="http://schemas.openxmlformats.org/markup-compatibility/2006">
      <mc:Choice Requires="x14">
        <control shapeId="5128" r:id="rId49" name="EUN1D">
          <controlPr defaultSize="0" autoLine="0" autoPict="0" r:id="rId36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49" name="EUN1D"/>
      </mc:Fallback>
    </mc:AlternateContent>
    <mc:AlternateContent xmlns:mc="http://schemas.openxmlformats.org/markup-compatibility/2006">
      <mc:Choice Requires="x14">
        <control shapeId="5129" r:id="rId50" name="EWU1D">
          <controlPr defaultSize="0" autoLine="0" autoPict="0" r:id="rId34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50" name="EWU1D"/>
      </mc:Fallback>
    </mc:AlternateContent>
    <mc:AlternateContent xmlns:mc="http://schemas.openxmlformats.org/markup-compatibility/2006">
      <mc:Choice Requires="x14">
        <control shapeId="5132" r:id="rId51" name="EMN1B1D">
          <controlPr defaultSize="0" autoLine="0" autoPict="0" r:id="rId52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51" name="EMN1B1D"/>
      </mc:Fallback>
    </mc:AlternateContent>
    <mc:AlternateContent xmlns:mc="http://schemas.openxmlformats.org/markup-compatibility/2006">
      <mc:Choice Requires="x14">
        <control shapeId="5133" r:id="rId53" name="EMN1B2D">
          <controlPr defaultSize="0" autoLine="0" autoPict="0" r:id="rId54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53" name="EMN1B2D"/>
      </mc:Fallback>
    </mc:AlternateContent>
    <mc:AlternateContent xmlns:mc="http://schemas.openxmlformats.org/markup-compatibility/2006">
      <mc:Choice Requires="x14">
        <control shapeId="5134" r:id="rId55" name="EMN4B">
          <controlPr defaultSize="0" autoLine="0" autoPict="0" r:id="rId56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55" name="EMN4B"/>
      </mc:Fallback>
    </mc:AlternateContent>
    <mc:AlternateContent xmlns:mc="http://schemas.openxmlformats.org/markup-compatibility/2006">
      <mc:Choice Requires="x14">
        <control shapeId="5135" r:id="rId57" name="EMN3B">
          <controlPr defaultSize="0" autoLine="0" autoPict="0" r:id="rId58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57" name="EMN3B"/>
      </mc:Fallback>
    </mc:AlternateContent>
    <mc:AlternateContent xmlns:mc="http://schemas.openxmlformats.org/markup-compatibility/2006">
      <mc:Choice Requires="x14">
        <control shapeId="5136" r:id="rId59" name="EMN2B">
          <controlPr defaultSize="0" autoLine="0" autoPict="0" r:id="rId6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59" name="EMN2B"/>
      </mc:Fallback>
    </mc:AlternateContent>
    <mc:AlternateContent xmlns:mc="http://schemas.openxmlformats.org/markup-compatibility/2006">
      <mc:Choice Requires="x14">
        <control shapeId="5137" r:id="rId61" name="ETN1B">
          <controlPr defaultSize="0" autoLine="0" autoPict="0" r:id="rId62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61" name="ETN1B"/>
      </mc:Fallback>
    </mc:AlternateContent>
    <mc:AlternateContent xmlns:mc="http://schemas.openxmlformats.org/markup-compatibility/2006">
      <mc:Choice Requires="x14">
        <control shapeId="5138" r:id="rId63" name="ESNX1D">
          <controlPr defaultSize="0" autoLine="0" autoPict="0" r:id="rId64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63" name="ESNX1D"/>
      </mc:Fallback>
    </mc:AlternateContent>
    <mc:AlternateContent xmlns:mc="http://schemas.openxmlformats.org/markup-compatibility/2006">
      <mc:Choice Requires="x14">
        <control shapeId="5139" r:id="rId65" name="ERN">
          <controlPr defaultSize="0" autoLine="0" r:id="rId66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65" name="ERN"/>
      </mc:Fallback>
    </mc:AlternateContent>
    <mc:AlternateContent xmlns:mc="http://schemas.openxmlformats.org/markup-compatibility/2006">
      <mc:Choice Requires="x14">
        <control shapeId="5140" r:id="rId67" name="ERN1D">
          <controlPr defaultSize="0" autoLine="0" autoPict="0" r:id="rId68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67" name="ERN1D"/>
      </mc:Fallback>
    </mc:AlternateContent>
    <mc:AlternateContent xmlns:mc="http://schemas.openxmlformats.org/markup-compatibility/2006">
      <mc:Choice Requires="x14">
        <control shapeId="5141" r:id="rId69" name="ENG1D">
          <controlPr defaultSize="0" autoLine="0" autoPict="0" r:id="rId7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69" name="ENG1D"/>
      </mc:Fallback>
    </mc:AlternateContent>
    <mc:AlternateContent xmlns:mc="http://schemas.openxmlformats.org/markup-compatibility/2006">
      <mc:Choice Requires="x14">
        <control shapeId="5142" r:id="rId71" name="ENG2D">
          <controlPr defaultSize="0" autoLine="0" autoPict="0" r:id="rId72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71" name="ENG2D"/>
      </mc:Fallback>
    </mc:AlternateContent>
    <mc:AlternateContent xmlns:mc="http://schemas.openxmlformats.org/markup-compatibility/2006">
      <mc:Choice Requires="x14">
        <control shapeId="5143" r:id="rId73" name="ENG2B">
          <controlPr defaultSize="0" autoLine="0" autoPict="0" r:id="rId74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73" name="ENG2B"/>
      </mc:Fallback>
    </mc:AlternateContent>
    <mc:AlternateContent xmlns:mc="http://schemas.openxmlformats.org/markup-compatibility/2006">
      <mc:Choice Requires="x14">
        <control shapeId="5144" r:id="rId75" name="ENG3B">
          <controlPr defaultSize="0" autoLine="0" autoPict="0" r:id="rId76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75" name="ENG3B"/>
      </mc:Fallback>
    </mc:AlternateContent>
    <mc:AlternateContent xmlns:mc="http://schemas.openxmlformats.org/markup-compatibility/2006">
      <mc:Choice Requires="x14">
        <control shapeId="5145" r:id="rId77" name="ENG1K_150">
          <controlPr defaultSize="0" autoLine="0" autoPict="0" r:id="rId78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77" name="ENG1K_150"/>
      </mc:Fallback>
    </mc:AlternateContent>
    <mc:AlternateContent xmlns:mc="http://schemas.openxmlformats.org/markup-compatibility/2006">
      <mc:Choice Requires="x14">
        <control shapeId="5146" r:id="rId79" name="EWG1D">
          <controlPr defaultSize="0" autoLine="0" autoPict="0" r:id="rId80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79" name="EWG1D"/>
      </mc:Fallback>
    </mc:AlternateContent>
    <mc:AlternateContent xmlns:mc="http://schemas.openxmlformats.org/markup-compatibility/2006">
      <mc:Choice Requires="x14">
        <control shapeId="5147" r:id="rId81" name="EWG2D">
          <controlPr defaultSize="0" autoLine="0" autoPict="0" r:id="rId82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81" name="EWG2D"/>
      </mc:Fallback>
    </mc:AlternateContent>
    <mc:AlternateContent xmlns:mc="http://schemas.openxmlformats.org/markup-compatibility/2006">
      <mc:Choice Requires="x14">
        <control shapeId="5148" r:id="rId83" name="EUG1D">
          <controlPr defaultSize="0" autoLine="0" autoPict="0" r:id="rId32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83" name="EUG1D"/>
      </mc:Fallback>
    </mc:AlternateContent>
    <mc:AlternateContent xmlns:mc="http://schemas.openxmlformats.org/markup-compatibility/2006">
      <mc:Choice Requires="x14">
        <control shapeId="5149" r:id="rId84" name="EZ1F">
          <controlPr defaultSize="0" autoLine="0" autoPict="0" r:id="rId8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84" name="EZ1F"/>
      </mc:Fallback>
    </mc:AlternateContent>
    <mc:AlternateContent xmlns:mc="http://schemas.openxmlformats.org/markup-compatibility/2006">
      <mc:Choice Requires="x14">
        <control shapeId="5150" r:id="rId86" name="EVO">
          <controlPr defaultSize="0" autoLine="0" autoPict="0" r:id="rId87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86" name="EVO"/>
      </mc:Fallback>
    </mc:AlternateContent>
    <mc:AlternateContent xmlns:mc="http://schemas.openxmlformats.org/markup-compatibility/2006">
      <mc:Choice Requires="x14">
        <control shapeId="5151" r:id="rId88" name="EMV1D">
          <controlPr defaultSize="0" autoLine="0" autoPict="0" r:id="rId89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88" name="EMV1D"/>
      </mc:Fallback>
    </mc:AlternateContent>
    <mc:AlternateContent xmlns:mc="http://schemas.openxmlformats.org/markup-compatibility/2006">
      <mc:Choice Requires="x14">
        <control shapeId="5152" r:id="rId90" name="EMV1DN">
          <controlPr defaultSize="0" autoLine="0" autoPict="0" r:id="rId91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90" name="EMV1DN"/>
      </mc:Fallback>
    </mc:AlternateContent>
    <mc:AlternateContent xmlns:mc="http://schemas.openxmlformats.org/markup-compatibility/2006">
      <mc:Choice Requires="x14">
        <control shapeId="5153" r:id="rId92" name="EMV1V">
          <controlPr defaultSize="0" autoLine="0" autoPict="0" r:id="rId93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92" name="EMV1V"/>
      </mc:Fallback>
    </mc:AlternateContent>
    <mc:AlternateContent xmlns:mc="http://schemas.openxmlformats.org/markup-compatibility/2006">
      <mc:Choice Requires="x14">
        <control shapeId="5154" r:id="rId94" name="EMV1VN">
          <controlPr defaultSize="0" autoLine="0" autoPict="0" r:id="rId9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94" name="EMV1VN"/>
      </mc:Fallback>
    </mc:AlternateContent>
    <mc:AlternateContent xmlns:mc="http://schemas.openxmlformats.org/markup-compatibility/2006">
      <mc:Choice Requires="x14">
        <control shapeId="5155" r:id="rId96" name="EMV2D">
          <controlPr defaultSize="0" autoLine="0" autoPict="0" r:id="rId97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96" name="EMV2D"/>
      </mc:Fallback>
    </mc:AlternateContent>
    <mc:AlternateContent xmlns:mc="http://schemas.openxmlformats.org/markup-compatibility/2006">
      <mc:Choice Requires="x14">
        <control shapeId="5156" r:id="rId98" name="EMV2V">
          <controlPr defaultSize="0" autoLine="0" autoPict="0" r:id="rId99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98" name="EMV2V"/>
      </mc:Fallback>
    </mc:AlternateContent>
    <mc:AlternateContent xmlns:mc="http://schemas.openxmlformats.org/markup-compatibility/2006">
      <mc:Choice Requires="x14">
        <control shapeId="5157" r:id="rId100" name="EVU1D">
          <controlPr defaultSize="0" autoLine="0" autoPict="0" r:id="rId101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100" name="EVU1D"/>
      </mc:Fallback>
    </mc:AlternateContent>
    <mc:AlternateContent xmlns:mc="http://schemas.openxmlformats.org/markup-compatibility/2006">
      <mc:Choice Requires="x14">
        <control shapeId="5158" r:id="rId102" name="EHV1D">
          <controlPr defaultSize="0" autoLine="0" autoPict="0" r:id="rId10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102" name="EHV1D"/>
      </mc:Fallback>
    </mc:AlternateContent>
    <mc:AlternateContent xmlns:mc="http://schemas.openxmlformats.org/markup-compatibility/2006">
      <mc:Choice Requires="x14">
        <control shapeId="5159" r:id="rId104" name="EHV2D">
          <controlPr defaultSize="0" autoLine="0" autoPict="0" r:id="rId105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104" name="EHV2D"/>
      </mc:Fallback>
    </mc:AlternateContent>
    <mc:AlternateContent xmlns:mc="http://schemas.openxmlformats.org/markup-compatibility/2006">
      <mc:Choice Requires="x14">
        <control shapeId="5160" r:id="rId106" name="EDV1D">
          <controlPr defaultSize="0" autoLine="0" autoPict="0" r:id="rId107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106" name="EDV1D"/>
      </mc:Fallback>
    </mc:AlternateContent>
    <mc:AlternateContent xmlns:mc="http://schemas.openxmlformats.org/markup-compatibility/2006">
      <mc:Choice Requires="x14">
        <control shapeId="5161" r:id="rId108" name="EWV1D_450">
          <controlPr defaultSize="0" autoLine="0" autoPict="0" r:id="rId30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108" name="EWV1D_450"/>
      </mc:Fallback>
    </mc:AlternateContent>
    <mc:AlternateContent xmlns:mc="http://schemas.openxmlformats.org/markup-compatibility/2006">
      <mc:Choice Requires="x14">
        <control shapeId="5162" r:id="rId109" name="EWV2D_600">
          <controlPr defaultSize="0" autoLine="0" autoPict="0" r:id="rId2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109" name="EWV2D_600"/>
      </mc:Fallback>
    </mc:AlternateContent>
    <mc:AlternateContent xmlns:mc="http://schemas.openxmlformats.org/markup-compatibility/2006">
      <mc:Choice Requires="x14">
        <control shapeId="5163" r:id="rId110" name="EWV2V_450">
          <controlPr defaultSize="0" autoLine="0" autoPict="0" r:id="rId111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110" name="EWV2V_450"/>
      </mc:Fallback>
    </mc:AlternateContent>
    <mc:AlternateContent xmlns:mc="http://schemas.openxmlformats.org/markup-compatibility/2006">
      <mc:Choice Requires="x14">
        <control shapeId="5164" r:id="rId112" name="EWV1V_450">
          <controlPr defaultSize="0" autoLine="0" autoPict="0" r:id="rId113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112" name="EWV1V_450"/>
      </mc:Fallback>
    </mc:AlternateContent>
    <mc:AlternateContent xmlns:mc="http://schemas.openxmlformats.org/markup-compatibility/2006">
      <mc:Choice Requires="x14">
        <control shapeId="5167" r:id="rId114" name="EVG1D">
          <controlPr defaultSize="0" autoLine="0" autoPict="0" r:id="rId115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114" name="EVG1D"/>
      </mc:Fallback>
    </mc:AlternateContent>
    <mc:AlternateContent xmlns:mc="http://schemas.openxmlformats.org/markup-compatibility/2006">
      <mc:Choice Requires="x14">
        <control shapeId="5168" r:id="rId116" name="EVG2D">
          <controlPr defaultSize="0" autoLine="0" autoPict="0" r:id="rId117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116" name="EVG2D"/>
      </mc:Fallback>
    </mc:AlternateContent>
    <mc:AlternateContent xmlns:mc="http://schemas.openxmlformats.org/markup-compatibility/2006">
      <mc:Choice Requires="x14">
        <control shapeId="5169" r:id="rId118" name="EVG2V">
          <controlPr defaultSize="0" autoLine="0" autoPict="0" r:id="rId119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118" name="EVG2V"/>
      </mc:Fallback>
    </mc:AlternateContent>
    <mc:AlternateContent xmlns:mc="http://schemas.openxmlformats.org/markup-compatibility/2006">
      <mc:Choice Requires="x14">
        <control shapeId="5170" r:id="rId120" name="EVUG1D">
          <controlPr defaultSize="0" autoLine="0" autoPict="0" r:id="rId12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120" name="EVUG1D"/>
      </mc:Fallback>
    </mc:AlternateContent>
    <mc:AlternateContent xmlns:mc="http://schemas.openxmlformats.org/markup-compatibility/2006">
      <mc:Choice Requires="x14">
        <control shapeId="5172" r:id="rId122" name="ESVX1D_960">
          <controlPr defaultSize="0" autoLine="0" autoPict="0" r:id="rId123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22" name="ESVX1D_960"/>
      </mc:Fallback>
    </mc:AlternateContent>
    <mc:AlternateContent xmlns:mc="http://schemas.openxmlformats.org/markup-compatibility/2006">
      <mc:Choice Requires="x14">
        <control shapeId="5173" r:id="rId124" name="EP1D">
          <controlPr defaultSize="0" autoLine="0" autoPict="0" r:id="rId125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24" name="EP1D"/>
      </mc:Fallback>
    </mc:AlternateContent>
    <mc:AlternateContent xmlns:mc="http://schemas.openxmlformats.org/markup-compatibility/2006">
      <mc:Choice Requires="x14">
        <control shapeId="5174" r:id="rId126" name="EPG1D">
          <controlPr defaultSize="0" autoLine="0" autoPict="0" r:id="rId12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26" name="EPG1D"/>
      </mc:Fallback>
    </mc:AlternateContent>
    <mc:AlternateContent xmlns:mc="http://schemas.openxmlformats.org/markup-compatibility/2006">
      <mc:Choice Requires="x14">
        <control shapeId="5175" r:id="rId128" name="EPT1D_455">
          <controlPr defaultSize="0" autoLine="0" autoPict="0" r:id="rId129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28" name="EPT1D_455"/>
      </mc:Fallback>
    </mc:AlternateContent>
    <mc:AlternateContent xmlns:mc="http://schemas.openxmlformats.org/markup-compatibility/2006">
      <mc:Choice Requires="x14">
        <control shapeId="5176" r:id="rId130" name="EPT1B">
          <controlPr defaultSize="0" autoLine="0" autoPict="0" r:id="rId131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30" name="EPT1B"/>
      </mc:Fallback>
    </mc:AlternateContent>
    <mc:AlternateContent xmlns:mc="http://schemas.openxmlformats.org/markup-compatibility/2006">
      <mc:Choice Requires="x14">
        <control shapeId="5177" r:id="rId132" name="EP2D">
          <controlPr defaultSize="0" autoLine="0" autoPict="0" r:id="rId133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32" name="EP2D"/>
      </mc:Fallback>
    </mc:AlternateContent>
    <mc:AlternateContent xmlns:mc="http://schemas.openxmlformats.org/markup-compatibility/2006">
      <mc:Choice Requires="x14">
        <control shapeId="5178" r:id="rId134" name="EPG2D_EPG2DM">
          <controlPr defaultSize="0" autoLine="0" autoPict="0" r:id="rId135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34" name="EPG2D_EPG2DM"/>
      </mc:Fallback>
    </mc:AlternateContent>
    <mc:AlternateContent xmlns:mc="http://schemas.openxmlformats.org/markup-compatibility/2006">
      <mc:Choice Requires="x14">
        <control shapeId="5179" r:id="rId136" name="EPS2D">
          <controlPr defaultSize="0" autoLine="0" autoPict="0" r:id="rId13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36" name="EPS2D"/>
      </mc:Fallback>
    </mc:AlternateContent>
    <mc:AlternateContent xmlns:mc="http://schemas.openxmlformats.org/markup-compatibility/2006">
      <mc:Choice Requires="x14">
        <control shapeId="5180" r:id="rId138" name="EPSG2D">
          <controlPr defaultSize="0" autoLine="0" autoPict="0" r:id="rId139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38" name="EPSG2D"/>
      </mc:Fallback>
    </mc:AlternateContent>
    <mc:AlternateContent xmlns:mc="http://schemas.openxmlformats.org/markup-compatibility/2006">
      <mc:Choice Requires="x14">
        <control shapeId="5181" r:id="rId140" name="EP3B1D">
          <controlPr defaultSize="0" autoLine="0" autoPict="0" r:id="rId141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40" name="EP3B1D"/>
      </mc:Fallback>
    </mc:AlternateContent>
    <mc:AlternateContent xmlns:mc="http://schemas.openxmlformats.org/markup-compatibility/2006">
      <mc:Choice Requires="x14">
        <control shapeId="5182" r:id="rId142" name="EP2B1D">
          <controlPr defaultSize="0" autoLine="0" autoPict="0" r:id="rId143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42" name="EP2B1D"/>
      </mc:Fallback>
    </mc:AlternateContent>
    <mc:AlternateContent xmlns:mc="http://schemas.openxmlformats.org/markup-compatibility/2006">
      <mc:Choice Requires="x14">
        <control shapeId="5183" r:id="rId144" name="EPT2D_455">
          <controlPr defaultSize="0" autoLine="0" autoPict="0" r:id="rId145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44" name="EPT2D_455"/>
      </mc:Fallback>
    </mc:AlternateContent>
    <mc:AlternateContent xmlns:mc="http://schemas.openxmlformats.org/markup-compatibility/2006">
      <mc:Choice Requires="x14">
        <control shapeId="5184" r:id="rId146" name="EPTG2D_455">
          <controlPr defaultSize="0" autoLine="0" autoPict="0" r:id="rId147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46" name="EPTG2D_455"/>
      </mc:Fallback>
    </mc:AlternateContent>
    <mc:AlternateContent xmlns:mc="http://schemas.openxmlformats.org/markup-compatibility/2006">
      <mc:Choice Requires="x14">
        <control shapeId="5185" r:id="rId148" name="EPT2B1D_382">
          <controlPr defaultSize="0" autoLine="0" autoPict="0" r:id="rId14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48" name="EPT2B1D_382"/>
      </mc:Fallback>
    </mc:AlternateContent>
    <mc:AlternateContent xmlns:mc="http://schemas.openxmlformats.org/markup-compatibility/2006">
      <mc:Choice Requires="x14">
        <control shapeId="5186" r:id="rId150" name="EPTP1D_595">
          <controlPr defaultSize="0" autoLine="0" autoPict="0" r:id="rId151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50" name="EPTP1D_595"/>
      </mc:Fallback>
    </mc:AlternateContent>
    <mc:AlternateContent xmlns:mc="http://schemas.openxmlformats.org/markup-compatibility/2006">
      <mc:Choice Requires="x14">
        <control shapeId="5187" r:id="rId152" name="EPT1B1D_595">
          <controlPr defaultSize="0" autoLine="0" autoPict="0" r:id="rId153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52" name="EPT1B1D_595"/>
      </mc:Fallback>
    </mc:AlternateContent>
    <mc:AlternateContent xmlns:mc="http://schemas.openxmlformats.org/markup-compatibility/2006">
      <mc:Choice Requires="x14">
        <control shapeId="5188" r:id="rId154" name="EPTG1B1D_595">
          <controlPr defaultSize="0" autoLine="0" autoPict="0" r:id="rId155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54" name="EPTG1B1D_595"/>
      </mc:Fallback>
    </mc:AlternateContent>
    <mc:AlternateContent xmlns:mc="http://schemas.openxmlformats.org/markup-compatibility/2006">
      <mc:Choice Requires="x14">
        <control shapeId="5189" r:id="rId156" name="EPSP2D">
          <controlPr defaultSize="0" autoLine="0" autoPict="0" r:id="rId157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56" name="EPSP2D"/>
      </mc:Fallback>
    </mc:AlternateContent>
    <mc:AlternateContent xmlns:mc="http://schemas.openxmlformats.org/markup-compatibility/2006">
      <mc:Choice Requires="x14">
        <control shapeId="5193" r:id="rId158" name="EMN1K_450">
          <controlPr defaultSize="0" autoLine="0" r:id="rId4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58" name="EMN1K_450"/>
      </mc:Fallback>
    </mc:AlternateContent>
    <mc:AlternateContent xmlns:mc="http://schemas.openxmlformats.org/markup-compatibility/2006">
      <mc:Choice Requires="x14">
        <control shapeId="5194" r:id="rId159" name="ENG1K_450">
          <controlPr defaultSize="0" autoLine="0" r:id="rId78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59" name="ENG1K_450"/>
      </mc:Fallback>
    </mc:AlternateContent>
    <mc:AlternateContent xmlns:mc="http://schemas.openxmlformats.org/markup-compatibility/2006">
      <mc:Choice Requires="x14">
        <control shapeId="5201" r:id="rId160" name="EPT2D_595">
          <controlPr defaultSize="0" autoLine="0" r:id="rId145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60" name="EPT2D_595"/>
      </mc:Fallback>
    </mc:AlternateContent>
    <mc:AlternateContent xmlns:mc="http://schemas.openxmlformats.org/markup-compatibility/2006">
      <mc:Choice Requires="x14">
        <control shapeId="5202" r:id="rId161" name="EPTG2D_595">
          <controlPr defaultSize="0" autoLine="0" r:id="rId147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61" name="EPTG2D_595"/>
      </mc:Fallback>
    </mc:AlternateContent>
    <mc:AlternateContent xmlns:mc="http://schemas.openxmlformats.org/markup-compatibility/2006">
      <mc:Choice Requires="x14">
        <control shapeId="5203" r:id="rId162" name="EPT2B1D_455">
          <controlPr defaultSize="0" autoLine="0" r:id="rId14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62" name="EPT2B1D_455"/>
      </mc:Fallback>
    </mc:AlternateContent>
    <mc:AlternateContent xmlns:mc="http://schemas.openxmlformats.org/markup-compatibility/2006">
      <mc:Choice Requires="x14">
        <control shapeId="5204" r:id="rId163" name="EPT2B1D_595">
          <controlPr defaultSize="0" autoLine="0" r:id="rId14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63" name="EPT2B1D_595"/>
      </mc:Fallback>
    </mc:AlternateContent>
    <mc:AlternateContent xmlns:mc="http://schemas.openxmlformats.org/markup-compatibility/2006">
      <mc:Choice Requires="x14">
        <control shapeId="5205" r:id="rId164" name="EPT1D_595">
          <controlPr defaultSize="0" autoLine="0" r:id="rId129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4" name="EPT1D_595"/>
      </mc:Fallback>
    </mc:AlternateContent>
    <mc:AlternateContent xmlns:mc="http://schemas.openxmlformats.org/markup-compatibility/2006">
      <mc:Choice Requires="x14">
        <control shapeId="5208" r:id="rId165" name="EWV1V_900">
          <controlPr defaultSize="0" autoLine="0" r:id="rId113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65" name="EWV1V_900"/>
      </mc:Fallback>
    </mc:AlternateContent>
    <mc:AlternateContent xmlns:mc="http://schemas.openxmlformats.org/markup-compatibility/2006">
      <mc:Choice Requires="x14">
        <control shapeId="5209" r:id="rId166" name="ERV1D">
          <controlPr defaultSize="0" autoLine="0" r:id="rId16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66" name="ERV1D"/>
      </mc:Fallback>
    </mc:AlternateContent>
    <mc:AlternateContent xmlns:mc="http://schemas.openxmlformats.org/markup-compatibility/2006">
      <mc:Choice Requires="x14">
        <control shapeId="5212" r:id="rId168" name="ESVX1D_720">
          <controlPr defaultSize="0" autoLine="0" r:id="rId123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68" name="ESVX1D_720"/>
      </mc:Fallback>
    </mc:AlternateContent>
    <mc:AlternateContent xmlns:mc="http://schemas.openxmlformats.org/markup-compatibility/2006">
      <mc:Choice Requires="x14">
        <control shapeId="5214" r:id="rId169" name="EMN1W1B">
          <controlPr defaultSize="0" autoLine="0" autoPict="0" r:id="rId170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14" r:id="rId169" name="EMN1W1B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O14"/>
  <sheetViews>
    <sheetView topLeftCell="H1" workbookViewId="0">
      <selection activeCell="N15" sqref="N15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  <col min="10" max="10" width="13.28515625" bestFit="1" customWidth="1"/>
    <col min="13" max="13" width="18" style="1" customWidth="1"/>
    <col min="14" max="14" width="16" style="1" customWidth="1"/>
    <col min="15" max="15" width="19" style="1" customWidth="1"/>
  </cols>
  <sheetData>
    <row r="1" spans="1:15" x14ac:dyDescent="0.25">
      <c r="A1" t="s">
        <v>100</v>
      </c>
      <c r="C1" t="s">
        <v>101</v>
      </c>
      <c r="D1" t="s">
        <v>114</v>
      </c>
      <c r="G1" t="s">
        <v>124</v>
      </c>
      <c r="J1" t="s">
        <v>125</v>
      </c>
      <c r="M1" s="1" t="s">
        <v>908</v>
      </c>
      <c r="O1" s="1" t="s">
        <v>909</v>
      </c>
    </row>
    <row r="2" spans="1:15" x14ac:dyDescent="0.25">
      <c r="A2" s="112" t="s">
        <v>755</v>
      </c>
      <c r="C2" s="4" t="s">
        <v>102</v>
      </c>
      <c r="D2" t="s">
        <v>113</v>
      </c>
      <c r="G2" s="4">
        <v>120</v>
      </c>
      <c r="J2" s="4" t="s">
        <v>126</v>
      </c>
      <c r="M2" s="1">
        <v>116</v>
      </c>
      <c r="O2" s="1">
        <v>146</v>
      </c>
    </row>
    <row r="3" spans="1:15" x14ac:dyDescent="0.25">
      <c r="A3" s="32" t="s">
        <v>756</v>
      </c>
      <c r="C3" s="4" t="s">
        <v>103</v>
      </c>
      <c r="D3" t="s">
        <v>113</v>
      </c>
      <c r="G3" s="4">
        <v>150</v>
      </c>
      <c r="J3" s="4" t="s">
        <v>127</v>
      </c>
      <c r="M3" s="1">
        <v>141</v>
      </c>
      <c r="O3" s="1">
        <v>196</v>
      </c>
    </row>
    <row r="4" spans="1:15" x14ac:dyDescent="0.25">
      <c r="A4" s="113" t="s">
        <v>757</v>
      </c>
      <c r="C4" s="4" t="s">
        <v>104</v>
      </c>
      <c r="D4" t="s">
        <v>113</v>
      </c>
      <c r="J4" s="4" t="s">
        <v>706</v>
      </c>
      <c r="M4" s="1">
        <v>176</v>
      </c>
      <c r="O4" s="1">
        <v>296</v>
      </c>
    </row>
    <row r="5" spans="1:15" x14ac:dyDescent="0.25">
      <c r="C5" s="4" t="s">
        <v>105</v>
      </c>
      <c r="D5" t="s">
        <v>113</v>
      </c>
      <c r="M5" s="1">
        <v>236</v>
      </c>
      <c r="O5" s="1">
        <v>346</v>
      </c>
    </row>
    <row r="6" spans="1:15" x14ac:dyDescent="0.25">
      <c r="C6" s="4" t="s">
        <v>106</v>
      </c>
      <c r="D6" t="s">
        <v>113</v>
      </c>
      <c r="M6" s="1">
        <v>285</v>
      </c>
      <c r="O6" s="1">
        <v>376</v>
      </c>
    </row>
    <row r="7" spans="1:15" x14ac:dyDescent="0.25">
      <c r="C7" s="4" t="s">
        <v>107</v>
      </c>
      <c r="D7" t="s">
        <v>113</v>
      </c>
      <c r="M7" s="1">
        <v>356</v>
      </c>
      <c r="O7" s="1">
        <v>396</v>
      </c>
    </row>
    <row r="8" spans="1:15" x14ac:dyDescent="0.25">
      <c r="C8" s="4" t="s">
        <v>108</v>
      </c>
      <c r="D8" t="s">
        <v>113</v>
      </c>
      <c r="M8" s="1">
        <v>476</v>
      </c>
      <c r="O8" s="1">
        <v>446</v>
      </c>
    </row>
    <row r="9" spans="1:15" x14ac:dyDescent="0.25">
      <c r="C9" s="4" t="s">
        <v>109</v>
      </c>
      <c r="D9" t="s">
        <v>113</v>
      </c>
      <c r="M9" s="1">
        <v>536</v>
      </c>
      <c r="O9" s="1">
        <v>496</v>
      </c>
    </row>
    <row r="10" spans="1:15" x14ac:dyDescent="0.25">
      <c r="C10" s="4" t="s">
        <v>110</v>
      </c>
      <c r="D10" t="s">
        <v>113</v>
      </c>
      <c r="M10" s="1">
        <v>573</v>
      </c>
      <c r="O10" s="1">
        <v>596</v>
      </c>
    </row>
    <row r="11" spans="1:15" x14ac:dyDescent="0.25">
      <c r="C11" s="4" t="s">
        <v>112</v>
      </c>
      <c r="D11" t="s">
        <v>115</v>
      </c>
      <c r="M11" s="1">
        <v>596</v>
      </c>
      <c r="O11" s="1">
        <v>696</v>
      </c>
    </row>
    <row r="12" spans="1:15" x14ac:dyDescent="0.25">
      <c r="C12" s="4" t="s">
        <v>111</v>
      </c>
      <c r="D12" t="s">
        <v>115</v>
      </c>
      <c r="M12" s="1">
        <v>716</v>
      </c>
      <c r="O12" s="1">
        <v>796</v>
      </c>
    </row>
    <row r="13" spans="1:15" x14ac:dyDescent="0.25">
      <c r="M13" s="1">
        <v>956</v>
      </c>
      <c r="O13" s="1">
        <v>896</v>
      </c>
    </row>
    <row r="14" spans="1:15" x14ac:dyDescent="0.25">
      <c r="M14" s="1">
        <v>1316</v>
      </c>
    </row>
  </sheetData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4</vt:i4>
      </vt:variant>
    </vt:vector>
  </HeadingPairs>
  <TitlesOfParts>
    <vt:vector size="11" baseType="lpstr">
      <vt:lpstr>Заказ</vt:lpstr>
      <vt:lpstr>Расчет</vt:lpstr>
      <vt:lpstr>Таблица с признаками</vt:lpstr>
      <vt:lpstr>Базовые цены</vt:lpstr>
      <vt:lpstr>комплекты фурнитуры</vt:lpstr>
      <vt:lpstr>Изображения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2025-03-02T13:40:24Z</dcterms:modified>
</cp:coreProperties>
</file>