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drawings/drawing3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activeX/activeX79.xml" ContentType="application/vnd.ms-office.activeX+xml"/>
  <Override PartName="/xl/activeX/activeX79.bin" ContentType="application/vnd.ms-office.activeX"/>
  <Override PartName="/xl/activeX/activeX80.xml" ContentType="application/vnd.ms-office.activeX+xml"/>
  <Override PartName="/xl/activeX/activeX80.bin" ContentType="application/vnd.ms-office.activeX"/>
  <Override PartName="/xl/activeX/activeX81.xml" ContentType="application/vnd.ms-office.activeX+xml"/>
  <Override PartName="/xl/activeX/activeX81.bin" ContentType="application/vnd.ms-office.activeX"/>
  <Override PartName="/xl/activeX/activeX82.xml" ContentType="application/vnd.ms-office.activeX+xml"/>
  <Override PartName="/xl/activeX/activeX82.bin" ContentType="application/vnd.ms-office.activeX"/>
  <Override PartName="/xl/activeX/activeX83.xml" ContentType="application/vnd.ms-office.activeX+xml"/>
  <Override PartName="/xl/activeX/activeX83.bin" ContentType="application/vnd.ms-office.activeX"/>
  <Override PartName="/xl/activeX/activeX84.xml" ContentType="application/vnd.ms-office.activeX+xml"/>
  <Override PartName="/xl/activeX/activeX84.bin" ContentType="application/vnd.ms-office.activeX"/>
  <Override PartName="/xl/activeX/activeX85.xml" ContentType="application/vnd.ms-office.activeX+xml"/>
  <Override PartName="/xl/activeX/activeX85.bin" ContentType="application/vnd.ms-office.activeX"/>
  <Override PartName="/xl/activeX/activeX86.xml" ContentType="application/vnd.ms-office.activeX+xml"/>
  <Override PartName="/xl/activeX/activeX86.bin" ContentType="application/vnd.ms-office.activeX"/>
  <Override PartName="/xl/activeX/activeX87.xml" ContentType="application/vnd.ms-office.activeX+xml"/>
  <Override PartName="/xl/activeX/activeX87.bin" ContentType="application/vnd.ms-office.activeX"/>
  <Override PartName="/xl/activeX/activeX88.xml" ContentType="application/vnd.ms-office.activeX+xml"/>
  <Override PartName="/xl/activeX/activeX88.bin" ContentType="application/vnd.ms-office.activeX"/>
  <Override PartName="/xl/activeX/activeX89.xml" ContentType="application/vnd.ms-office.activeX+xml"/>
  <Override PartName="/xl/activeX/activeX89.bin" ContentType="application/vnd.ms-office.activeX"/>
  <Override PartName="/xl/activeX/activeX90.xml" ContentType="application/vnd.ms-office.activeX+xml"/>
  <Override PartName="/xl/activeX/activeX90.bin" ContentType="application/vnd.ms-office.activeX"/>
  <Override PartName="/xl/activeX/activeX91.xml" ContentType="application/vnd.ms-office.activeX+xml"/>
  <Override PartName="/xl/activeX/activeX91.bin" ContentType="application/vnd.ms-office.activeX"/>
  <Override PartName="/xl/activeX/activeX92.xml" ContentType="application/vnd.ms-office.activeX+xml"/>
  <Override PartName="/xl/activeX/activeX92.bin" ContentType="application/vnd.ms-office.activeX"/>
  <Override PartName="/xl/activeX/activeX93.xml" ContentType="application/vnd.ms-office.activeX+xml"/>
  <Override PartName="/xl/activeX/activeX93.bin" ContentType="application/vnd.ms-office.activeX"/>
  <Override PartName="/xl/activeX/activeX94.xml" ContentType="application/vnd.ms-office.activeX+xml"/>
  <Override PartName="/xl/activeX/activeX94.bin" ContentType="application/vnd.ms-office.activeX"/>
  <Override PartName="/xl/activeX/activeX95.xml" ContentType="application/vnd.ms-office.activeX+xml"/>
  <Override PartName="/xl/activeX/activeX95.bin" ContentType="application/vnd.ms-office.activeX"/>
  <Override PartName="/xl/activeX/activeX96.xml" ContentType="application/vnd.ms-office.activeX+xml"/>
  <Override PartName="/xl/activeX/activeX96.bin" ContentType="application/vnd.ms-office.activeX"/>
  <Override PartName="/xl/activeX/activeX97.xml" ContentType="application/vnd.ms-office.activeX+xml"/>
  <Override PartName="/xl/activeX/activeX97.bin" ContentType="application/vnd.ms-office.activeX"/>
  <Override PartName="/xl/activeX/activeX98.xml" ContentType="application/vnd.ms-office.activeX+xml"/>
  <Override PartName="/xl/activeX/activeX98.bin" ContentType="application/vnd.ms-office.activeX"/>
  <Override PartName="/xl/activeX/activeX99.xml" ContentType="application/vnd.ms-office.activeX+xml"/>
  <Override PartName="/xl/activeX/activeX99.bin" ContentType="application/vnd.ms-office.activeX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comments2.xml" ContentType="application/vnd.openxmlformats-officedocument.spreadsheetml.comments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comments3.xml" ContentType="application/vnd.openxmlformats-officedocument.spreadsheetml.comments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430" codeName="{C5BBEA04-B48B-DB03-FC8F-E18A6752861A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kamynin\Downloads\"/>
    </mc:Choice>
  </mc:AlternateContent>
  <xr:revisionPtr revIDLastSave="0" documentId="13_ncr:1_{DF66C84B-E0CA-46E5-8E5D-6A0D40A057B1}" xr6:coauthVersionLast="47" xr6:coauthVersionMax="47" xr10:uidLastSave="{00000000-0000-0000-0000-000000000000}"/>
  <bookViews>
    <workbookView xWindow="23880" yWindow="-120" windowWidth="29040" windowHeight="15840" firstSheet="1" activeTab="1" xr2:uid="{F87E9273-758C-4CB3-8CA7-04461C90845A}"/>
  </bookViews>
  <sheets>
    <sheet name="Расчет" sheetId="4" r:id="rId1"/>
    <sheet name="Таблица с признаками" sheetId="1" r:id="rId2"/>
    <sheet name="Заказ" sheetId="7" r:id="rId3"/>
    <sheet name="Базовые цены" sheetId="10" r:id="rId4"/>
    <sheet name="Изображения" sheetId="5" r:id="rId5"/>
    <sheet name="2 все модули и цены" sheetId="14" r:id="rId6"/>
    <sheet name="3 расчёт пеналов" sheetId="13" r:id="rId7"/>
    <sheet name="3 расчёт верхних" sheetId="12" r:id="rId8"/>
    <sheet name="3 расчёт нижних" sheetId="11" r:id="rId9"/>
    <sheet name="комплекты фурнитуры" sheetId="15" r:id="rId10"/>
    <sheet name="Настройки" sheetId="6" r:id="rId11"/>
  </sheets>
  <functionGroups builtInGroupCount="19"/>
  <externalReferences>
    <externalReference r:id="rId12"/>
    <externalReference r:id="rId13"/>
    <externalReference r:id="rId14"/>
  </externalReferences>
  <definedNames>
    <definedName name="clap" localSheetId="5">#REF!</definedName>
    <definedName name="clap" localSheetId="7">#REF!</definedName>
    <definedName name="clap" localSheetId="8">#REF!</definedName>
    <definedName name="clap" localSheetId="6">#REF!</definedName>
    <definedName name="clap" localSheetId="9">#REF!</definedName>
    <definedName name="clap">#REF!</definedName>
    <definedName name="mln" localSheetId="5">#REF!</definedName>
    <definedName name="mln" localSheetId="7">#REF!</definedName>
    <definedName name="mln" localSheetId="8">#REF!</definedName>
    <definedName name="mln" localSheetId="6">#REF!</definedName>
    <definedName name="mln" localSheetId="9">#REF!</definedName>
    <definedName name="mln">#REF!</definedName>
    <definedName name="zka" localSheetId="5">#REF!</definedName>
    <definedName name="zka" localSheetId="7">#REF!</definedName>
    <definedName name="zka" localSheetId="8">#REF!</definedName>
    <definedName name="zka" localSheetId="6">#REF!</definedName>
    <definedName name="zka" localSheetId="9">#REF!</definedName>
    <definedName name="zka">#REF!</definedName>
    <definedName name="К_роста_цен" localSheetId="5">[1]Энергетики!#REF!</definedName>
    <definedName name="К_роста_цен" localSheetId="7">[1]Энергетики!#REF!</definedName>
    <definedName name="К_роста_цен" localSheetId="8">[1]Энергетики!#REF!</definedName>
    <definedName name="К_роста_цен" localSheetId="6">[1]Энергетики!#REF!</definedName>
    <definedName name="К_роста_цен" localSheetId="9">[1]Энергетики!#REF!</definedName>
    <definedName name="К_роста_цен">[1]Энергетики!#REF!</definedName>
    <definedName name="КФ_корпуса" localSheetId="5">'[2]комплекты фурнитуры'!$B$10:$S$27</definedName>
    <definedName name="КФ_корпуса" localSheetId="7">'[2]комплекты фурнитуры'!$B$10:$S$27</definedName>
    <definedName name="КФ_корпуса" localSheetId="8">'[2]комплекты фурнитуры'!$B$10:$S$27</definedName>
    <definedName name="КФ_корпуса" localSheetId="6">'[2]комплекты фурнитуры'!$B$10:$S$27</definedName>
    <definedName name="КФ_корпуса" localSheetId="9">'комплекты фурнитуры'!$B$10:$S$27</definedName>
    <definedName name="КФ_корпуса">'[3]комплекты фурнитуры'!$B$10:$S$27</definedName>
    <definedName name="КФ_наполнение">'комплекты фурнитуры'!$B$41:$S$57</definedName>
    <definedName name="КФ_петель_подъемников" localSheetId="5">'[2]комплекты фурнитуры'!$B$59:$S$76</definedName>
    <definedName name="КФ_петель_подъемников" localSheetId="7">'[2]комплекты фурнитуры'!$B$59:$S$76</definedName>
    <definedName name="КФ_петель_подъемников" localSheetId="8">'[2]комплекты фурнитуры'!$B$59:$S$76</definedName>
    <definedName name="КФ_петель_подъемников" localSheetId="6">'[2]комплекты фурнитуры'!$B$59:$S$76</definedName>
    <definedName name="КФ_петель_подъемников" localSheetId="9">'комплекты фурнитуры'!$B$59:$S$76</definedName>
    <definedName name="КФ_петель_подъемников">'[3]комплекты фурнитуры'!$B$59:$S$76</definedName>
    <definedName name="КФ_ящиков">'комплекты фурнитуры'!$B$29:$S$39</definedName>
  </definedNames>
  <calcPr calcId="191029" refMode="R1C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U44" i="1" l="1"/>
  <c r="BR44" i="1"/>
  <c r="BQ44" i="1"/>
  <c r="BP44" i="1"/>
  <c r="AN44" i="1"/>
  <c r="AM44" i="1"/>
  <c r="AG44" i="1"/>
  <c r="AH44" i="1" s="1"/>
  <c r="AF44" i="1"/>
  <c r="AC44" i="1"/>
  <c r="BU42" i="1"/>
  <c r="BP42" i="1"/>
  <c r="AN42" i="1"/>
  <c r="BR42" i="1" s="1"/>
  <c r="AM42" i="1"/>
  <c r="AG42" i="1"/>
  <c r="AF42" i="1"/>
  <c r="AC42" i="1"/>
  <c r="AH42" i="1" s="1"/>
  <c r="BU65" i="1"/>
  <c r="AR65" i="1"/>
  <c r="AQ65" i="1"/>
  <c r="AI65" i="1"/>
  <c r="V65" i="1"/>
  <c r="AH65" i="1" s="1"/>
  <c r="BU58" i="1"/>
  <c r="AN58" i="1"/>
  <c r="AM58" i="1"/>
  <c r="AI58" i="1"/>
  <c r="BQ58" i="1" s="1"/>
  <c r="AG58" i="1"/>
  <c r="AF58" i="1"/>
  <c r="X58" i="1"/>
  <c r="BU57" i="1"/>
  <c r="AN57" i="1"/>
  <c r="AM57" i="1"/>
  <c r="AI57" i="1"/>
  <c r="AG57" i="1"/>
  <c r="AF57" i="1"/>
  <c r="X57" i="1"/>
  <c r="BU56" i="1"/>
  <c r="AN56" i="1"/>
  <c r="AM56" i="1"/>
  <c r="BP56" i="1" s="1"/>
  <c r="AI56" i="1"/>
  <c r="AG56" i="1"/>
  <c r="AF56" i="1"/>
  <c r="X56" i="1"/>
  <c r="BU54" i="1"/>
  <c r="AW54" i="1"/>
  <c r="AT54" i="1"/>
  <c r="AG54" i="1"/>
  <c r="AF54" i="1"/>
  <c r="AB54" i="1"/>
  <c r="BQ42" i="1" l="1"/>
  <c r="BQ65" i="1"/>
  <c r="BP65" i="1"/>
  <c r="AH57" i="1"/>
  <c r="AH56" i="1"/>
  <c r="BQ57" i="1"/>
  <c r="AH58" i="1"/>
  <c r="BQ56" i="1"/>
  <c r="BP58" i="1"/>
  <c r="BP57" i="1"/>
  <c r="AH54" i="1"/>
  <c r="BP54" i="1"/>
  <c r="BU72" i="1"/>
  <c r="BI72" i="1"/>
  <c r="BR72" i="1" s="1"/>
  <c r="BF72" i="1"/>
  <c r="BE72" i="1"/>
  <c r="BC72" i="1"/>
  <c r="BP72" i="1" s="1"/>
  <c r="AE72" i="1"/>
  <c r="Y72" i="1"/>
  <c r="BU71" i="1"/>
  <c r="BI71" i="1"/>
  <c r="BR71" i="1" s="1"/>
  <c r="BF71" i="1"/>
  <c r="BE71" i="1"/>
  <c r="BC71" i="1"/>
  <c r="BP71" i="1" s="1"/>
  <c r="AE71" i="1"/>
  <c r="Y71" i="1"/>
  <c r="AH71" i="1" s="1"/>
  <c r="BU69" i="1"/>
  <c r="AN69" i="1"/>
  <c r="BR69" i="1" s="1"/>
  <c r="AM69" i="1"/>
  <c r="BP69" i="1" s="1"/>
  <c r="AE69" i="1"/>
  <c r="Y69" i="1"/>
  <c r="BU3" i="1"/>
  <c r="BU4" i="1"/>
  <c r="BU5" i="1"/>
  <c r="BU6" i="1"/>
  <c r="BU7" i="1"/>
  <c r="BU8" i="1"/>
  <c r="BU9" i="1"/>
  <c r="BU10" i="1"/>
  <c r="BU11" i="1"/>
  <c r="BU12" i="1"/>
  <c r="BU13" i="1"/>
  <c r="BU14" i="1"/>
  <c r="BU15" i="1"/>
  <c r="BU16" i="1"/>
  <c r="BU17" i="1"/>
  <c r="BU18" i="1"/>
  <c r="BU20" i="1"/>
  <c r="BU21" i="1"/>
  <c r="BU22" i="1"/>
  <c r="BU23" i="1"/>
  <c r="BU24" i="1"/>
  <c r="BU25" i="1"/>
  <c r="BU26" i="1"/>
  <c r="BU27" i="1"/>
  <c r="BU28" i="1"/>
  <c r="BU29" i="1"/>
  <c r="BU30" i="1"/>
  <c r="BU31" i="1"/>
  <c r="BU32" i="1"/>
  <c r="BU33" i="1"/>
  <c r="BU34" i="1"/>
  <c r="BU35" i="1"/>
  <c r="BU36" i="1"/>
  <c r="BU38" i="1"/>
  <c r="BU39" i="1"/>
  <c r="BU40" i="1"/>
  <c r="BU41" i="1"/>
  <c r="BU43" i="1"/>
  <c r="BU46" i="1"/>
  <c r="BU47" i="1"/>
  <c r="BU48" i="1"/>
  <c r="BU49" i="1"/>
  <c r="BU50" i="1"/>
  <c r="BU51" i="1"/>
  <c r="BU52" i="1"/>
  <c r="BU53" i="1"/>
  <c r="BU55" i="1"/>
  <c r="BU59" i="1"/>
  <c r="BU60" i="1"/>
  <c r="BU61" i="1"/>
  <c r="BU62" i="1"/>
  <c r="BU63" i="1"/>
  <c r="BU64" i="1"/>
  <c r="BU66" i="1"/>
  <c r="BU67" i="1"/>
  <c r="BU68" i="1"/>
  <c r="BU70" i="1"/>
  <c r="BU73" i="1"/>
  <c r="BU74" i="1"/>
  <c r="BU75" i="1"/>
  <c r="BU76" i="1"/>
  <c r="BU77" i="1"/>
  <c r="BU78" i="1"/>
  <c r="BU79" i="1"/>
  <c r="BU80" i="1"/>
  <c r="BU81" i="1"/>
  <c r="BU82" i="1"/>
  <c r="BU83" i="1"/>
  <c r="BU84" i="1"/>
  <c r="BU85" i="1"/>
  <c r="BU86" i="1"/>
  <c r="BU87" i="1"/>
  <c r="BU88" i="1"/>
  <c r="BU89" i="1"/>
  <c r="BU2" i="1"/>
  <c r="Y10" i="10"/>
  <c r="Y11" i="10"/>
  <c r="Y12" i="10"/>
  <c r="Y13" i="10"/>
  <c r="Y14" i="10"/>
  <c r="Y15" i="10"/>
  <c r="Y16" i="10"/>
  <c r="Y17" i="10"/>
  <c r="Y18" i="10"/>
  <c r="Y19" i="10"/>
  <c r="Y20" i="10"/>
  <c r="Y21" i="10"/>
  <c r="Y22" i="10"/>
  <c r="Y23" i="10"/>
  <c r="Y24" i="10"/>
  <c r="Y25" i="10"/>
  <c r="Y26" i="10"/>
  <c r="Y27" i="10"/>
  <c r="Y28" i="10"/>
  <c r="Y29" i="10"/>
  <c r="Y3" i="10"/>
  <c r="Y30" i="10"/>
  <c r="Y31" i="10"/>
  <c r="Y32" i="10"/>
  <c r="Y33" i="10"/>
  <c r="Y34" i="10"/>
  <c r="Y35" i="10"/>
  <c r="Y36" i="10"/>
  <c r="Y37" i="10"/>
  <c r="Y38" i="10"/>
  <c r="Y39" i="10"/>
  <c r="Y40" i="10"/>
  <c r="Y41" i="10"/>
  <c r="Y42" i="10"/>
  <c r="Y43" i="10"/>
  <c r="Y44" i="10"/>
  <c r="Y45" i="10"/>
  <c r="Y46" i="10"/>
  <c r="Y47" i="10"/>
  <c r="Y48" i="10"/>
  <c r="Y49" i="10"/>
  <c r="Y50" i="10"/>
  <c r="Y51" i="10"/>
  <c r="Y52" i="10"/>
  <c r="Y4" i="10"/>
  <c r="Y53" i="10"/>
  <c r="Y5" i="10"/>
  <c r="Y54" i="10"/>
  <c r="Y55" i="10"/>
  <c r="Y56" i="10"/>
  <c r="Y57" i="10"/>
  <c r="Y58" i="10"/>
  <c r="Y59" i="10"/>
  <c r="Y60" i="10"/>
  <c r="Y61" i="10"/>
  <c r="Y62" i="10"/>
  <c r="Y63" i="10"/>
  <c r="Y64" i="10"/>
  <c r="Y65" i="10"/>
  <c r="Y66" i="10"/>
  <c r="Y67" i="10"/>
  <c r="Y68" i="10"/>
  <c r="Y69" i="10"/>
  <c r="Y70" i="10"/>
  <c r="Y71" i="10"/>
  <c r="Y105" i="10"/>
  <c r="Y72" i="10"/>
  <c r="Y73" i="10"/>
  <c r="Y74" i="10"/>
  <c r="Y75" i="10"/>
  <c r="Y76" i="10"/>
  <c r="Y77" i="10"/>
  <c r="Y78" i="10"/>
  <c r="Y79" i="10"/>
  <c r="Y80" i="10"/>
  <c r="Y81" i="10"/>
  <c r="Y82" i="10"/>
  <c r="Y83" i="10"/>
  <c r="Y84" i="10"/>
  <c r="Y85" i="10"/>
  <c r="Y86" i="10"/>
  <c r="Y87" i="10"/>
  <c r="Y88" i="10"/>
  <c r="Y89" i="10"/>
  <c r="Y90" i="10"/>
  <c r="Y91" i="10"/>
  <c r="Y92" i="10"/>
  <c r="Y93" i="10"/>
  <c r="Y94" i="10"/>
  <c r="Y95" i="10"/>
  <c r="Y96" i="10"/>
  <c r="Y97" i="10"/>
  <c r="Y98" i="10"/>
  <c r="Y99" i="10"/>
  <c r="Y100" i="10"/>
  <c r="Y101" i="10"/>
  <c r="Y102" i="10"/>
  <c r="Y103" i="10"/>
  <c r="Y2" i="10"/>
  <c r="Y6" i="10"/>
  <c r="Y104" i="10"/>
  <c r="Y7" i="10"/>
  <c r="Y8" i="10"/>
  <c r="Y9" i="10"/>
  <c r="BP2" i="1"/>
  <c r="BQ2" i="1"/>
  <c r="BR2" i="1"/>
  <c r="BQ71" i="1" l="1"/>
  <c r="AH72" i="1"/>
  <c r="BQ72" i="1"/>
  <c r="AH69" i="1"/>
  <c r="BQ69" i="1"/>
  <c r="G97" i="15"/>
  <c r="K97" i="15" s="1"/>
  <c r="P96" i="15"/>
  <c r="G96" i="15"/>
  <c r="Q96" i="15" s="1"/>
  <c r="G95" i="15"/>
  <c r="K95" i="15" s="1"/>
  <c r="G94" i="15"/>
  <c r="K94" i="15" s="1"/>
  <c r="G93" i="15"/>
  <c r="K93" i="15" s="1"/>
  <c r="G92" i="15"/>
  <c r="K92" i="15" s="1"/>
  <c r="G91" i="15"/>
  <c r="K91" i="15" s="1"/>
  <c r="G90" i="15"/>
  <c r="K90" i="15" s="1"/>
  <c r="G89" i="15"/>
  <c r="K89" i="15" s="1"/>
  <c r="G88" i="15"/>
  <c r="K88" i="15" s="1"/>
  <c r="G87" i="15"/>
  <c r="K87" i="15" s="1"/>
  <c r="G86" i="15"/>
  <c r="K86" i="15" s="1"/>
  <c r="G85" i="15"/>
  <c r="K85" i="15" s="1"/>
  <c r="G84" i="15"/>
  <c r="K84" i="15" s="1"/>
  <c r="G83" i="15"/>
  <c r="K83" i="15" s="1"/>
  <c r="G82" i="15"/>
  <c r="K82" i="15" s="1"/>
  <c r="G81" i="15"/>
  <c r="K81" i="15" s="1"/>
  <c r="G80" i="15"/>
  <c r="K80" i="15" s="1"/>
  <c r="G79" i="15"/>
  <c r="K79" i="15" s="1"/>
  <c r="G78" i="15"/>
  <c r="K78" i="15" s="1"/>
  <c r="K77" i="15"/>
  <c r="H77" i="15"/>
  <c r="G76" i="15"/>
  <c r="K76" i="15" s="1"/>
  <c r="G75" i="15"/>
  <c r="K75" i="15" s="1"/>
  <c r="G74" i="15"/>
  <c r="K74" i="15" s="1"/>
  <c r="G73" i="15"/>
  <c r="K73" i="15" s="1"/>
  <c r="G72" i="15"/>
  <c r="K72" i="15" s="1"/>
  <c r="G71" i="15"/>
  <c r="K71" i="15" s="1"/>
  <c r="G70" i="15"/>
  <c r="K70" i="15" s="1"/>
  <c r="G69" i="15"/>
  <c r="K69" i="15" s="1"/>
  <c r="G68" i="15"/>
  <c r="K68" i="15" s="1"/>
  <c r="G67" i="15"/>
  <c r="K67" i="15" s="1"/>
  <c r="G66" i="15"/>
  <c r="K66" i="15" s="1"/>
  <c r="G65" i="15"/>
  <c r="K65" i="15" s="1"/>
  <c r="G64" i="15"/>
  <c r="K64" i="15" s="1"/>
  <c r="G63" i="15"/>
  <c r="K63" i="15" s="1"/>
  <c r="G62" i="15"/>
  <c r="K62" i="15" s="1"/>
  <c r="G61" i="15"/>
  <c r="K61" i="15" s="1"/>
  <c r="G60" i="15"/>
  <c r="K60" i="15" s="1"/>
  <c r="G59" i="15"/>
  <c r="K59" i="15" s="1"/>
  <c r="K58" i="15"/>
  <c r="H58" i="15"/>
  <c r="G57" i="15"/>
  <c r="K57" i="15" s="1"/>
  <c r="G56" i="15"/>
  <c r="K56" i="15" s="1"/>
  <c r="G55" i="15"/>
  <c r="K55" i="15" s="1"/>
  <c r="G54" i="15"/>
  <c r="K54" i="15" s="1"/>
  <c r="G53" i="15"/>
  <c r="K53" i="15" s="1"/>
  <c r="G52" i="15"/>
  <c r="K52" i="15" s="1"/>
  <c r="G51" i="15"/>
  <c r="G50" i="15"/>
  <c r="K50" i="15" s="1"/>
  <c r="G49" i="15"/>
  <c r="K49" i="15" s="1"/>
  <c r="G48" i="15"/>
  <c r="K48" i="15" s="1"/>
  <c r="G47" i="15"/>
  <c r="K47" i="15" s="1"/>
  <c r="G46" i="15"/>
  <c r="K46" i="15" s="1"/>
  <c r="G45" i="15"/>
  <c r="K45" i="15" s="1"/>
  <c r="G44" i="15"/>
  <c r="K44" i="15" s="1"/>
  <c r="G43" i="15"/>
  <c r="K43" i="15" s="1"/>
  <c r="G42" i="15"/>
  <c r="K42" i="15" s="1"/>
  <c r="G41" i="15"/>
  <c r="K41" i="15" s="1"/>
  <c r="G39" i="15"/>
  <c r="K39" i="15" s="1"/>
  <c r="G38" i="15"/>
  <c r="G37" i="15"/>
  <c r="K37" i="15" s="1"/>
  <c r="H36" i="15"/>
  <c r="I36" i="15" s="1"/>
  <c r="G36" i="15"/>
  <c r="K36" i="15" s="1"/>
  <c r="G35" i="15"/>
  <c r="K35" i="15" s="1"/>
  <c r="G34" i="15"/>
  <c r="K34" i="15" s="1"/>
  <c r="G33" i="15"/>
  <c r="K33" i="15" s="1"/>
  <c r="G32" i="15"/>
  <c r="K32" i="15" s="1"/>
  <c r="G30" i="15"/>
  <c r="K30" i="15" s="1"/>
  <c r="G29" i="15"/>
  <c r="G31" i="15" s="1"/>
  <c r="G27" i="15"/>
  <c r="K27" i="15" s="1"/>
  <c r="G26" i="15"/>
  <c r="K26" i="15" s="1"/>
  <c r="G25" i="15"/>
  <c r="G24" i="15"/>
  <c r="K24" i="15" s="1"/>
  <c r="G23" i="15"/>
  <c r="K23" i="15" s="1"/>
  <c r="G22" i="15"/>
  <c r="K22" i="15" s="1"/>
  <c r="G21" i="15"/>
  <c r="G20" i="15"/>
  <c r="K20" i="15" s="1"/>
  <c r="G19" i="15"/>
  <c r="K19" i="15" s="1"/>
  <c r="G18" i="15"/>
  <c r="K18" i="15" s="1"/>
  <c r="G17" i="15"/>
  <c r="G16" i="15"/>
  <c r="K16" i="15" s="1"/>
  <c r="G15" i="15"/>
  <c r="K15" i="15" s="1"/>
  <c r="G14" i="15"/>
  <c r="K14" i="15" s="1"/>
  <c r="G13" i="15"/>
  <c r="G12" i="15"/>
  <c r="K12" i="15" s="1"/>
  <c r="G11" i="15"/>
  <c r="K11" i="15" s="1"/>
  <c r="G10" i="15"/>
  <c r="K10" i="15" s="1"/>
  <c r="H4" i="15"/>
  <c r="H53" i="15" s="1"/>
  <c r="H24" i="15" l="1"/>
  <c r="I24" i="15" s="1"/>
  <c r="H30" i="15"/>
  <c r="I30" i="15" s="1"/>
  <c r="H34" i="15"/>
  <c r="I34" i="15" s="1"/>
  <c r="H56" i="15"/>
  <c r="I56" i="15" s="1"/>
  <c r="J56" i="15" s="1"/>
  <c r="N56" i="15" s="1"/>
  <c r="P56" i="15" s="1"/>
  <c r="Q56" i="15" s="1"/>
  <c r="H16" i="15"/>
  <c r="I16" i="15" s="1"/>
  <c r="H27" i="15"/>
  <c r="I27" i="15" s="1"/>
  <c r="H19" i="15"/>
  <c r="I19" i="15" s="1"/>
  <c r="H38" i="15"/>
  <c r="I38" i="15" s="1"/>
  <c r="H60" i="15"/>
  <c r="I60" i="15" s="1"/>
  <c r="H67" i="15"/>
  <c r="I67" i="15" s="1"/>
  <c r="H70" i="15"/>
  <c r="I70" i="15" s="1"/>
  <c r="J77" i="15"/>
  <c r="N77" i="15" s="1"/>
  <c r="P77" i="15" s="1"/>
  <c r="H11" i="15"/>
  <c r="I11" i="15" s="1"/>
  <c r="H13" i="15"/>
  <c r="I13" i="15" s="1"/>
  <c r="H18" i="15"/>
  <c r="H21" i="15"/>
  <c r="I21" i="15" s="1"/>
  <c r="H26" i="15"/>
  <c r="H31" i="15"/>
  <c r="I31" i="15" s="1"/>
  <c r="H33" i="15"/>
  <c r="I33" i="15" s="1"/>
  <c r="H55" i="15"/>
  <c r="I55" i="15" s="1"/>
  <c r="J55" i="15" s="1"/>
  <c r="N55" i="15" s="1"/>
  <c r="P55" i="15" s="1"/>
  <c r="Q55" i="15" s="1"/>
  <c r="H62" i="15"/>
  <c r="I62" i="15" s="1"/>
  <c r="H74" i="15"/>
  <c r="I74" i="15" s="1"/>
  <c r="I77" i="15"/>
  <c r="H15" i="15"/>
  <c r="I15" i="15" s="1"/>
  <c r="H20" i="15"/>
  <c r="I20" i="15" s="1"/>
  <c r="J20" i="15" s="1"/>
  <c r="H23" i="15"/>
  <c r="I23" i="15" s="1"/>
  <c r="H29" i="15"/>
  <c r="I29" i="15" s="1"/>
  <c r="H35" i="15"/>
  <c r="I35" i="15" s="1"/>
  <c r="J35" i="15" s="1"/>
  <c r="N35" i="15" s="1"/>
  <c r="P35" i="15" s="1"/>
  <c r="Q35" i="15" s="1"/>
  <c r="H37" i="15"/>
  <c r="I37" i="15" s="1"/>
  <c r="J37" i="15" s="1"/>
  <c r="H59" i="15"/>
  <c r="I59" i="15" s="1"/>
  <c r="H61" i="15"/>
  <c r="I61" i="15" s="1"/>
  <c r="H66" i="15"/>
  <c r="I66" i="15" s="1"/>
  <c r="H10" i="15"/>
  <c r="H12" i="15"/>
  <c r="I12" i="15" s="1"/>
  <c r="J12" i="15" s="1"/>
  <c r="N12" i="15" s="1"/>
  <c r="P12" i="15" s="1"/>
  <c r="Q12" i="15" s="1"/>
  <c r="S12" i="15" s="1"/>
  <c r="H14" i="15"/>
  <c r="H17" i="15"/>
  <c r="I17" i="15" s="1"/>
  <c r="H22" i="15"/>
  <c r="H25" i="15"/>
  <c r="I25" i="15" s="1"/>
  <c r="H32" i="15"/>
  <c r="I32" i="15" s="1"/>
  <c r="I58" i="15"/>
  <c r="J58" i="15" s="1"/>
  <c r="N58" i="15" s="1"/>
  <c r="P58" i="15" s="1"/>
  <c r="H63" i="15"/>
  <c r="I63" i="15" s="1"/>
  <c r="J63" i="15" s="1"/>
  <c r="N63" i="15" s="1"/>
  <c r="P63" i="15" s="1"/>
  <c r="H65" i="15"/>
  <c r="I65" i="15" s="1"/>
  <c r="J33" i="15"/>
  <c r="N33" i="15" s="1"/>
  <c r="P33" i="15" s="1"/>
  <c r="Q33" i="15" s="1"/>
  <c r="J29" i="15"/>
  <c r="K38" i="15"/>
  <c r="J67" i="15"/>
  <c r="N67" i="15" s="1"/>
  <c r="P67" i="15" s="1"/>
  <c r="Q67" i="15" s="1"/>
  <c r="S67" i="15" s="1"/>
  <c r="J24" i="15"/>
  <c r="N24" i="15" s="1"/>
  <c r="P24" i="15" s="1"/>
  <c r="Q24" i="15" s="1"/>
  <c r="K29" i="15"/>
  <c r="N20" i="15"/>
  <c r="P20" i="15" s="1"/>
  <c r="Q20" i="15" s="1"/>
  <c r="J16" i="15"/>
  <c r="N16" i="15" s="1"/>
  <c r="P16" i="15" s="1"/>
  <c r="Q16" i="15" s="1"/>
  <c r="K25" i="15"/>
  <c r="K21" i="15"/>
  <c r="K17" i="15"/>
  <c r="K13" i="15"/>
  <c r="N37" i="15"/>
  <c r="P37" i="15" s="1"/>
  <c r="Q37" i="15" s="1"/>
  <c r="K31" i="15"/>
  <c r="J30" i="15"/>
  <c r="N30" i="15" s="1"/>
  <c r="P30" i="15" s="1"/>
  <c r="Q30" i="15" s="1"/>
  <c r="I53" i="15"/>
  <c r="J53" i="15" s="1"/>
  <c r="N53" i="15" s="1"/>
  <c r="P53" i="15" s="1"/>
  <c r="Q53" i="15" s="1"/>
  <c r="S53" i="15" s="1"/>
  <c r="J60" i="15"/>
  <c r="N60" i="15" s="1"/>
  <c r="P60" i="15" s="1"/>
  <c r="Q60" i="15" s="1"/>
  <c r="J61" i="15"/>
  <c r="N61" i="15" s="1"/>
  <c r="P61" i="15" s="1"/>
  <c r="Q61" i="15" s="1"/>
  <c r="H81" i="15"/>
  <c r="I81" i="15" s="1"/>
  <c r="H85" i="15"/>
  <c r="I85" i="15" s="1"/>
  <c r="H89" i="15"/>
  <c r="I89" i="15" s="1"/>
  <c r="H44" i="15"/>
  <c r="I44" i="15" s="1"/>
  <c r="H48" i="15"/>
  <c r="I48" i="15" s="1"/>
  <c r="H52" i="15"/>
  <c r="I52" i="15" s="1"/>
  <c r="J11" i="15"/>
  <c r="N11" i="15" s="1"/>
  <c r="P11" i="15" s="1"/>
  <c r="Q11" i="15" s="1"/>
  <c r="J19" i="15"/>
  <c r="N19" i="15" s="1"/>
  <c r="P19" i="15" s="1"/>
  <c r="Q19" i="15" s="1"/>
  <c r="J23" i="15"/>
  <c r="N23" i="15" s="1"/>
  <c r="P23" i="15" s="1"/>
  <c r="Q23" i="15" s="1"/>
  <c r="J36" i="15"/>
  <c r="N36" i="15" s="1"/>
  <c r="P36" i="15" s="1"/>
  <c r="Q36" i="15" s="1"/>
  <c r="H39" i="15"/>
  <c r="J62" i="15"/>
  <c r="N62" i="15" s="1"/>
  <c r="P62" i="15" s="1"/>
  <c r="Q62" i="15" s="1"/>
  <c r="J70" i="15"/>
  <c r="N70" i="15" s="1"/>
  <c r="P70" i="15" s="1"/>
  <c r="J74" i="15"/>
  <c r="N74" i="15" s="1"/>
  <c r="P74" i="15" s="1"/>
  <c r="Q74" i="15" s="1"/>
  <c r="AX36" i="1" s="1"/>
  <c r="BP36" i="1" s="1"/>
  <c r="H69" i="15"/>
  <c r="I69" i="15" s="1"/>
  <c r="H73" i="15"/>
  <c r="I73" i="15" s="1"/>
  <c r="H80" i="15"/>
  <c r="I80" i="15" s="1"/>
  <c r="H84" i="15"/>
  <c r="I84" i="15" s="1"/>
  <c r="H88" i="15"/>
  <c r="I88" i="15" s="1"/>
  <c r="I10" i="15"/>
  <c r="J10" i="15" s="1"/>
  <c r="N10" i="15" s="1"/>
  <c r="P10" i="15" s="1"/>
  <c r="Q10" i="15" s="1"/>
  <c r="I14" i="15"/>
  <c r="J14" i="15" s="1"/>
  <c r="N14" i="15" s="1"/>
  <c r="P14" i="15" s="1"/>
  <c r="Q14" i="15" s="1"/>
  <c r="S14" i="15" s="1"/>
  <c r="I18" i="15"/>
  <c r="J18" i="15" s="1"/>
  <c r="N18" i="15" s="1"/>
  <c r="P18" i="15" s="1"/>
  <c r="Q18" i="15" s="1"/>
  <c r="W20" i="1" s="1"/>
  <c r="I22" i="15"/>
  <c r="J22" i="15" s="1"/>
  <c r="N22" i="15" s="1"/>
  <c r="P22" i="15" s="1"/>
  <c r="Q22" i="15" s="1"/>
  <c r="I26" i="15"/>
  <c r="J26" i="15" s="1"/>
  <c r="N26" i="15" s="1"/>
  <c r="P26" i="15" s="1"/>
  <c r="H43" i="15"/>
  <c r="I43" i="15" s="1"/>
  <c r="H47" i="15"/>
  <c r="I47" i="15" s="1"/>
  <c r="H51" i="15"/>
  <c r="I51" i="15" s="1"/>
  <c r="H64" i="15"/>
  <c r="I64" i="15" s="1"/>
  <c r="H68" i="15"/>
  <c r="I68" i="15" s="1"/>
  <c r="H72" i="15"/>
  <c r="I72" i="15" s="1"/>
  <c r="H76" i="15"/>
  <c r="I76" i="15" s="1"/>
  <c r="H79" i="15"/>
  <c r="I79" i="15" s="1"/>
  <c r="H83" i="15"/>
  <c r="I83" i="15" s="1"/>
  <c r="H87" i="15"/>
  <c r="I87" i="15" s="1"/>
  <c r="H42" i="15"/>
  <c r="I42" i="15" s="1"/>
  <c r="H46" i="15"/>
  <c r="I46" i="15" s="1"/>
  <c r="H50" i="15"/>
  <c r="I50" i="15" s="1"/>
  <c r="K51" i="15"/>
  <c r="H54" i="15"/>
  <c r="I54" i="15" s="1"/>
  <c r="H57" i="15"/>
  <c r="J50" i="15"/>
  <c r="N50" i="15" s="1"/>
  <c r="P50" i="15" s="1"/>
  <c r="H71" i="15"/>
  <c r="H78" i="15"/>
  <c r="H82" i="15"/>
  <c r="H86" i="15"/>
  <c r="H90" i="15"/>
  <c r="H75" i="15"/>
  <c r="H41" i="15"/>
  <c r="H45" i="15"/>
  <c r="H49" i="15"/>
  <c r="J54" i="15" l="1"/>
  <c r="N54" i="15" s="1"/>
  <c r="P54" i="15" s="1"/>
  <c r="Q54" i="15" s="1"/>
  <c r="J66" i="15"/>
  <c r="N66" i="15" s="1"/>
  <c r="P66" i="15" s="1"/>
  <c r="Q66" i="15" s="1"/>
  <c r="S66" i="15" s="1"/>
  <c r="J32" i="15"/>
  <c r="N32" i="15" s="1"/>
  <c r="P32" i="15" s="1"/>
  <c r="Q32" i="15" s="1"/>
  <c r="BA18" i="1" s="1"/>
  <c r="J34" i="15"/>
  <c r="N34" i="15" s="1"/>
  <c r="P34" i="15" s="1"/>
  <c r="Q34" i="15" s="1"/>
  <c r="BD77" i="1" s="1"/>
  <c r="J27" i="15"/>
  <c r="N27" i="15" s="1"/>
  <c r="P27" i="15" s="1"/>
  <c r="Q27" i="15" s="1"/>
  <c r="Q26" i="15" s="1"/>
  <c r="J31" i="15"/>
  <c r="AB46" i="1"/>
  <c r="AB48" i="1"/>
  <c r="AB50" i="1"/>
  <c r="AB52" i="1"/>
  <c r="AB51" i="1"/>
  <c r="AB47" i="1"/>
  <c r="AB53" i="1"/>
  <c r="AB49" i="1"/>
  <c r="X55" i="1"/>
  <c r="BC17" i="1"/>
  <c r="BP17" i="1" s="1"/>
  <c r="BC77" i="1"/>
  <c r="BC78" i="1"/>
  <c r="BC24" i="1"/>
  <c r="BC25" i="1"/>
  <c r="BC83" i="1"/>
  <c r="BC88" i="1"/>
  <c r="BC85" i="1"/>
  <c r="BC87" i="1"/>
  <c r="BC70" i="1"/>
  <c r="BP70" i="1" s="1"/>
  <c r="BC84" i="1"/>
  <c r="BC16" i="1"/>
  <c r="AC43" i="1"/>
  <c r="AC41" i="1"/>
  <c r="R3" i="1"/>
  <c r="R6" i="1"/>
  <c r="R16" i="1"/>
  <c r="R26" i="1"/>
  <c r="R45" i="1"/>
  <c r="R13" i="1"/>
  <c r="R29" i="1"/>
  <c r="R27" i="1"/>
  <c r="R32" i="1"/>
  <c r="R35" i="1"/>
  <c r="R59" i="1"/>
  <c r="R61" i="1"/>
  <c r="R17" i="1"/>
  <c r="R15" i="1"/>
  <c r="R2" i="1"/>
  <c r="R22" i="1"/>
  <c r="R25" i="1"/>
  <c r="R14" i="1"/>
  <c r="R28" i="1"/>
  <c r="R5" i="1"/>
  <c r="R39" i="1"/>
  <c r="R23" i="1"/>
  <c r="R24" i="1"/>
  <c r="R60" i="1"/>
  <c r="R4" i="1"/>
  <c r="S18" i="1"/>
  <c r="S8" i="1"/>
  <c r="S7" i="1"/>
  <c r="BF70" i="1"/>
  <c r="BF17" i="1"/>
  <c r="BF84" i="1"/>
  <c r="BF85" i="1"/>
  <c r="BF16" i="1"/>
  <c r="BF15" i="1"/>
  <c r="BF13" i="1"/>
  <c r="BF18" i="1"/>
  <c r="BF83" i="1"/>
  <c r="BF78" i="1"/>
  <c r="BF87" i="1"/>
  <c r="BF77" i="1"/>
  <c r="BF14" i="1"/>
  <c r="BG14" i="1"/>
  <c r="BG13" i="1"/>
  <c r="BG77" i="1"/>
  <c r="BE70" i="1"/>
  <c r="BE17" i="1"/>
  <c r="BE78" i="1"/>
  <c r="BE16" i="1"/>
  <c r="BE85" i="1"/>
  <c r="BE83" i="1"/>
  <c r="BE87" i="1"/>
  <c r="BE84" i="1"/>
  <c r="BE77" i="1"/>
  <c r="AA87" i="1"/>
  <c r="AA62" i="1"/>
  <c r="AA40" i="1"/>
  <c r="AA89" i="1"/>
  <c r="AA86" i="1"/>
  <c r="AA88" i="1"/>
  <c r="AO11" i="1"/>
  <c r="AO40" i="1"/>
  <c r="AO31" i="1"/>
  <c r="AO21" i="1"/>
  <c r="BP21" i="1" s="1"/>
  <c r="AO30" i="1"/>
  <c r="AO10" i="1"/>
  <c r="AO9" i="1"/>
  <c r="AO62" i="1"/>
  <c r="AO12" i="1"/>
  <c r="BH87" i="1"/>
  <c r="BH84" i="1"/>
  <c r="BH85" i="1"/>
  <c r="BH77" i="1"/>
  <c r="BH16" i="1"/>
  <c r="BH88" i="1"/>
  <c r="BH83" i="1"/>
  <c r="BH17" i="1"/>
  <c r="BH78" i="1"/>
  <c r="AR19" i="1"/>
  <c r="BQ19" i="1" s="1"/>
  <c r="AR64" i="1"/>
  <c r="AR45" i="1"/>
  <c r="AQ64" i="1"/>
  <c r="AQ19" i="1"/>
  <c r="BP19" i="1" s="1"/>
  <c r="AQ45" i="1"/>
  <c r="BP45" i="1" s="1"/>
  <c r="V64" i="1"/>
  <c r="AH64" i="1" s="1"/>
  <c r="V21" i="1"/>
  <c r="Y37" i="1"/>
  <c r="Y68" i="1"/>
  <c r="Y19" i="1"/>
  <c r="Y66" i="1"/>
  <c r="Y70" i="1"/>
  <c r="Y73" i="1"/>
  <c r="S36" i="15"/>
  <c r="J25" i="15"/>
  <c r="N25" i="15" s="1"/>
  <c r="P25" i="15" s="1"/>
  <c r="Q25" i="15" s="1"/>
  <c r="J48" i="15"/>
  <c r="N48" i="15" s="1"/>
  <c r="P48" i="15" s="1"/>
  <c r="Q48" i="15" s="1"/>
  <c r="S48" i="15" s="1"/>
  <c r="J15" i="15"/>
  <c r="N15" i="15" s="1"/>
  <c r="P15" i="15" s="1"/>
  <c r="Q15" i="15" s="1"/>
  <c r="S15" i="15" s="1"/>
  <c r="J59" i="15"/>
  <c r="N59" i="15" s="1"/>
  <c r="P59" i="15" s="1"/>
  <c r="Q59" i="15" s="1"/>
  <c r="S59" i="15" s="1"/>
  <c r="J38" i="15"/>
  <c r="N38" i="15" s="1"/>
  <c r="P38" i="15" s="1"/>
  <c r="Q38" i="15" s="1"/>
  <c r="J17" i="15"/>
  <c r="N17" i="15" s="1"/>
  <c r="P17" i="15" s="1"/>
  <c r="Q17" i="15" s="1"/>
  <c r="S17" i="15" s="1"/>
  <c r="S74" i="15"/>
  <c r="S61" i="15"/>
  <c r="S33" i="15"/>
  <c r="S60" i="15"/>
  <c r="S30" i="15"/>
  <c r="S35" i="15"/>
  <c r="S37" i="15"/>
  <c r="S22" i="15"/>
  <c r="S19" i="15"/>
  <c r="J52" i="15"/>
  <c r="N52" i="15" s="1"/>
  <c r="P52" i="15" s="1"/>
  <c r="Q52" i="15" s="1"/>
  <c r="S52" i="15" s="1"/>
  <c r="S24" i="15"/>
  <c r="S23" i="15"/>
  <c r="J65" i="15"/>
  <c r="N65" i="15" s="1"/>
  <c r="P65" i="15" s="1"/>
  <c r="Q65" i="15" s="1"/>
  <c r="S65" i="15" s="1"/>
  <c r="J21" i="15"/>
  <c r="N21" i="15" s="1"/>
  <c r="P21" i="15" s="1"/>
  <c r="Q21" i="15" s="1"/>
  <c r="J13" i="15"/>
  <c r="N13" i="15" s="1"/>
  <c r="P13" i="15" s="1"/>
  <c r="Q13" i="15" s="1"/>
  <c r="N31" i="15"/>
  <c r="P31" i="15" s="1"/>
  <c r="Q31" i="15" s="1"/>
  <c r="S31" i="15" s="1"/>
  <c r="S16" i="15"/>
  <c r="S18" i="15"/>
  <c r="S20" i="15"/>
  <c r="S11" i="15"/>
  <c r="N29" i="15"/>
  <c r="P29" i="15" s="1"/>
  <c r="Q29" i="15" s="1"/>
  <c r="S10" i="15"/>
  <c r="I90" i="15"/>
  <c r="J90" i="15" s="1"/>
  <c r="N90" i="15" s="1"/>
  <c r="P90" i="15" s="1"/>
  <c r="Q90" i="15" s="1"/>
  <c r="S90" i="15" s="1"/>
  <c r="H91" i="15"/>
  <c r="J88" i="15"/>
  <c r="N88" i="15" s="1"/>
  <c r="P88" i="15" s="1"/>
  <c r="Q88" i="15" s="1"/>
  <c r="B22" i="10" s="1"/>
  <c r="S62" i="15"/>
  <c r="Q63" i="15"/>
  <c r="S63" i="15" s="1"/>
  <c r="J79" i="15"/>
  <c r="N79" i="15" s="1"/>
  <c r="P79" i="15" s="1"/>
  <c r="Q79" i="15" s="1"/>
  <c r="I86" i="15"/>
  <c r="J86" i="15" s="1"/>
  <c r="N86" i="15" s="1"/>
  <c r="P86" i="15" s="1"/>
  <c r="Q86" i="15" s="1"/>
  <c r="I82" i="15"/>
  <c r="J82" i="15" s="1"/>
  <c r="N82" i="15" s="1"/>
  <c r="P82" i="15" s="1"/>
  <c r="Q82" i="15" s="1"/>
  <c r="S82" i="15" s="1"/>
  <c r="I39" i="15"/>
  <c r="J39" i="15" s="1"/>
  <c r="N39" i="15" s="1"/>
  <c r="P39" i="15" s="1"/>
  <c r="Q39" i="15" s="1"/>
  <c r="I78" i="15"/>
  <c r="J78" i="15" s="1"/>
  <c r="N78" i="15" s="1"/>
  <c r="P78" i="15" s="1"/>
  <c r="Q78" i="15" s="1"/>
  <c r="S78" i="15" s="1"/>
  <c r="J73" i="15"/>
  <c r="N73" i="15" s="1"/>
  <c r="P73" i="15" s="1"/>
  <c r="Q73" i="15" s="1"/>
  <c r="I71" i="15"/>
  <c r="J71" i="15" s="1"/>
  <c r="N71" i="15" s="1"/>
  <c r="P71" i="15" s="1"/>
  <c r="J51" i="15"/>
  <c r="N51" i="15" s="1"/>
  <c r="P51" i="15" s="1"/>
  <c r="Q51" i="15" s="1"/>
  <c r="S51" i="15" s="1"/>
  <c r="J83" i="15"/>
  <c r="N83" i="15" s="1"/>
  <c r="P83" i="15" s="1"/>
  <c r="Q83" i="15" s="1"/>
  <c r="J69" i="15"/>
  <c r="N69" i="15" s="1"/>
  <c r="P69" i="15" s="1"/>
  <c r="Q69" i="15" s="1"/>
  <c r="J64" i="15"/>
  <c r="N64" i="15" s="1"/>
  <c r="P64" i="15" s="1"/>
  <c r="Q64" i="15" s="1"/>
  <c r="I45" i="15"/>
  <c r="J45" i="15" s="1"/>
  <c r="N45" i="15" s="1"/>
  <c r="P45" i="15" s="1"/>
  <c r="Q45" i="15" s="1"/>
  <c r="S45" i="15" s="1"/>
  <c r="J89" i="15"/>
  <c r="N89" i="15" s="1"/>
  <c r="P89" i="15" s="1"/>
  <c r="Q89" i="15" s="1"/>
  <c r="S89" i="15" s="1"/>
  <c r="J87" i="15"/>
  <c r="N87" i="15" s="1"/>
  <c r="P87" i="15" s="1"/>
  <c r="Q87" i="15" s="1"/>
  <c r="I41" i="15"/>
  <c r="J41" i="15" s="1"/>
  <c r="N41" i="15" s="1"/>
  <c r="P41" i="15" s="1"/>
  <c r="Q41" i="15" s="1"/>
  <c r="J85" i="15"/>
  <c r="N85" i="15" s="1"/>
  <c r="P85" i="15" s="1"/>
  <c r="Q85" i="15" s="1"/>
  <c r="J80" i="15"/>
  <c r="N80" i="15" s="1"/>
  <c r="P80" i="15" s="1"/>
  <c r="Q80" i="15" s="1"/>
  <c r="I49" i="15"/>
  <c r="J49" i="15" s="1"/>
  <c r="N49" i="15" s="1"/>
  <c r="P49" i="15" s="1"/>
  <c r="Q49" i="15" s="1"/>
  <c r="I75" i="15"/>
  <c r="J75" i="15" s="1"/>
  <c r="N75" i="15" s="1"/>
  <c r="P75" i="15" s="1"/>
  <c r="Q75" i="15" s="1"/>
  <c r="I57" i="15"/>
  <c r="J57" i="15" s="1"/>
  <c r="N57" i="15" s="1"/>
  <c r="P57" i="15" s="1"/>
  <c r="Q57" i="15" s="1"/>
  <c r="J81" i="15"/>
  <c r="N81" i="15" s="1"/>
  <c r="P81" i="15" s="1"/>
  <c r="Q81" i="15" s="1"/>
  <c r="S81" i="15" s="1"/>
  <c r="J46" i="15"/>
  <c r="N46" i="15" s="1"/>
  <c r="P46" i="15" s="1"/>
  <c r="Q46" i="15" s="1"/>
  <c r="S46" i="15" s="1"/>
  <c r="J47" i="15"/>
  <c r="N47" i="15" s="1"/>
  <c r="P47" i="15" s="1"/>
  <c r="Q47" i="15" s="1"/>
  <c r="R36" i="1" s="1"/>
  <c r="J76" i="15"/>
  <c r="N76" i="15" s="1"/>
  <c r="P76" i="15" s="1"/>
  <c r="Q76" i="15" s="1"/>
  <c r="J68" i="15"/>
  <c r="N68" i="15" s="1"/>
  <c r="P68" i="15" s="1"/>
  <c r="Q68" i="15" s="1"/>
  <c r="J84" i="15"/>
  <c r="N84" i="15" s="1"/>
  <c r="P84" i="15" s="1"/>
  <c r="J42" i="15"/>
  <c r="N42" i="15" s="1"/>
  <c r="P42" i="15" s="1"/>
  <c r="Q42" i="15" s="1"/>
  <c r="AU49" i="1" s="1"/>
  <c r="J43" i="15"/>
  <c r="N43" i="15" s="1"/>
  <c r="P43" i="15" s="1"/>
  <c r="Q43" i="15" s="1"/>
  <c r="AV50" i="1" s="1"/>
  <c r="J44" i="15"/>
  <c r="N44" i="15" s="1"/>
  <c r="P44" i="15" s="1"/>
  <c r="Q44" i="15" s="1"/>
  <c r="J72" i="15"/>
  <c r="N72" i="15" s="1"/>
  <c r="P72" i="15" s="1"/>
  <c r="Q72" i="15" s="1"/>
  <c r="S72" i="15" s="1"/>
  <c r="BQ18" i="1" l="1"/>
  <c r="BD14" i="1"/>
  <c r="S27" i="15"/>
  <c r="S34" i="15"/>
  <c r="BD15" i="1"/>
  <c r="BD13" i="1"/>
  <c r="S32" i="15"/>
  <c r="BD16" i="1"/>
  <c r="BQ16" i="1" s="1"/>
  <c r="T9" i="1"/>
  <c r="T10" i="1"/>
  <c r="T30" i="1"/>
  <c r="T31" i="1"/>
  <c r="AZ39" i="1"/>
  <c r="BP39" i="1" s="1"/>
  <c r="AZ61" i="1"/>
  <c r="BP61" i="1" s="1"/>
  <c r="AZ51" i="1"/>
  <c r="AE85" i="1"/>
  <c r="AE82" i="1"/>
  <c r="AE23" i="1"/>
  <c r="AH23" i="1" s="1"/>
  <c r="AE31" i="1"/>
  <c r="AE75" i="1"/>
  <c r="AE86" i="1"/>
  <c r="AH86" i="1" s="1"/>
  <c r="AE3" i="1"/>
  <c r="AH3" i="1" s="1"/>
  <c r="AE6" i="1"/>
  <c r="AH6" i="1" s="1"/>
  <c r="AE9" i="1"/>
  <c r="AE16" i="1"/>
  <c r="AH16" i="1" s="1"/>
  <c r="AE26" i="1"/>
  <c r="AH26" i="1" s="1"/>
  <c r="AE20" i="1"/>
  <c r="AH20" i="1" s="1"/>
  <c r="AE4" i="1"/>
  <c r="AH4" i="1" s="1"/>
  <c r="AE7" i="1"/>
  <c r="AH7" i="1" s="1"/>
  <c r="AE73" i="1"/>
  <c r="AH73" i="1" s="1"/>
  <c r="AE87" i="1"/>
  <c r="AH87" i="1" s="1"/>
  <c r="AE89" i="1"/>
  <c r="AH89" i="1" s="1"/>
  <c r="AE10" i="1"/>
  <c r="AE18" i="1"/>
  <c r="AH18" i="1" s="1"/>
  <c r="AE27" i="1"/>
  <c r="AH27" i="1" s="1"/>
  <c r="AE68" i="1"/>
  <c r="AH68" i="1" s="1"/>
  <c r="AE14" i="1"/>
  <c r="AH14" i="1" s="1"/>
  <c r="AE84" i="1"/>
  <c r="AE15" i="1"/>
  <c r="AH15" i="1" s="1"/>
  <c r="AE30" i="1"/>
  <c r="AE79" i="1"/>
  <c r="AE5" i="1"/>
  <c r="AH5" i="1" s="1"/>
  <c r="AE19" i="1"/>
  <c r="AH19" i="1" s="1"/>
  <c r="AE2" i="1"/>
  <c r="AH2" i="1" s="1"/>
  <c r="AE22" i="1"/>
  <c r="AH22" i="1" s="1"/>
  <c r="AE25" i="1"/>
  <c r="AH25" i="1" s="1"/>
  <c r="AE74" i="1"/>
  <c r="AH74" i="1" s="1"/>
  <c r="AE77" i="1"/>
  <c r="AE8" i="1"/>
  <c r="AH8" i="1" s="1"/>
  <c r="AE78" i="1"/>
  <c r="AE70" i="1"/>
  <c r="AH70" i="1" s="1"/>
  <c r="AE11" i="1"/>
  <c r="AE17" i="1"/>
  <c r="AH17" i="1" s="1"/>
  <c r="AE29" i="1"/>
  <c r="AH29" i="1" s="1"/>
  <c r="AE81" i="1"/>
  <c r="AE67" i="1"/>
  <c r="AH67" i="1" s="1"/>
  <c r="AE83" i="1"/>
  <c r="AE88" i="1"/>
  <c r="AH88" i="1" s="1"/>
  <c r="AE12" i="1"/>
  <c r="AE21" i="1"/>
  <c r="AH21" i="1" s="1"/>
  <c r="AE76" i="1"/>
  <c r="AE80" i="1"/>
  <c r="AE66" i="1"/>
  <c r="AH66" i="1" s="1"/>
  <c r="AE13" i="1"/>
  <c r="AH13" i="1" s="1"/>
  <c r="AE24" i="1"/>
  <c r="AH24" i="1" s="1"/>
  <c r="AE28" i="1"/>
  <c r="AH28" i="1" s="1"/>
  <c r="BO61" i="1"/>
  <c r="BO59" i="1"/>
  <c r="BO60" i="1"/>
  <c r="BO62" i="1"/>
  <c r="Z85" i="1"/>
  <c r="Z82" i="1"/>
  <c r="Z79" i="1"/>
  <c r="Z77" i="1"/>
  <c r="Z84" i="1"/>
  <c r="Z78" i="1"/>
  <c r="Z81" i="1"/>
  <c r="Z83" i="1"/>
  <c r="Z75" i="1"/>
  <c r="Z76" i="1"/>
  <c r="Z80" i="1"/>
  <c r="AG38" i="1"/>
  <c r="AG62" i="1"/>
  <c r="AG34" i="1"/>
  <c r="AG36" i="1"/>
  <c r="AG47" i="1"/>
  <c r="AG49" i="1"/>
  <c r="AG51" i="1"/>
  <c r="AG55" i="1"/>
  <c r="AG60" i="1"/>
  <c r="AG39" i="1"/>
  <c r="AG32" i="1"/>
  <c r="AG35" i="1"/>
  <c r="AG37" i="1"/>
  <c r="AG46" i="1"/>
  <c r="AG48" i="1"/>
  <c r="AG50" i="1"/>
  <c r="AG59" i="1"/>
  <c r="AG61" i="1"/>
  <c r="AG33" i="1"/>
  <c r="AG40" i="1"/>
  <c r="AG43" i="1"/>
  <c r="AG52" i="1"/>
  <c r="AG41" i="1"/>
  <c r="AG53" i="1"/>
  <c r="AG45" i="1"/>
  <c r="AS52" i="1"/>
  <c r="AS46" i="1"/>
  <c r="AS51" i="1"/>
  <c r="AJ12" i="1"/>
  <c r="BP12" i="1" s="1"/>
  <c r="AJ11" i="1"/>
  <c r="AJ31" i="1"/>
  <c r="AJ62" i="1"/>
  <c r="BP62" i="1" s="1"/>
  <c r="AJ9" i="1"/>
  <c r="AJ10" i="1"/>
  <c r="AJ40" i="1"/>
  <c r="AJ30" i="1"/>
  <c r="AW89" i="1"/>
  <c r="AW52" i="1"/>
  <c r="BP52" i="1" s="1"/>
  <c r="AW53" i="1"/>
  <c r="AW37" i="1"/>
  <c r="BP37" i="1" s="1"/>
  <c r="AW35" i="1"/>
  <c r="BP35" i="1" s="1"/>
  <c r="AW86" i="1"/>
  <c r="BB14" i="1"/>
  <c r="BB16" i="1"/>
  <c r="BB13" i="1"/>
  <c r="BB15" i="1"/>
  <c r="BB25" i="1"/>
  <c r="BB77" i="1"/>
  <c r="BN28" i="1"/>
  <c r="BN23" i="1"/>
  <c r="BN29" i="1"/>
  <c r="BN24" i="1"/>
  <c r="BP24" i="1" s="1"/>
  <c r="BN30" i="1"/>
  <c r="BN27" i="1"/>
  <c r="BN22" i="1"/>
  <c r="BN31" i="1"/>
  <c r="BN25" i="1"/>
  <c r="BN26" i="1"/>
  <c r="BJ78" i="1"/>
  <c r="BJ77" i="1"/>
  <c r="BJ16" i="1"/>
  <c r="BJ17" i="1"/>
  <c r="BR17" i="1" s="1"/>
  <c r="AM14" i="1"/>
  <c r="AM28" i="1"/>
  <c r="AM66" i="1"/>
  <c r="BP66" i="1" s="1"/>
  <c r="AM23" i="1"/>
  <c r="BP23" i="1" s="1"/>
  <c r="AM38" i="1"/>
  <c r="BP38" i="1" s="1"/>
  <c r="AM75" i="1"/>
  <c r="BP75" i="1" s="1"/>
  <c r="AM81" i="1"/>
  <c r="AM86" i="1"/>
  <c r="AM80" i="1"/>
  <c r="BP80" i="1" s="1"/>
  <c r="AM3" i="1"/>
  <c r="BP3" i="1" s="1"/>
  <c r="AM41" i="1"/>
  <c r="BP41" i="1" s="1"/>
  <c r="AM88" i="1"/>
  <c r="AM77" i="1"/>
  <c r="BP77" i="1" s="1"/>
  <c r="AM78" i="1"/>
  <c r="BP78" i="1" s="1"/>
  <c r="AM89" i="1"/>
  <c r="AM84" i="1"/>
  <c r="BP84" i="1" s="1"/>
  <c r="AM4" i="1"/>
  <c r="BP4" i="1" s="1"/>
  <c r="AM7" i="1"/>
  <c r="BP7" i="1" s="1"/>
  <c r="AM73" i="1"/>
  <c r="BP73" i="1" s="1"/>
  <c r="AM76" i="1"/>
  <c r="AM43" i="1"/>
  <c r="BP43" i="1" s="1"/>
  <c r="AM74" i="1"/>
  <c r="AM68" i="1"/>
  <c r="BP68" i="1" s="1"/>
  <c r="AM87" i="1"/>
  <c r="BP87" i="1" s="1"/>
  <c r="AM22" i="1"/>
  <c r="AM8" i="1"/>
  <c r="BP8" i="1" s="1"/>
  <c r="AM33" i="1"/>
  <c r="BP33" i="1" s="1"/>
  <c r="AM46" i="1"/>
  <c r="AM48" i="1"/>
  <c r="AM50" i="1"/>
  <c r="BP50" i="1" s="1"/>
  <c r="AM59" i="1"/>
  <c r="BP59" i="1" s="1"/>
  <c r="AM79" i="1"/>
  <c r="BP79" i="1" s="1"/>
  <c r="AM85" i="1"/>
  <c r="BP85" i="1" s="1"/>
  <c r="AM82" i="1"/>
  <c r="AM34" i="1"/>
  <c r="BP34" i="1" s="1"/>
  <c r="AM60" i="1"/>
  <c r="BP60" i="1" s="1"/>
  <c r="AM29" i="1"/>
  <c r="AM47" i="1"/>
  <c r="AM83" i="1"/>
  <c r="BP83" i="1" s="1"/>
  <c r="AM49" i="1"/>
  <c r="BP49" i="1" s="1"/>
  <c r="AM67" i="1"/>
  <c r="AM13" i="1"/>
  <c r="AM55" i="1"/>
  <c r="BI84" i="1"/>
  <c r="BI87" i="1"/>
  <c r="BI85" i="1"/>
  <c r="BI15" i="1"/>
  <c r="BR15" i="1" s="1"/>
  <c r="BI77" i="1"/>
  <c r="BI83" i="1"/>
  <c r="BI16" i="1"/>
  <c r="BI78" i="1"/>
  <c r="BI70" i="1"/>
  <c r="BR70" i="1" s="1"/>
  <c r="BQ45" i="1"/>
  <c r="BR45" i="1"/>
  <c r="AT53" i="1"/>
  <c r="AT48" i="1"/>
  <c r="AT47" i="1"/>
  <c r="AY89" i="1"/>
  <c r="AY37" i="1"/>
  <c r="AY35" i="1"/>
  <c r="AY36" i="1"/>
  <c r="AY86" i="1"/>
  <c r="BQ17" i="1"/>
  <c r="AP11" i="1"/>
  <c r="AP40" i="1"/>
  <c r="AP12" i="1"/>
  <c r="AP21" i="1"/>
  <c r="BQ21" i="1" s="1"/>
  <c r="AP10" i="1"/>
  <c r="AP9" i="1"/>
  <c r="AP62" i="1"/>
  <c r="BQ62" i="1" s="1"/>
  <c r="AI64" i="1"/>
  <c r="AI55" i="1"/>
  <c r="U12" i="1"/>
  <c r="U11" i="1"/>
  <c r="BQ70" i="1"/>
  <c r="AN80" i="1"/>
  <c r="AN14" i="1"/>
  <c r="AN66" i="1"/>
  <c r="AN84" i="1"/>
  <c r="BQ84" i="1" s="1"/>
  <c r="AN13" i="1"/>
  <c r="AN83" i="1"/>
  <c r="BQ83" i="1" s="1"/>
  <c r="AN41" i="1"/>
  <c r="AN79" i="1"/>
  <c r="AN8" i="1"/>
  <c r="AN4" i="1"/>
  <c r="AN7" i="1"/>
  <c r="AN73" i="1"/>
  <c r="AN46" i="1"/>
  <c r="AN48" i="1"/>
  <c r="AN77" i="1"/>
  <c r="BQ77" i="1" s="1"/>
  <c r="AN85" i="1"/>
  <c r="BQ85" i="1" s="1"/>
  <c r="AN35" i="1"/>
  <c r="AN37" i="1"/>
  <c r="AN68" i="1"/>
  <c r="AN87" i="1"/>
  <c r="AN50" i="1"/>
  <c r="AN59" i="1"/>
  <c r="BQ59" i="1" s="1"/>
  <c r="AN89" i="1"/>
  <c r="AN75" i="1"/>
  <c r="BQ75" i="1" s="1"/>
  <c r="AN55" i="1"/>
  <c r="AN36" i="1"/>
  <c r="AN38" i="1"/>
  <c r="AN47" i="1"/>
  <c r="AN86" i="1"/>
  <c r="AN60" i="1"/>
  <c r="BQ60" i="1" s="1"/>
  <c r="AN78" i="1"/>
  <c r="BQ78" i="1" s="1"/>
  <c r="AN33" i="1"/>
  <c r="AN34" i="1"/>
  <c r="AN49" i="1"/>
  <c r="AN43" i="1"/>
  <c r="AN3" i="1"/>
  <c r="AF34" i="1"/>
  <c r="AF36" i="1"/>
  <c r="AF47" i="1"/>
  <c r="AF49" i="1"/>
  <c r="AF51" i="1"/>
  <c r="AF55" i="1"/>
  <c r="AF60" i="1"/>
  <c r="AF45" i="1"/>
  <c r="AF32" i="1"/>
  <c r="AF35" i="1"/>
  <c r="AF37" i="1"/>
  <c r="AF46" i="1"/>
  <c r="AF48" i="1"/>
  <c r="AF50" i="1"/>
  <c r="AF59" i="1"/>
  <c r="AF61" i="1"/>
  <c r="AF52" i="1"/>
  <c r="AF33" i="1"/>
  <c r="AF40" i="1"/>
  <c r="AF43" i="1"/>
  <c r="AF38" i="1"/>
  <c r="AF62" i="1"/>
  <c r="AF53" i="1"/>
  <c r="AF39" i="1"/>
  <c r="AF41" i="1"/>
  <c r="BK26" i="1"/>
  <c r="BK5" i="1"/>
  <c r="AD63" i="1"/>
  <c r="AH63" i="1" s="1"/>
  <c r="S25" i="15"/>
  <c r="S87" i="15"/>
  <c r="S88" i="15"/>
  <c r="S42" i="15"/>
  <c r="S47" i="15"/>
  <c r="S75" i="15"/>
  <c r="S41" i="15"/>
  <c r="S86" i="15"/>
  <c r="S43" i="15"/>
  <c r="S76" i="15"/>
  <c r="S44" i="15"/>
  <c r="S64" i="15"/>
  <c r="S29" i="15"/>
  <c r="S69" i="15"/>
  <c r="S13" i="15"/>
  <c r="S68" i="15"/>
  <c r="S85" i="15"/>
  <c r="S21" i="15"/>
  <c r="S79" i="15"/>
  <c r="S26" i="15"/>
  <c r="S80" i="15"/>
  <c r="S49" i="15"/>
  <c r="Q50" i="15"/>
  <c r="Q84" i="15"/>
  <c r="S84" i="15" s="1"/>
  <c r="S83" i="15"/>
  <c r="S73" i="15"/>
  <c r="Q70" i="15"/>
  <c r="S70" i="15" s="1"/>
  <c r="Q71" i="15"/>
  <c r="S71" i="15" s="1"/>
  <c r="I91" i="15"/>
  <c r="J91" i="15" s="1"/>
  <c r="N91" i="15" s="1"/>
  <c r="P91" i="15" s="1"/>
  <c r="Q91" i="15" s="1"/>
  <c r="H92" i="15"/>
  <c r="AH59" i="1" l="1"/>
  <c r="BQ12" i="1"/>
  <c r="AH52" i="1"/>
  <c r="AH55" i="1"/>
  <c r="AH36" i="1"/>
  <c r="AH43" i="1"/>
  <c r="AH51" i="1"/>
  <c r="AH34" i="1"/>
  <c r="AH75" i="1"/>
  <c r="AH31" i="1"/>
  <c r="AH61" i="1"/>
  <c r="AH46" i="1"/>
  <c r="AH40" i="1"/>
  <c r="AH41" i="1"/>
  <c r="AH60" i="1"/>
  <c r="AH39" i="1"/>
  <c r="AH48" i="1"/>
  <c r="AH32" i="1"/>
  <c r="BP46" i="1"/>
  <c r="BQ11" i="1"/>
  <c r="AH12" i="1"/>
  <c r="AH81" i="1"/>
  <c r="BP13" i="1"/>
  <c r="BP30" i="1"/>
  <c r="AH78" i="1"/>
  <c r="AH82" i="1"/>
  <c r="BQ35" i="1"/>
  <c r="AH53" i="1"/>
  <c r="BP51" i="1"/>
  <c r="AH62" i="1"/>
  <c r="AH49" i="1"/>
  <c r="BQ86" i="1"/>
  <c r="BQ15" i="1"/>
  <c r="AH84" i="1"/>
  <c r="AH38" i="1"/>
  <c r="AH33" i="1"/>
  <c r="AH50" i="1"/>
  <c r="AH35" i="1"/>
  <c r="AH47" i="1"/>
  <c r="AH45" i="1"/>
  <c r="AH85" i="1"/>
  <c r="AH37" i="1"/>
  <c r="AH11" i="1"/>
  <c r="BR16" i="1"/>
  <c r="BP28" i="1"/>
  <c r="BP25" i="1"/>
  <c r="AH80" i="1"/>
  <c r="AH76" i="1"/>
  <c r="BR3" i="1"/>
  <c r="BQ3" i="1"/>
  <c r="BQ73" i="1"/>
  <c r="BR73" i="1"/>
  <c r="BR77" i="1"/>
  <c r="BQ9" i="1"/>
  <c r="BR9" i="1"/>
  <c r="BP9" i="1"/>
  <c r="BQ43" i="1"/>
  <c r="BR43" i="1"/>
  <c r="BQ7" i="1"/>
  <c r="BR7" i="1"/>
  <c r="BQ4" i="1"/>
  <c r="BR4" i="1"/>
  <c r="BR85" i="1"/>
  <c r="BR49" i="1"/>
  <c r="BQ49" i="1"/>
  <c r="BR34" i="1"/>
  <c r="BQ34" i="1"/>
  <c r="BR50" i="1"/>
  <c r="BQ50" i="1"/>
  <c r="BQ8" i="1"/>
  <c r="BR8" i="1"/>
  <c r="BQ36" i="1"/>
  <c r="BP86" i="1"/>
  <c r="BR11" i="1"/>
  <c r="BP11" i="1"/>
  <c r="BR33" i="1"/>
  <c r="BQ33" i="1"/>
  <c r="BQ87" i="1"/>
  <c r="BR87" i="1"/>
  <c r="BQ79" i="1"/>
  <c r="BR79" i="1"/>
  <c r="BR84" i="1"/>
  <c r="BR12" i="1"/>
  <c r="BQ68" i="1"/>
  <c r="BR68" i="1"/>
  <c r="BQ41" i="1"/>
  <c r="BR41" i="1"/>
  <c r="BQ37" i="1"/>
  <c r="BQ89" i="1"/>
  <c r="BP53" i="1"/>
  <c r="AH83" i="1"/>
  <c r="BQ13" i="1"/>
  <c r="BR13" i="1"/>
  <c r="BP48" i="1"/>
  <c r="BP15" i="1"/>
  <c r="BP16" i="1"/>
  <c r="BL6" i="1"/>
  <c r="BL27" i="1"/>
  <c r="BR47" i="1"/>
  <c r="BQ47" i="1"/>
  <c r="BP55" i="1"/>
  <c r="BQ55" i="1"/>
  <c r="BP89" i="1"/>
  <c r="BQ38" i="1"/>
  <c r="BR38" i="1"/>
  <c r="BQ66" i="1"/>
  <c r="BR66" i="1"/>
  <c r="BQ64" i="1"/>
  <c r="BP64" i="1"/>
  <c r="BR78" i="1"/>
  <c r="AH30" i="1"/>
  <c r="BQ48" i="1"/>
  <c r="BR48" i="1"/>
  <c r="BR14" i="1"/>
  <c r="BQ14" i="1"/>
  <c r="BP47" i="1"/>
  <c r="AH77" i="1"/>
  <c r="AH10" i="1"/>
  <c r="BM5" i="1"/>
  <c r="BP5" i="1" s="1"/>
  <c r="BM27" i="1"/>
  <c r="BM6" i="1"/>
  <c r="BM26" i="1"/>
  <c r="BP26" i="1" s="1"/>
  <c r="BR46" i="1"/>
  <c r="BQ46" i="1"/>
  <c r="BR80" i="1"/>
  <c r="BQ80" i="1"/>
  <c r="BR83" i="1"/>
  <c r="BP29" i="1"/>
  <c r="BP22" i="1"/>
  <c r="BP14" i="1"/>
  <c r="BP31" i="1"/>
  <c r="BR10" i="1"/>
  <c r="BQ10" i="1"/>
  <c r="BP10" i="1"/>
  <c r="AH79" i="1"/>
  <c r="AH9" i="1"/>
  <c r="S91" i="15"/>
  <c r="S50" i="15"/>
  <c r="I92" i="15"/>
  <c r="J92" i="15" s="1"/>
  <c r="N92" i="15" s="1"/>
  <c r="P92" i="15" s="1"/>
  <c r="Q92" i="15" s="1"/>
  <c r="H93" i="15"/>
  <c r="AL82" i="1" l="1"/>
  <c r="BP82" i="1" s="1"/>
  <c r="AL81" i="1"/>
  <c r="BP81" i="1" s="1"/>
  <c r="AL76" i="1"/>
  <c r="BP76" i="1" s="1"/>
  <c r="AL74" i="1"/>
  <c r="BP74" i="1" s="1"/>
  <c r="AL88" i="1"/>
  <c r="BP88" i="1" s="1"/>
  <c r="AL67" i="1"/>
  <c r="BP67" i="1" s="1"/>
  <c r="BP27" i="1"/>
  <c r="BP6" i="1"/>
  <c r="S92" i="15"/>
  <c r="H94" i="15"/>
  <c r="I93" i="15"/>
  <c r="J93" i="15"/>
  <c r="N93" i="15" s="1"/>
  <c r="P93" i="15" s="1"/>
  <c r="Q93" i="15" s="1"/>
  <c r="S93" i="15" s="1"/>
  <c r="I94" i="15" l="1"/>
  <c r="J94" i="15" s="1"/>
  <c r="N94" i="15" s="1"/>
  <c r="P94" i="15" s="1"/>
  <c r="Q94" i="15" s="1"/>
  <c r="H95" i="15"/>
  <c r="S94" i="15" l="1"/>
  <c r="I95" i="15"/>
  <c r="H97" i="15"/>
  <c r="J95" i="15"/>
  <c r="N95" i="15" s="1"/>
  <c r="P95" i="15" s="1"/>
  <c r="Q95" i="15" s="1"/>
  <c r="I97" i="15" l="1"/>
  <c r="J97" i="15" s="1"/>
  <c r="N97" i="15" s="1"/>
  <c r="P97" i="15" s="1"/>
  <c r="Q97" i="15" s="1"/>
  <c r="AK40" i="1" s="1"/>
  <c r="BR40" i="1" l="1"/>
  <c r="BP40" i="1"/>
  <c r="BQ40" i="1"/>
  <c r="Q2" i="15"/>
  <c r="E93" i="14"/>
  <c r="F93" i="14" s="1"/>
  <c r="E92" i="14"/>
  <c r="F92" i="14" s="1"/>
  <c r="E89" i="14"/>
  <c r="E91" i="14" s="1"/>
  <c r="F91" i="14" s="1"/>
  <c r="E88" i="14"/>
  <c r="F88" i="14" s="1"/>
  <c r="E87" i="14"/>
  <c r="F87" i="14" s="1"/>
  <c r="E84" i="14"/>
  <c r="E86" i="14" s="1"/>
  <c r="F86" i="14" s="1"/>
  <c r="E83" i="14"/>
  <c r="F83" i="14" s="1"/>
  <c r="E82" i="14"/>
  <c r="F82" i="14" s="1"/>
  <c r="E79" i="14"/>
  <c r="F79" i="14" s="1"/>
  <c r="E76" i="14"/>
  <c r="E78" i="14" s="1"/>
  <c r="F78" i="14" s="1"/>
  <c r="E73" i="14"/>
  <c r="F73" i="14" s="1"/>
  <c r="E69" i="14"/>
  <c r="F69" i="14" s="1"/>
  <c r="E66" i="14"/>
  <c r="F66" i="14" s="1"/>
  <c r="E65" i="14"/>
  <c r="F65" i="14" s="1"/>
  <c r="E63" i="14"/>
  <c r="E64" i="14" s="1"/>
  <c r="F64" i="14" s="1"/>
  <c r="E61" i="14"/>
  <c r="F61" i="14" s="1"/>
  <c r="E59" i="14"/>
  <c r="E60" i="14" s="1"/>
  <c r="F60" i="14" s="1"/>
  <c r="E56" i="14"/>
  <c r="E57" i="14" s="1"/>
  <c r="E47" i="14"/>
  <c r="E54" i="14" s="1"/>
  <c r="F54" i="14" s="1"/>
  <c r="E37" i="14"/>
  <c r="F37" i="14" s="1"/>
  <c r="E35" i="14"/>
  <c r="E36" i="14" s="1"/>
  <c r="F36" i="14" s="1"/>
  <c r="E34" i="14"/>
  <c r="F34" i="14" s="1"/>
  <c r="E33" i="14"/>
  <c r="F33" i="14" s="1"/>
  <c r="E31" i="14"/>
  <c r="E32" i="14" s="1"/>
  <c r="F32" i="14" s="1"/>
  <c r="E29" i="14"/>
  <c r="E30" i="14" s="1"/>
  <c r="F30" i="14" s="1"/>
  <c r="E28" i="14"/>
  <c r="F28" i="14" s="1"/>
  <c r="E26" i="14"/>
  <c r="E27" i="14" s="1"/>
  <c r="F27" i="14" s="1"/>
  <c r="E25" i="14"/>
  <c r="F25" i="14" s="1"/>
  <c r="E24" i="14"/>
  <c r="F24" i="14" s="1"/>
  <c r="E22" i="14"/>
  <c r="F22" i="14" s="1"/>
  <c r="E18" i="14"/>
  <c r="E21" i="14" s="1"/>
  <c r="F21" i="14" s="1"/>
  <c r="E16" i="14"/>
  <c r="F16" i="14" s="1"/>
  <c r="E7" i="14"/>
  <c r="E10" i="14" s="1"/>
  <c r="F10" i="14" s="1"/>
  <c r="D234" i="13"/>
  <c r="F234" i="13" s="1"/>
  <c r="D233" i="13"/>
  <c r="F233" i="13" s="1"/>
  <c r="D232" i="13"/>
  <c r="F232" i="13" s="1"/>
  <c r="D231" i="13"/>
  <c r="F231" i="13" s="1"/>
  <c r="D230" i="13"/>
  <c r="F230" i="13" s="1"/>
  <c r="D229" i="13"/>
  <c r="F229" i="13" s="1"/>
  <c r="D228" i="13"/>
  <c r="D222" i="13"/>
  <c r="F222" i="13" s="1"/>
  <c r="D221" i="13"/>
  <c r="F221" i="13" s="1"/>
  <c r="D220" i="13"/>
  <c r="F220" i="13" s="1"/>
  <c r="D219" i="13"/>
  <c r="F219" i="13" s="1"/>
  <c r="D218" i="13"/>
  <c r="F218" i="13" s="1"/>
  <c r="D217" i="13"/>
  <c r="F217" i="13" s="1"/>
  <c r="D216" i="13"/>
  <c r="D210" i="13"/>
  <c r="F210" i="13" s="1"/>
  <c r="D209" i="13"/>
  <c r="F209" i="13" s="1"/>
  <c r="D208" i="13"/>
  <c r="F208" i="13" s="1"/>
  <c r="D207" i="13"/>
  <c r="F207" i="13" s="1"/>
  <c r="D206" i="13"/>
  <c r="F206" i="13" s="1"/>
  <c r="D205" i="13"/>
  <c r="D199" i="13"/>
  <c r="F199" i="13" s="1"/>
  <c r="D198" i="13"/>
  <c r="F198" i="13" s="1"/>
  <c r="D197" i="13"/>
  <c r="F197" i="13" s="1"/>
  <c r="D196" i="13"/>
  <c r="F196" i="13" s="1"/>
  <c r="D195" i="13"/>
  <c r="F195" i="13" s="1"/>
  <c r="D194" i="13"/>
  <c r="F194" i="13" s="1"/>
  <c r="D193" i="13"/>
  <c r="F193" i="13" s="1"/>
  <c r="D192" i="13"/>
  <c r="F192" i="13" s="1"/>
  <c r="D191" i="13"/>
  <c r="F185" i="13"/>
  <c r="F184" i="13"/>
  <c r="D183" i="13"/>
  <c r="F183" i="13" s="1"/>
  <c r="D182" i="13"/>
  <c r="F182" i="13" s="1"/>
  <c r="D181" i="13"/>
  <c r="F181" i="13" s="1"/>
  <c r="D180" i="13"/>
  <c r="F180" i="13" s="1"/>
  <c r="D179" i="13"/>
  <c r="F179" i="13" s="1"/>
  <c r="D178" i="13"/>
  <c r="F178" i="13" s="1"/>
  <c r="D177" i="13"/>
  <c r="D171" i="13"/>
  <c r="F171" i="13" s="1"/>
  <c r="D170" i="13"/>
  <c r="F170" i="13" s="1"/>
  <c r="D169" i="13"/>
  <c r="F169" i="13" s="1"/>
  <c r="D168" i="13"/>
  <c r="F168" i="13" s="1"/>
  <c r="D167" i="13"/>
  <c r="F167" i="13" s="1"/>
  <c r="D166" i="13"/>
  <c r="F166" i="13" s="1"/>
  <c r="D165" i="13"/>
  <c r="F165" i="13" s="1"/>
  <c r="D164" i="13"/>
  <c r="F164" i="13" s="1"/>
  <c r="D163" i="13"/>
  <c r="D157" i="13"/>
  <c r="F157" i="13" s="1"/>
  <c r="D156" i="13"/>
  <c r="F156" i="13" s="1"/>
  <c r="D155" i="13"/>
  <c r="F155" i="13" s="1"/>
  <c r="D154" i="13"/>
  <c r="F154" i="13" s="1"/>
  <c r="D153" i="13"/>
  <c r="D147" i="13"/>
  <c r="F147" i="13" s="1"/>
  <c r="D146" i="13"/>
  <c r="F146" i="13" s="1"/>
  <c r="D145" i="13"/>
  <c r="F145" i="13" s="1"/>
  <c r="D144" i="13"/>
  <c r="F144" i="13" s="1"/>
  <c r="D143" i="13"/>
  <c r="D137" i="13"/>
  <c r="F137" i="13" s="1"/>
  <c r="D136" i="13"/>
  <c r="F136" i="13" s="1"/>
  <c r="D135" i="13"/>
  <c r="F135" i="13" s="1"/>
  <c r="D134" i="13"/>
  <c r="F134" i="13" s="1"/>
  <c r="D133" i="13"/>
  <c r="F133" i="13" s="1"/>
  <c r="D132" i="13"/>
  <c r="F132" i="13" s="1"/>
  <c r="D131" i="13"/>
  <c r="F131" i="13" s="1"/>
  <c r="D130" i="13"/>
  <c r="F130" i="13" s="1"/>
  <c r="D129" i="13"/>
  <c r="D123" i="13"/>
  <c r="F123" i="13" s="1"/>
  <c r="D122" i="13"/>
  <c r="F122" i="13" s="1"/>
  <c r="D121" i="13"/>
  <c r="F121" i="13" s="1"/>
  <c r="D120" i="13"/>
  <c r="F120" i="13" s="1"/>
  <c r="D119" i="13"/>
  <c r="F119" i="13" s="1"/>
  <c r="D118" i="13"/>
  <c r="F118" i="13" s="1"/>
  <c r="D117" i="13"/>
  <c r="F117" i="13" s="1"/>
  <c r="D116" i="13"/>
  <c r="F116" i="13" s="1"/>
  <c r="D115" i="13"/>
  <c r="F115" i="13" s="1"/>
  <c r="D114" i="13"/>
  <c r="F114" i="13" s="1"/>
  <c r="D113" i="13"/>
  <c r="F113" i="13" s="1"/>
  <c r="D112" i="13"/>
  <c r="D106" i="13"/>
  <c r="F106" i="13" s="1"/>
  <c r="D105" i="13"/>
  <c r="F105" i="13" s="1"/>
  <c r="D104" i="13"/>
  <c r="F104" i="13" s="1"/>
  <c r="D103" i="13"/>
  <c r="F103" i="13" s="1"/>
  <c r="D102" i="13"/>
  <c r="D96" i="13"/>
  <c r="F96" i="13" s="1"/>
  <c r="D95" i="13"/>
  <c r="F95" i="13" s="1"/>
  <c r="D94" i="13"/>
  <c r="F94" i="13" s="1"/>
  <c r="D93" i="13"/>
  <c r="F93" i="13" s="1"/>
  <c r="D92" i="13"/>
  <c r="D86" i="13"/>
  <c r="F86" i="13" s="1"/>
  <c r="D85" i="13"/>
  <c r="F85" i="13" s="1"/>
  <c r="D84" i="13"/>
  <c r="F84" i="13" s="1"/>
  <c r="D83" i="13"/>
  <c r="F83" i="13" s="1"/>
  <c r="D82" i="13"/>
  <c r="D76" i="13"/>
  <c r="F76" i="13" s="1"/>
  <c r="D75" i="13"/>
  <c r="F75" i="13" s="1"/>
  <c r="D74" i="13"/>
  <c r="F74" i="13" s="1"/>
  <c r="D73" i="13"/>
  <c r="F73" i="13" s="1"/>
  <c r="D72" i="13"/>
  <c r="D66" i="13"/>
  <c r="F66" i="13" s="1"/>
  <c r="D65" i="13"/>
  <c r="F65" i="13" s="1"/>
  <c r="D64" i="13"/>
  <c r="F64" i="13" s="1"/>
  <c r="D63" i="13"/>
  <c r="F63" i="13" s="1"/>
  <c r="D62" i="13"/>
  <c r="F62" i="13" s="1"/>
  <c r="D61" i="13"/>
  <c r="F61" i="13" s="1"/>
  <c r="D60" i="13"/>
  <c r="D55" i="13"/>
  <c r="F55" i="13" s="1"/>
  <c r="D54" i="13"/>
  <c r="F54" i="13" s="1"/>
  <c r="D53" i="13"/>
  <c r="F53" i="13" s="1"/>
  <c r="D52" i="13"/>
  <c r="F52" i="13" s="1"/>
  <c r="D51" i="13"/>
  <c r="F51" i="13" s="1"/>
  <c r="D50" i="13"/>
  <c r="F50" i="13" s="1"/>
  <c r="D49" i="13"/>
  <c r="D44" i="13"/>
  <c r="F44" i="13" s="1"/>
  <c r="D43" i="13"/>
  <c r="F43" i="13" s="1"/>
  <c r="D42" i="13"/>
  <c r="F42" i="13" s="1"/>
  <c r="D41" i="13"/>
  <c r="F41" i="13" s="1"/>
  <c r="D40" i="13"/>
  <c r="F40" i="13" s="1"/>
  <c r="D39" i="13"/>
  <c r="F39" i="13" s="1"/>
  <c r="D38" i="13"/>
  <c r="D32" i="13"/>
  <c r="F32" i="13" s="1"/>
  <c r="D31" i="13"/>
  <c r="F31" i="13" s="1"/>
  <c r="D30" i="13"/>
  <c r="F30" i="13" s="1"/>
  <c r="D29" i="13"/>
  <c r="F29" i="13" s="1"/>
  <c r="D28" i="13"/>
  <c r="D23" i="13"/>
  <c r="F23" i="13" s="1"/>
  <c r="D22" i="13"/>
  <c r="F22" i="13" s="1"/>
  <c r="D21" i="13"/>
  <c r="F21" i="13" s="1"/>
  <c r="D20" i="13"/>
  <c r="F20" i="13" s="1"/>
  <c r="D19" i="13"/>
  <c r="D14" i="13"/>
  <c r="F14" i="13" s="1"/>
  <c r="D13" i="13"/>
  <c r="F13" i="13" s="1"/>
  <c r="D12" i="13"/>
  <c r="F12" i="13" s="1"/>
  <c r="D11" i="13"/>
  <c r="F11" i="13" s="1"/>
  <c r="D10" i="13"/>
  <c r="D330" i="12"/>
  <c r="F330" i="12" s="1"/>
  <c r="D329" i="12"/>
  <c r="F329" i="12" s="1"/>
  <c r="D328" i="12"/>
  <c r="F328" i="12" s="1"/>
  <c r="D327" i="12"/>
  <c r="F327" i="12" s="1"/>
  <c r="D326" i="12"/>
  <c r="D321" i="12"/>
  <c r="F321" i="12" s="1"/>
  <c r="D320" i="12"/>
  <c r="D309" i="12"/>
  <c r="F309" i="12" s="1"/>
  <c r="D308" i="12"/>
  <c r="F308" i="12" s="1"/>
  <c r="D307" i="12"/>
  <c r="F307" i="12" s="1"/>
  <c r="D306" i="12"/>
  <c r="F306" i="12" s="1"/>
  <c r="D305" i="12"/>
  <c r="F305" i="12" s="1"/>
  <c r="D304" i="12"/>
  <c r="F304" i="12" s="1"/>
  <c r="D303" i="12"/>
  <c r="F303" i="12" s="1"/>
  <c r="D302" i="12"/>
  <c r="F302" i="12" s="1"/>
  <c r="D301" i="12"/>
  <c r="F301" i="12" s="1"/>
  <c r="D300" i="12"/>
  <c r="F300" i="12" s="1"/>
  <c r="D299" i="12"/>
  <c r="F299" i="12" s="1"/>
  <c r="D298" i="12"/>
  <c r="F298" i="12" s="1"/>
  <c r="D297" i="12"/>
  <c r="F297" i="12" s="1"/>
  <c r="D296" i="12"/>
  <c r="F296" i="12" s="1"/>
  <c r="D295" i="12"/>
  <c r="D284" i="12"/>
  <c r="F284" i="12" s="1"/>
  <c r="D283" i="12"/>
  <c r="F283" i="12" s="1"/>
  <c r="D282" i="12"/>
  <c r="F282" i="12" s="1"/>
  <c r="D281" i="12"/>
  <c r="F281" i="12" s="1"/>
  <c r="D280" i="12"/>
  <c r="F280" i="12" s="1"/>
  <c r="D279" i="12"/>
  <c r="F279" i="12" s="1"/>
  <c r="F278" i="12"/>
  <c r="D277" i="12"/>
  <c r="F277" i="12" s="1"/>
  <c r="D276" i="12"/>
  <c r="F276" i="12" s="1"/>
  <c r="D275" i="12"/>
  <c r="F275" i="12" s="1"/>
  <c r="D274" i="12"/>
  <c r="F274" i="12" s="1"/>
  <c r="D273" i="12"/>
  <c r="D265" i="12"/>
  <c r="F265" i="12" s="1"/>
  <c r="D264" i="12"/>
  <c r="F264" i="12" s="1"/>
  <c r="D263" i="12"/>
  <c r="F263" i="12" s="1"/>
  <c r="D262" i="12"/>
  <c r="F262" i="12" s="1"/>
  <c r="D261" i="12"/>
  <c r="F261" i="12" s="1"/>
  <c r="D260" i="12"/>
  <c r="F260" i="12" s="1"/>
  <c r="D259" i="12"/>
  <c r="F259" i="12" s="1"/>
  <c r="D258" i="12"/>
  <c r="F258" i="12" s="1"/>
  <c r="D257" i="12"/>
  <c r="F257" i="12" s="1"/>
  <c r="D256" i="12"/>
  <c r="D246" i="12"/>
  <c r="F246" i="12" s="1"/>
  <c r="D245" i="12"/>
  <c r="F245" i="12" s="1"/>
  <c r="D244" i="12"/>
  <c r="F244" i="12" s="1"/>
  <c r="D243" i="12"/>
  <c r="F243" i="12" s="1"/>
  <c r="D242" i="12"/>
  <c r="F242" i="12" s="1"/>
  <c r="D241" i="12"/>
  <c r="F241" i="12" s="1"/>
  <c r="D240" i="12"/>
  <c r="F240" i="12" s="1"/>
  <c r="D239" i="12"/>
  <c r="F239" i="12" s="1"/>
  <c r="D238" i="12"/>
  <c r="F238" i="12" s="1"/>
  <c r="D237" i="12"/>
  <c r="F237" i="12" s="1"/>
  <c r="D236" i="12"/>
  <c r="F236" i="12" s="1"/>
  <c r="D235" i="12"/>
  <c r="D230" i="12"/>
  <c r="F230" i="12" s="1"/>
  <c r="D229" i="12"/>
  <c r="F229" i="12" s="1"/>
  <c r="D228" i="12"/>
  <c r="F228" i="12" s="1"/>
  <c r="D227" i="12"/>
  <c r="F227" i="12" s="1"/>
  <c r="D226" i="12"/>
  <c r="D221" i="12"/>
  <c r="F221" i="12" s="1"/>
  <c r="D220" i="12"/>
  <c r="F220" i="12" s="1"/>
  <c r="D219" i="12"/>
  <c r="D212" i="12"/>
  <c r="F212" i="12" s="1"/>
  <c r="D211" i="12"/>
  <c r="F211" i="12" s="1"/>
  <c r="D210" i="12"/>
  <c r="F210" i="12" s="1"/>
  <c r="D206" i="12"/>
  <c r="D200" i="12"/>
  <c r="F200" i="12" s="1"/>
  <c r="D199" i="12"/>
  <c r="F199" i="12" s="1"/>
  <c r="D198" i="12"/>
  <c r="F198" i="12" s="1"/>
  <c r="D197" i="12"/>
  <c r="D209" i="12" s="1"/>
  <c r="F209" i="12" s="1"/>
  <c r="D196" i="12"/>
  <c r="F196" i="12" s="1"/>
  <c r="D195" i="12"/>
  <c r="D207" i="12" s="1"/>
  <c r="F207" i="12" s="1"/>
  <c r="D194" i="12"/>
  <c r="D187" i="12"/>
  <c r="F187" i="12" s="1"/>
  <c r="D186" i="12"/>
  <c r="F186" i="12" s="1"/>
  <c r="D185" i="12"/>
  <c r="F185" i="12" s="1"/>
  <c r="D184" i="12"/>
  <c r="F184" i="12" s="1"/>
  <c r="D183" i="12"/>
  <c r="F183" i="12" s="1"/>
  <c r="D182" i="12"/>
  <c r="F182" i="12" s="1"/>
  <c r="D181" i="12"/>
  <c r="F181" i="12" s="1"/>
  <c r="D180" i="12"/>
  <c r="F180" i="12" s="1"/>
  <c r="D179" i="12"/>
  <c r="D171" i="12"/>
  <c r="F171" i="12" s="1"/>
  <c r="D170" i="12"/>
  <c r="F170" i="12" s="1"/>
  <c r="D169" i="12"/>
  <c r="F169" i="12" s="1"/>
  <c r="D168" i="12"/>
  <c r="F168" i="12" s="1"/>
  <c r="D167" i="12"/>
  <c r="F167" i="12" s="1"/>
  <c r="D166" i="12"/>
  <c r="F166" i="12" s="1"/>
  <c r="D165" i="12"/>
  <c r="F165" i="12" s="1"/>
  <c r="D164" i="12"/>
  <c r="D158" i="12"/>
  <c r="F158" i="12" s="1"/>
  <c r="D157" i="12"/>
  <c r="F157" i="12" s="1"/>
  <c r="D156" i="12"/>
  <c r="F156" i="12" s="1"/>
  <c r="D155" i="12"/>
  <c r="F155" i="12" s="1"/>
  <c r="D154" i="12"/>
  <c r="F154" i="12" s="1"/>
  <c r="D153" i="12"/>
  <c r="D145" i="12"/>
  <c r="F145" i="12" s="1"/>
  <c r="D144" i="12"/>
  <c r="F144" i="12" s="1"/>
  <c r="D143" i="12"/>
  <c r="F143" i="12" s="1"/>
  <c r="D142" i="12"/>
  <c r="F142" i="12" s="1"/>
  <c r="D141" i="12"/>
  <c r="F141" i="12" s="1"/>
  <c r="D140" i="12"/>
  <c r="D134" i="12"/>
  <c r="F134" i="12" s="1"/>
  <c r="D133" i="12"/>
  <c r="F133" i="12" s="1"/>
  <c r="D132" i="12"/>
  <c r="F132" i="12" s="1"/>
  <c r="D131" i="12"/>
  <c r="F131" i="12" s="1"/>
  <c r="D130" i="12"/>
  <c r="F130" i="12" s="1"/>
  <c r="D129" i="12"/>
  <c r="D118" i="12"/>
  <c r="F118" i="12" s="1"/>
  <c r="D117" i="12"/>
  <c r="F117" i="12" s="1"/>
  <c r="D116" i="12"/>
  <c r="F116" i="12" s="1"/>
  <c r="D115" i="12"/>
  <c r="F115" i="12" s="1"/>
  <c r="D114" i="12"/>
  <c r="F114" i="12" s="1"/>
  <c r="D113" i="12"/>
  <c r="F113" i="12" s="1"/>
  <c r="D112" i="12"/>
  <c r="F112" i="12" s="1"/>
  <c r="D111" i="12"/>
  <c r="D99" i="12"/>
  <c r="F99" i="12" s="1"/>
  <c r="D98" i="12"/>
  <c r="F98" i="12" s="1"/>
  <c r="D97" i="12"/>
  <c r="F97" i="12" s="1"/>
  <c r="D96" i="12"/>
  <c r="F96" i="12" s="1"/>
  <c r="D95" i="12"/>
  <c r="D87" i="12"/>
  <c r="F87" i="12" s="1"/>
  <c r="D86" i="12"/>
  <c r="F86" i="12" s="1"/>
  <c r="D85" i="12"/>
  <c r="F85" i="12" s="1"/>
  <c r="D84" i="12"/>
  <c r="F84" i="12" s="1"/>
  <c r="D83" i="12"/>
  <c r="F83" i="12" s="1"/>
  <c r="D82" i="12"/>
  <c r="D78" i="12"/>
  <c r="F78" i="12" s="1"/>
  <c r="D77" i="12"/>
  <c r="F77" i="12" s="1"/>
  <c r="D76" i="12"/>
  <c r="F76" i="12" s="1"/>
  <c r="D75" i="12"/>
  <c r="F75" i="12" s="1"/>
  <c r="D74" i="12"/>
  <c r="F74" i="12" s="1"/>
  <c r="D73" i="12"/>
  <c r="F73" i="12" s="1"/>
  <c r="H69" i="12"/>
  <c r="H68" i="12"/>
  <c r="H67" i="12"/>
  <c r="H66" i="12"/>
  <c r="H65" i="12"/>
  <c r="H64" i="12"/>
  <c r="H63" i="12"/>
  <c r="D61" i="12"/>
  <c r="F61" i="12" s="1"/>
  <c r="D60" i="12"/>
  <c r="F60" i="12" s="1"/>
  <c r="D59" i="12"/>
  <c r="F59" i="12" s="1"/>
  <c r="D58" i="12"/>
  <c r="F58" i="12" s="1"/>
  <c r="D57" i="12"/>
  <c r="F57" i="12" s="1"/>
  <c r="D56" i="12"/>
  <c r="F56" i="12" s="1"/>
  <c r="D55" i="12"/>
  <c r="F55" i="12" s="1"/>
  <c r="D54" i="12"/>
  <c r="D47" i="12"/>
  <c r="F47" i="12" s="1"/>
  <c r="D46" i="12"/>
  <c r="F46" i="12" s="1"/>
  <c r="D45" i="12"/>
  <c r="F45" i="12" s="1"/>
  <c r="D44" i="12"/>
  <c r="F44" i="12" s="1"/>
  <c r="D43" i="12"/>
  <c r="F43" i="12" s="1"/>
  <c r="D42" i="12"/>
  <c r="D31" i="12"/>
  <c r="F31" i="12" s="1"/>
  <c r="D30" i="12"/>
  <c r="F30" i="12" s="1"/>
  <c r="D29" i="12"/>
  <c r="F29" i="12" s="1"/>
  <c r="D28" i="12"/>
  <c r="F28" i="12" s="1"/>
  <c r="D26" i="12"/>
  <c r="D13" i="12"/>
  <c r="F13" i="12" s="1"/>
  <c r="D12" i="12"/>
  <c r="F12" i="12" s="1"/>
  <c r="D11" i="12"/>
  <c r="D27" i="12" s="1"/>
  <c r="F27" i="12" s="1"/>
  <c r="D10" i="12"/>
  <c r="D361" i="11"/>
  <c r="F361" i="11" s="1"/>
  <c r="D360" i="11"/>
  <c r="D354" i="11"/>
  <c r="F354" i="11" s="1"/>
  <c r="D353" i="11"/>
  <c r="F353" i="11" s="1"/>
  <c r="D352" i="11"/>
  <c r="F352" i="11" s="1"/>
  <c r="D351" i="11"/>
  <c r="F351" i="11" s="1"/>
  <c r="D350" i="11"/>
  <c r="F350" i="11" s="1"/>
  <c r="D349" i="11"/>
  <c r="D341" i="11"/>
  <c r="F341" i="11" s="1"/>
  <c r="D340" i="11"/>
  <c r="F340" i="11" s="1"/>
  <c r="D339" i="11"/>
  <c r="F339" i="11" s="1"/>
  <c r="D338" i="11"/>
  <c r="F338" i="11" s="1"/>
  <c r="D337" i="11"/>
  <c r="D330" i="11"/>
  <c r="F330" i="11" s="1"/>
  <c r="D329" i="11"/>
  <c r="F329" i="11" s="1"/>
  <c r="D328" i="11"/>
  <c r="F328" i="11" s="1"/>
  <c r="D327" i="11"/>
  <c r="F327" i="11" s="1"/>
  <c r="D326" i="11"/>
  <c r="D319" i="11"/>
  <c r="F319" i="11" s="1"/>
  <c r="D318" i="11"/>
  <c r="F318" i="11" s="1"/>
  <c r="D317" i="11"/>
  <c r="F317" i="11" s="1"/>
  <c r="D316" i="11"/>
  <c r="F316" i="11" s="1"/>
  <c r="D315" i="11"/>
  <c r="F315" i="11" s="1"/>
  <c r="D314" i="11"/>
  <c r="F314" i="11" s="1"/>
  <c r="D313" i="11"/>
  <c r="F313" i="11" s="1"/>
  <c r="D312" i="11"/>
  <c r="D302" i="11"/>
  <c r="F302" i="11" s="1"/>
  <c r="D301" i="11"/>
  <c r="F301" i="11" s="1"/>
  <c r="D300" i="11"/>
  <c r="F300" i="11" s="1"/>
  <c r="D299" i="11"/>
  <c r="F299" i="11" s="1"/>
  <c r="D298" i="11"/>
  <c r="F298" i="11" s="1"/>
  <c r="D297" i="11"/>
  <c r="D287" i="11"/>
  <c r="F287" i="11" s="1"/>
  <c r="D286" i="11"/>
  <c r="F286" i="11" s="1"/>
  <c r="J285" i="11"/>
  <c r="K285" i="11" s="1"/>
  <c r="K291" i="11" s="1"/>
  <c r="D285" i="11"/>
  <c r="F285" i="11" s="1"/>
  <c r="D284" i="11"/>
  <c r="F284" i="11" s="1"/>
  <c r="D283" i="11"/>
  <c r="D275" i="11"/>
  <c r="F275" i="11" s="1"/>
  <c r="D274" i="11"/>
  <c r="F274" i="11" s="1"/>
  <c r="D273" i="11"/>
  <c r="F273" i="11" s="1"/>
  <c r="D272" i="11"/>
  <c r="F272" i="11" s="1"/>
  <c r="D271" i="11"/>
  <c r="D261" i="11"/>
  <c r="F261" i="11" s="1"/>
  <c r="D260" i="11"/>
  <c r="F260" i="11" s="1"/>
  <c r="J259" i="11"/>
  <c r="K259" i="11" s="1"/>
  <c r="D259" i="11"/>
  <c r="F259" i="11" s="1"/>
  <c r="D258" i="11"/>
  <c r="F258" i="11" s="1"/>
  <c r="D257" i="11"/>
  <c r="G270" i="11" s="1"/>
  <c r="D252" i="11"/>
  <c r="F252" i="11" s="1"/>
  <c r="D251" i="11"/>
  <c r="F251" i="11" s="1"/>
  <c r="D250" i="11"/>
  <c r="F250" i="11" s="1"/>
  <c r="D249" i="11"/>
  <c r="F249" i="11" s="1"/>
  <c r="D248" i="11"/>
  <c r="D242" i="11"/>
  <c r="F242" i="11" s="1"/>
  <c r="D241" i="11"/>
  <c r="F241" i="11" s="1"/>
  <c r="D240" i="11"/>
  <c r="D234" i="11"/>
  <c r="F234" i="11" s="1"/>
  <c r="D233" i="11"/>
  <c r="F233" i="11" s="1"/>
  <c r="D232" i="11"/>
  <c r="F232" i="11" s="1"/>
  <c r="D231" i="11"/>
  <c r="F231" i="11" s="1"/>
  <c r="D230" i="11"/>
  <c r="D224" i="11"/>
  <c r="F224" i="11" s="1"/>
  <c r="D223" i="11"/>
  <c r="F223" i="11" s="1"/>
  <c r="D222" i="11"/>
  <c r="F222" i="11" s="1"/>
  <c r="D221" i="11"/>
  <c r="F221" i="11" s="1"/>
  <c r="D220" i="11"/>
  <c r="D210" i="11"/>
  <c r="F210" i="11" s="1"/>
  <c r="D209" i="11"/>
  <c r="F209" i="11" s="1"/>
  <c r="D208" i="11"/>
  <c r="F208" i="11" s="1"/>
  <c r="D207" i="11"/>
  <c r="F207" i="11" s="1"/>
  <c r="D206" i="11"/>
  <c r="F206" i="11" s="1"/>
  <c r="D205" i="11"/>
  <c r="F205" i="11" s="1"/>
  <c r="D204" i="11"/>
  <c r="D194" i="11"/>
  <c r="F194" i="11" s="1"/>
  <c r="D193" i="11"/>
  <c r="F193" i="11" s="1"/>
  <c r="D192" i="11"/>
  <c r="F192" i="11" s="1"/>
  <c r="D191" i="11"/>
  <c r="F191" i="11" s="1"/>
  <c r="D190" i="11"/>
  <c r="F190" i="11" s="1"/>
  <c r="D189" i="11"/>
  <c r="F189" i="11" s="1"/>
  <c r="D188" i="11"/>
  <c r="F188" i="11" s="1"/>
  <c r="D187" i="11"/>
  <c r="F187" i="11" s="1"/>
  <c r="D186" i="11"/>
  <c r="F186" i="11" s="1"/>
  <c r="D185" i="11"/>
  <c r="D175" i="11"/>
  <c r="F175" i="11" s="1"/>
  <c r="D174" i="11"/>
  <c r="F174" i="11" s="1"/>
  <c r="D173" i="11"/>
  <c r="F173" i="11" s="1"/>
  <c r="D172" i="11"/>
  <c r="F172" i="11" s="1"/>
  <c r="D171" i="11"/>
  <c r="F171" i="11" s="1"/>
  <c r="D170" i="11"/>
  <c r="F170" i="11" s="1"/>
  <c r="D169" i="11"/>
  <c r="D161" i="11"/>
  <c r="F161" i="11" s="1"/>
  <c r="D160" i="11"/>
  <c r="F160" i="11" s="1"/>
  <c r="D159" i="11"/>
  <c r="F159" i="11" s="1"/>
  <c r="D158" i="11"/>
  <c r="F158" i="11" s="1"/>
  <c r="D157" i="11"/>
  <c r="F157" i="11" s="1"/>
  <c r="D156" i="11"/>
  <c r="F156" i="11" s="1"/>
  <c r="D155" i="11"/>
  <c r="F155" i="11" s="1"/>
  <c r="D154" i="11"/>
  <c r="F154" i="11" s="1"/>
  <c r="D153" i="11"/>
  <c r="D143" i="11"/>
  <c r="F143" i="11" s="1"/>
  <c r="D142" i="11"/>
  <c r="F142" i="11" s="1"/>
  <c r="D141" i="11"/>
  <c r="F141" i="11" s="1"/>
  <c r="D140" i="11"/>
  <c r="F140" i="11" s="1"/>
  <c r="D139" i="11"/>
  <c r="F139" i="11" s="1"/>
  <c r="D138" i="11"/>
  <c r="F138" i="11" s="1"/>
  <c r="D137" i="11"/>
  <c r="F137" i="11" s="1"/>
  <c r="D136" i="11"/>
  <c r="F136" i="11" s="1"/>
  <c r="D135" i="11"/>
  <c r="D127" i="11"/>
  <c r="F127" i="11" s="1"/>
  <c r="D126" i="11"/>
  <c r="F126" i="11" s="1"/>
  <c r="D125" i="11"/>
  <c r="F125" i="11" s="1"/>
  <c r="D124" i="11"/>
  <c r="F124" i="11" s="1"/>
  <c r="D123" i="11"/>
  <c r="D115" i="11"/>
  <c r="F115" i="11" s="1"/>
  <c r="D114" i="11"/>
  <c r="F114" i="11" s="1"/>
  <c r="D113" i="11"/>
  <c r="F113" i="11" s="1"/>
  <c r="D112" i="11"/>
  <c r="F112" i="11" s="1"/>
  <c r="D111" i="11"/>
  <c r="D105" i="11"/>
  <c r="F105" i="11" s="1"/>
  <c r="D104" i="11"/>
  <c r="F104" i="11" s="1"/>
  <c r="D103" i="11"/>
  <c r="F103" i="11" s="1"/>
  <c r="D102" i="11"/>
  <c r="F102" i="11" s="1"/>
  <c r="D101" i="11"/>
  <c r="F101" i="11" s="1"/>
  <c r="D100" i="11"/>
  <c r="D94" i="11"/>
  <c r="F94" i="11" s="1"/>
  <c r="D93" i="11"/>
  <c r="F93" i="11" s="1"/>
  <c r="D92" i="11"/>
  <c r="F92" i="11" s="1"/>
  <c r="D91" i="11"/>
  <c r="F91" i="11" s="1"/>
  <c r="D90" i="11"/>
  <c r="F90" i="11" s="1"/>
  <c r="D89" i="11"/>
  <c r="D80" i="11"/>
  <c r="F80" i="11" s="1"/>
  <c r="D79" i="11"/>
  <c r="F79" i="11" s="1"/>
  <c r="D78" i="11"/>
  <c r="F78" i="11" s="1"/>
  <c r="D77" i="11"/>
  <c r="F77" i="11" s="1"/>
  <c r="D76" i="11"/>
  <c r="D68" i="11"/>
  <c r="F68" i="11" s="1"/>
  <c r="D67" i="11"/>
  <c r="F67" i="11" s="1"/>
  <c r="D66" i="11"/>
  <c r="F66" i="11" s="1"/>
  <c r="D65" i="11"/>
  <c r="F65" i="11" s="1"/>
  <c r="D64" i="11"/>
  <c r="D57" i="11"/>
  <c r="F57" i="11" s="1"/>
  <c r="D56" i="11"/>
  <c r="F56" i="11" s="1"/>
  <c r="D55" i="11"/>
  <c r="F55" i="11" s="1"/>
  <c r="D54" i="11"/>
  <c r="F54" i="11" s="1"/>
  <c r="D53" i="11"/>
  <c r="F53" i="11" s="1"/>
  <c r="D52" i="11"/>
  <c r="F52" i="11" s="1"/>
  <c r="D51" i="11"/>
  <c r="D42" i="11"/>
  <c r="F42" i="11" s="1"/>
  <c r="D41" i="11"/>
  <c r="F41" i="11" s="1"/>
  <c r="D40" i="11"/>
  <c r="F40" i="11" s="1"/>
  <c r="D39" i="11"/>
  <c r="F39" i="11" s="1"/>
  <c r="D38" i="11"/>
  <c r="D27" i="11"/>
  <c r="F27" i="11" s="1"/>
  <c r="D26" i="11"/>
  <c r="F26" i="11" s="1"/>
  <c r="D23" i="11"/>
  <c r="K13" i="11"/>
  <c r="D12" i="11"/>
  <c r="D25" i="11" s="1"/>
  <c r="F25" i="11" s="1"/>
  <c r="D11" i="11"/>
  <c r="D24" i="11" s="1"/>
  <c r="F24" i="11" s="1"/>
  <c r="D10" i="11"/>
  <c r="E63" i="12" l="1"/>
  <c r="E107" i="11"/>
  <c r="K267" i="11"/>
  <c r="K266" i="11"/>
  <c r="K268" i="11"/>
  <c r="K264" i="11"/>
  <c r="K289" i="11"/>
  <c r="K265" i="11"/>
  <c r="K292" i="11"/>
  <c r="F97" i="11"/>
  <c r="E62" i="14"/>
  <c r="F62" i="14" s="1"/>
  <c r="E363" i="11"/>
  <c r="E148" i="11"/>
  <c r="E108" i="13"/>
  <c r="E107" i="12"/>
  <c r="D208" i="12"/>
  <c r="F208" i="12" s="1"/>
  <c r="E214" i="12" s="1"/>
  <c r="G57" i="13"/>
  <c r="D245" i="11"/>
  <c r="E309" i="11"/>
  <c r="F11" i="11"/>
  <c r="E59" i="11"/>
  <c r="F250" i="12"/>
  <c r="F86" i="11"/>
  <c r="E357" i="11"/>
  <c r="E88" i="13"/>
  <c r="F254" i="11"/>
  <c r="F150" i="12"/>
  <c r="F223" i="12"/>
  <c r="F91" i="12"/>
  <c r="F85" i="11"/>
  <c r="E343" i="11"/>
  <c r="G173" i="13"/>
  <c r="E12" i="14"/>
  <c r="F12" i="14" s="1"/>
  <c r="F199" i="11"/>
  <c r="E150" i="13"/>
  <c r="E202" i="13"/>
  <c r="E96" i="11"/>
  <c r="E34" i="13"/>
  <c r="E17" i="14"/>
  <c r="F17" i="14" s="1"/>
  <c r="E80" i="14"/>
  <c r="F80" i="14" s="1"/>
  <c r="F270" i="12"/>
  <c r="E68" i="13"/>
  <c r="F236" i="13"/>
  <c r="E81" i="14"/>
  <c r="F81" i="14" s="1"/>
  <c r="F120" i="11"/>
  <c r="F181" i="11"/>
  <c r="E332" i="11"/>
  <c r="F136" i="12"/>
  <c r="F176" i="12"/>
  <c r="E90" i="12"/>
  <c r="E23" i="14"/>
  <c r="F23" i="14" s="1"/>
  <c r="E49" i="14"/>
  <c r="F49" i="14" s="1"/>
  <c r="D254" i="11"/>
  <c r="E292" i="11"/>
  <c r="J292" i="11" s="1"/>
  <c r="E57" i="13"/>
  <c r="E50" i="14"/>
  <c r="F50" i="14" s="1"/>
  <c r="E70" i="14"/>
  <c r="F70" i="14" s="1"/>
  <c r="E334" i="11"/>
  <c r="E86" i="11"/>
  <c r="E161" i="12"/>
  <c r="E323" i="12"/>
  <c r="E51" i="14"/>
  <c r="F51" i="14" s="1"/>
  <c r="E71" i="14"/>
  <c r="F71" i="14" s="1"/>
  <c r="F237" i="11"/>
  <c r="E232" i="12"/>
  <c r="F332" i="12"/>
  <c r="E52" i="14"/>
  <c r="F52" i="14" s="1"/>
  <c r="E72" i="14"/>
  <c r="F72" i="14" s="1"/>
  <c r="F132" i="11"/>
  <c r="E346" i="11"/>
  <c r="F34" i="13"/>
  <c r="E55" i="14"/>
  <c r="F55" i="14" s="1"/>
  <c r="F46" i="13"/>
  <c r="F78" i="13"/>
  <c r="F98" i="13"/>
  <c r="G201" i="13"/>
  <c r="E74" i="14"/>
  <c r="F150" i="13"/>
  <c r="E213" i="13"/>
  <c r="E11" i="14"/>
  <c r="F11" i="14" s="1"/>
  <c r="E58" i="14"/>
  <c r="F58" i="14" s="1"/>
  <c r="F57" i="14"/>
  <c r="F29" i="14"/>
  <c r="F35" i="14"/>
  <c r="F56" i="14"/>
  <c r="F76" i="14"/>
  <c r="E77" i="14"/>
  <c r="F77" i="14" s="1"/>
  <c r="F18" i="14"/>
  <c r="F63" i="14"/>
  <c r="F89" i="14"/>
  <c r="E13" i="14"/>
  <c r="F13" i="14" s="1"/>
  <c r="E19" i="14"/>
  <c r="F19" i="14" s="1"/>
  <c r="E90" i="14"/>
  <c r="F90" i="14" s="1"/>
  <c r="F7" i="14"/>
  <c r="F31" i="14"/>
  <c r="F84" i="14"/>
  <c r="E8" i="14"/>
  <c r="F8" i="14" s="1"/>
  <c r="E14" i="14"/>
  <c r="F14" i="14" s="1"/>
  <c r="E20" i="14"/>
  <c r="F20" i="14" s="1"/>
  <c r="E53" i="14"/>
  <c r="F53" i="14" s="1"/>
  <c r="E85" i="14"/>
  <c r="F85" i="14" s="1"/>
  <c r="F26" i="14"/>
  <c r="F47" i="14"/>
  <c r="F59" i="14"/>
  <c r="E9" i="14"/>
  <c r="F9" i="14" s="1"/>
  <c r="E15" i="14"/>
  <c r="F15" i="14" s="1"/>
  <c r="E48" i="14"/>
  <c r="F48" i="14" s="1"/>
  <c r="G46" i="13"/>
  <c r="E46" i="13"/>
  <c r="G69" i="13"/>
  <c r="F69" i="13"/>
  <c r="E69" i="13"/>
  <c r="G68" i="13"/>
  <c r="F68" i="13"/>
  <c r="F16" i="13"/>
  <c r="E16" i="13"/>
  <c r="E89" i="13"/>
  <c r="E109" i="13"/>
  <c r="F139" i="13"/>
  <c r="G174" i="13"/>
  <c r="E187" i="13"/>
  <c r="F188" i="13"/>
  <c r="E188" i="13"/>
  <c r="F187" i="13"/>
  <c r="G140" i="13"/>
  <c r="F140" i="13"/>
  <c r="E140" i="13"/>
  <c r="G139" i="13"/>
  <c r="E139" i="13"/>
  <c r="F225" i="13"/>
  <c r="E25" i="13"/>
  <c r="F79" i="13"/>
  <c r="F99" i="13"/>
  <c r="G126" i="13"/>
  <c r="E160" i="13"/>
  <c r="E159" i="13"/>
  <c r="E35" i="13"/>
  <c r="F202" i="13"/>
  <c r="F35" i="13"/>
  <c r="G202" i="13"/>
  <c r="E212" i="13"/>
  <c r="E78" i="13"/>
  <c r="E98" i="13"/>
  <c r="E173" i="13"/>
  <c r="F173" i="13"/>
  <c r="E79" i="13"/>
  <c r="E99" i="13"/>
  <c r="E125" i="13"/>
  <c r="E224" i="13"/>
  <c r="F125" i="13"/>
  <c r="E174" i="13"/>
  <c r="F224" i="13"/>
  <c r="G125" i="13"/>
  <c r="E149" i="13"/>
  <c r="F174" i="13"/>
  <c r="E225" i="13"/>
  <c r="E126" i="13"/>
  <c r="F149" i="13"/>
  <c r="F57" i="13"/>
  <c r="F126" i="13"/>
  <c r="E201" i="13"/>
  <c r="F201" i="13"/>
  <c r="E236" i="13"/>
  <c r="F191" i="12"/>
  <c r="F189" i="12"/>
  <c r="F190" i="12"/>
  <c r="E190" i="12"/>
  <c r="E189" i="12"/>
  <c r="E39" i="12"/>
  <c r="E36" i="12"/>
  <c r="E35" i="12"/>
  <c r="E38" i="12"/>
  <c r="E34" i="12"/>
  <c r="F39" i="12"/>
  <c r="F38" i="12"/>
  <c r="E149" i="12"/>
  <c r="E148" i="12"/>
  <c r="E147" i="12"/>
  <c r="F249" i="12"/>
  <c r="E249" i="12"/>
  <c r="E248" i="12"/>
  <c r="F253" i="12"/>
  <c r="E252" i="12"/>
  <c r="E253" i="12"/>
  <c r="F252" i="12"/>
  <c r="F251" i="12"/>
  <c r="E251" i="12"/>
  <c r="F37" i="12"/>
  <c r="F65" i="12"/>
  <c r="F268" i="12"/>
  <c r="F267" i="12"/>
  <c r="E268" i="12"/>
  <c r="E267" i="12"/>
  <c r="E290" i="12"/>
  <c r="E291" i="12"/>
  <c r="E292" i="12"/>
  <c r="F125" i="12"/>
  <c r="F68" i="12"/>
  <c r="F66" i="12"/>
  <c r="F64" i="12"/>
  <c r="E68" i="12"/>
  <c r="E64" i="12"/>
  <c r="E124" i="12"/>
  <c r="E126" i="12"/>
  <c r="E123" i="12"/>
  <c r="E121" i="12"/>
  <c r="E122" i="12"/>
  <c r="E120" i="12"/>
  <c r="F121" i="12"/>
  <c r="F126" i="12"/>
  <c r="F120" i="12"/>
  <c r="F232" i="12"/>
  <c r="E313" i="12"/>
  <c r="E102" i="12"/>
  <c r="E108" i="12"/>
  <c r="E106" i="12"/>
  <c r="E104" i="12"/>
  <c r="E103" i="12"/>
  <c r="F67" i="12"/>
  <c r="F314" i="12"/>
  <c r="F313" i="12"/>
  <c r="F51" i="12"/>
  <c r="E69" i="12"/>
  <c r="E191" i="12"/>
  <c r="F11" i="12"/>
  <c r="F15" i="12" s="1"/>
  <c r="E91" i="12"/>
  <c r="E136" i="12"/>
  <c r="F197" i="12"/>
  <c r="E314" i="12"/>
  <c r="F90" i="12"/>
  <c r="E50" i="12"/>
  <c r="E92" i="12"/>
  <c r="E137" i="12"/>
  <c r="E315" i="12"/>
  <c r="F50" i="12"/>
  <c r="E65" i="12"/>
  <c r="F92" i="12"/>
  <c r="F137" i="12"/>
  <c r="E175" i="12"/>
  <c r="F315" i="12"/>
  <c r="F34" i="12"/>
  <c r="E51" i="12"/>
  <c r="F69" i="12"/>
  <c r="E105" i="12"/>
  <c r="F122" i="12"/>
  <c r="F147" i="12"/>
  <c r="F175" i="12"/>
  <c r="E269" i="12"/>
  <c r="E316" i="12"/>
  <c r="J13" i="12"/>
  <c r="E176" i="12"/>
  <c r="D223" i="12"/>
  <c r="F269" i="12"/>
  <c r="F316" i="12"/>
  <c r="F35" i="12"/>
  <c r="E66" i="12"/>
  <c r="D72" i="12"/>
  <c r="F123" i="12"/>
  <c r="F148" i="12"/>
  <c r="F248" i="12"/>
  <c r="E270" i="12"/>
  <c r="E286" i="12"/>
  <c r="E311" i="12"/>
  <c r="E317" i="12"/>
  <c r="E287" i="12"/>
  <c r="F311" i="12"/>
  <c r="F317" i="12"/>
  <c r="F161" i="12"/>
  <c r="F36" i="12"/>
  <c r="E89" i="12"/>
  <c r="F124" i="12"/>
  <c r="F149" i="12"/>
  <c r="F195" i="12"/>
  <c r="E288" i="12"/>
  <c r="E312" i="12"/>
  <c r="E37" i="12"/>
  <c r="E67" i="12"/>
  <c r="F89" i="12"/>
  <c r="E125" i="12"/>
  <c r="E150" i="12"/>
  <c r="E250" i="12"/>
  <c r="E289" i="12"/>
  <c r="F312" i="12"/>
  <c r="E332" i="12"/>
  <c r="F63" i="12"/>
  <c r="F166" i="11"/>
  <c r="F165" i="11"/>
  <c r="G217" i="11"/>
  <c r="E279" i="11"/>
  <c r="F73" i="11"/>
  <c r="E73" i="11"/>
  <c r="E72" i="11"/>
  <c r="E214" i="11"/>
  <c r="F217" i="11"/>
  <c r="F213" i="11"/>
  <c r="E217" i="11"/>
  <c r="E213" i="11"/>
  <c r="G216" i="11"/>
  <c r="G212" i="11"/>
  <c r="F216" i="11"/>
  <c r="F212" i="11"/>
  <c r="E216" i="11"/>
  <c r="E212" i="11"/>
  <c r="F215" i="11"/>
  <c r="E215" i="11"/>
  <c r="G214" i="11"/>
  <c r="F214" i="11"/>
  <c r="E307" i="11"/>
  <c r="E306" i="11"/>
  <c r="E304" i="11"/>
  <c r="E33" i="11"/>
  <c r="F180" i="11"/>
  <c r="G179" i="11"/>
  <c r="G177" i="11"/>
  <c r="G181" i="11"/>
  <c r="G182" i="11"/>
  <c r="G178" i="11"/>
  <c r="F182" i="11"/>
  <c r="F178" i="11"/>
  <c r="F46" i="11"/>
  <c r="D237" i="11"/>
  <c r="F236" i="11"/>
  <c r="F245" i="11"/>
  <c r="D236" i="11"/>
  <c r="F244" i="11"/>
  <c r="E118" i="11"/>
  <c r="E119" i="11"/>
  <c r="F196" i="11"/>
  <c r="F200" i="11"/>
  <c r="F48" i="11"/>
  <c r="E48" i="11"/>
  <c r="F47" i="11"/>
  <c r="E47" i="11"/>
  <c r="E45" i="11"/>
  <c r="E46" i="11"/>
  <c r="F45" i="11"/>
  <c r="E200" i="11"/>
  <c r="F227" i="11"/>
  <c r="E268" i="11"/>
  <c r="J268" i="11" s="1"/>
  <c r="F30" i="11"/>
  <c r="F33" i="11"/>
  <c r="F34" i="11"/>
  <c r="E147" i="11"/>
  <c r="F148" i="11"/>
  <c r="F146" i="11"/>
  <c r="F150" i="11"/>
  <c r="F149" i="11"/>
  <c r="F145" i="11"/>
  <c r="E149" i="11"/>
  <c r="E145" i="11"/>
  <c r="F71" i="11"/>
  <c r="E278" i="11"/>
  <c r="E323" i="11"/>
  <c r="E34" i="11"/>
  <c r="F72" i="11"/>
  <c r="E83" i="11"/>
  <c r="E108" i="11"/>
  <c r="F118" i="11"/>
  <c r="G148" i="11"/>
  <c r="E163" i="11"/>
  <c r="E178" i="11"/>
  <c r="E182" i="11"/>
  <c r="G196" i="11"/>
  <c r="G200" i="11"/>
  <c r="E265" i="11"/>
  <c r="J265" i="11" s="1"/>
  <c r="E280" i="11"/>
  <c r="E289" i="11"/>
  <c r="J289" i="11" s="1"/>
  <c r="E293" i="11"/>
  <c r="J293" i="11" s="1"/>
  <c r="F108" i="11"/>
  <c r="F163" i="11"/>
  <c r="E197" i="11"/>
  <c r="E201" i="11"/>
  <c r="E84" i="11"/>
  <c r="E130" i="11"/>
  <c r="E164" i="11"/>
  <c r="F197" i="11"/>
  <c r="F201" i="11"/>
  <c r="K293" i="11"/>
  <c r="E321" i="11"/>
  <c r="F83" i="11"/>
  <c r="F119" i="11"/>
  <c r="E120" i="11"/>
  <c r="F130" i="11"/>
  <c r="G145" i="11"/>
  <c r="G149" i="11"/>
  <c r="F164" i="11"/>
  <c r="E179" i="11"/>
  <c r="G197" i="11"/>
  <c r="G201" i="11"/>
  <c r="E266" i="11"/>
  <c r="J266" i="11" s="1"/>
  <c r="E290" i="11"/>
  <c r="J290" i="11" s="1"/>
  <c r="E294" i="11"/>
  <c r="J294" i="11" s="1"/>
  <c r="E322" i="11"/>
  <c r="E333" i="11"/>
  <c r="E344" i="11"/>
  <c r="E35" i="11"/>
  <c r="F12" i="11"/>
  <c r="F35" i="11"/>
  <c r="F84" i="11"/>
  <c r="E30" i="11"/>
  <c r="E85" i="11"/>
  <c r="E131" i="11"/>
  <c r="E146" i="11"/>
  <c r="E150" i="11"/>
  <c r="E165" i="11"/>
  <c r="F179" i="11"/>
  <c r="E198" i="11"/>
  <c r="G215" i="11"/>
  <c r="D244" i="11"/>
  <c r="E345" i="11"/>
  <c r="F198" i="11"/>
  <c r="K290" i="11"/>
  <c r="K294" i="11"/>
  <c r="E356" i="11"/>
  <c r="F131" i="11"/>
  <c r="E31" i="11"/>
  <c r="E132" i="11"/>
  <c r="G146" i="11"/>
  <c r="G150" i="11"/>
  <c r="E166" i="11"/>
  <c r="E180" i="11"/>
  <c r="G198" i="11"/>
  <c r="E263" i="11"/>
  <c r="J263" i="11" s="1"/>
  <c r="E267" i="11"/>
  <c r="J267" i="11" s="1"/>
  <c r="E291" i="11"/>
  <c r="J291" i="11" s="1"/>
  <c r="E305" i="11"/>
  <c r="E199" i="11"/>
  <c r="E61" i="11"/>
  <c r="F96" i="11"/>
  <c r="F147" i="11"/>
  <c r="G180" i="11"/>
  <c r="F226" i="11"/>
  <c r="K263" i="11"/>
  <c r="F32" i="11"/>
  <c r="E97" i="11"/>
  <c r="G147" i="11"/>
  <c r="E177" i="11"/>
  <c r="E181" i="11"/>
  <c r="G199" i="11"/>
  <c r="E264" i="11"/>
  <c r="J264" i="11" s="1"/>
  <c r="E277" i="11"/>
  <c r="E308" i="11"/>
  <c r="F107" i="11"/>
  <c r="F31" i="11"/>
  <c r="E32" i="11"/>
  <c r="E71" i="11"/>
  <c r="F177" i="11"/>
  <c r="E196" i="11"/>
  <c r="G213" i="11"/>
  <c r="E15" i="11" l="1"/>
  <c r="E215" i="12"/>
  <c r="E14" i="11"/>
  <c r="E17" i="11"/>
  <c r="F17" i="12"/>
  <c r="E20" i="11"/>
  <c r="J16" i="12"/>
  <c r="F74" i="14"/>
  <c r="E75" i="14"/>
  <c r="F75" i="14" s="1"/>
  <c r="E203" i="12"/>
  <c r="E202" i="12"/>
  <c r="F16" i="12"/>
  <c r="F21" i="12"/>
  <c r="F23" i="12"/>
  <c r="F22" i="12"/>
  <c r="F20" i="12"/>
  <c r="F19" i="12"/>
  <c r="F80" i="12"/>
  <c r="E80" i="12"/>
  <c r="F18" i="12"/>
  <c r="F17" i="11"/>
  <c r="F18" i="11"/>
  <c r="F20" i="11"/>
  <c r="F14" i="11"/>
  <c r="F15" i="11"/>
  <c r="E16" i="11"/>
  <c r="E19" i="11"/>
  <c r="F16" i="11"/>
  <c r="E18" i="11"/>
  <c r="F19" i="11"/>
  <c r="X8" i="10"/>
  <c r="W8" i="10"/>
  <c r="V8" i="10"/>
  <c r="X7" i="10"/>
  <c r="W7" i="10"/>
  <c r="V7" i="10"/>
  <c r="X104" i="10"/>
  <c r="W104" i="10"/>
  <c r="V104" i="10"/>
  <c r="X6" i="10"/>
  <c r="W6" i="10"/>
  <c r="V6" i="10"/>
  <c r="X2" i="10"/>
  <c r="W2" i="10"/>
  <c r="V2" i="10"/>
  <c r="X103" i="10"/>
  <c r="W103" i="10"/>
  <c r="V103" i="10"/>
  <c r="X102" i="10"/>
  <c r="W102" i="10"/>
  <c r="V102" i="10"/>
  <c r="X101" i="10"/>
  <c r="W101" i="10"/>
  <c r="V101" i="10"/>
  <c r="X100" i="10"/>
  <c r="W100" i="10"/>
  <c r="V100" i="10"/>
  <c r="X99" i="10"/>
  <c r="W99" i="10"/>
  <c r="V99" i="10"/>
  <c r="X98" i="10"/>
  <c r="W98" i="10"/>
  <c r="V98" i="10"/>
  <c r="X97" i="10"/>
  <c r="W97" i="10"/>
  <c r="V97" i="10"/>
  <c r="X96" i="10"/>
  <c r="W96" i="10"/>
  <c r="V96" i="10"/>
  <c r="X95" i="10"/>
  <c r="W95" i="10"/>
  <c r="V95" i="10"/>
  <c r="X94" i="10"/>
  <c r="W94" i="10"/>
  <c r="V94" i="10"/>
  <c r="X93" i="10"/>
  <c r="W93" i="10"/>
  <c r="V93" i="10"/>
  <c r="X92" i="10"/>
  <c r="W92" i="10"/>
  <c r="V92" i="10"/>
  <c r="X91" i="10"/>
  <c r="W91" i="10"/>
  <c r="V91" i="10"/>
  <c r="X90" i="10"/>
  <c r="W90" i="10"/>
  <c r="V90" i="10"/>
  <c r="X89" i="10"/>
  <c r="W89" i="10"/>
  <c r="V89" i="10"/>
  <c r="X88" i="10"/>
  <c r="W88" i="10"/>
  <c r="V88" i="10"/>
  <c r="X87" i="10"/>
  <c r="W87" i="10"/>
  <c r="V87" i="10"/>
  <c r="X86" i="10"/>
  <c r="W86" i="10"/>
  <c r="V86" i="10"/>
  <c r="X85" i="10"/>
  <c r="W85" i="10"/>
  <c r="V85" i="10"/>
  <c r="X84" i="10"/>
  <c r="W84" i="10"/>
  <c r="V84" i="10"/>
  <c r="X83" i="10"/>
  <c r="W83" i="10"/>
  <c r="V83" i="10"/>
  <c r="X82" i="10"/>
  <c r="W82" i="10"/>
  <c r="V82" i="10"/>
  <c r="X81" i="10"/>
  <c r="W81" i="10"/>
  <c r="V81" i="10"/>
  <c r="X80" i="10"/>
  <c r="W80" i="10"/>
  <c r="V80" i="10"/>
  <c r="X79" i="10"/>
  <c r="W79" i="10"/>
  <c r="V79" i="10"/>
  <c r="X78" i="10"/>
  <c r="W78" i="10"/>
  <c r="V78" i="10"/>
  <c r="X77" i="10"/>
  <c r="W77" i="10"/>
  <c r="V77" i="10"/>
  <c r="X76" i="10"/>
  <c r="W76" i="10"/>
  <c r="V76" i="10"/>
  <c r="X75" i="10"/>
  <c r="W75" i="10"/>
  <c r="V75" i="10"/>
  <c r="X74" i="10"/>
  <c r="W74" i="10"/>
  <c r="V74" i="10"/>
  <c r="X73" i="10"/>
  <c r="W73" i="10"/>
  <c r="V73" i="10"/>
  <c r="X72" i="10"/>
  <c r="W72" i="10"/>
  <c r="V72" i="10"/>
  <c r="X105" i="10"/>
  <c r="W105" i="10"/>
  <c r="V105" i="10"/>
  <c r="X71" i="10"/>
  <c r="W71" i="10"/>
  <c r="V71" i="10"/>
  <c r="X70" i="10"/>
  <c r="W70" i="10"/>
  <c r="V70" i="10"/>
  <c r="X69" i="10"/>
  <c r="W69" i="10"/>
  <c r="V69" i="10"/>
  <c r="X68" i="10"/>
  <c r="W68" i="10"/>
  <c r="V68" i="10"/>
  <c r="X67" i="10"/>
  <c r="W67" i="10"/>
  <c r="V67" i="10"/>
  <c r="X66" i="10"/>
  <c r="W66" i="10"/>
  <c r="V66" i="10"/>
  <c r="X65" i="10"/>
  <c r="W65" i="10"/>
  <c r="V65" i="10"/>
  <c r="X64" i="10"/>
  <c r="W64" i="10"/>
  <c r="V64" i="10"/>
  <c r="X63" i="10"/>
  <c r="W63" i="10"/>
  <c r="V63" i="10"/>
  <c r="X62" i="10"/>
  <c r="W62" i="10"/>
  <c r="V62" i="10"/>
  <c r="X61" i="10"/>
  <c r="W61" i="10"/>
  <c r="V61" i="10"/>
  <c r="X60" i="10"/>
  <c r="W60" i="10"/>
  <c r="V60" i="10"/>
  <c r="X59" i="10"/>
  <c r="W59" i="10"/>
  <c r="V59" i="10"/>
  <c r="X58" i="10"/>
  <c r="W58" i="10"/>
  <c r="V58" i="10"/>
  <c r="X57" i="10"/>
  <c r="W57" i="10"/>
  <c r="V57" i="10"/>
  <c r="X56" i="10"/>
  <c r="W56" i="10"/>
  <c r="V56" i="10"/>
  <c r="X55" i="10"/>
  <c r="W55" i="10"/>
  <c r="V55" i="10"/>
  <c r="X54" i="10"/>
  <c r="W54" i="10"/>
  <c r="V54" i="10"/>
  <c r="X5" i="10"/>
  <c r="W5" i="10"/>
  <c r="V5" i="10"/>
  <c r="X53" i="10"/>
  <c r="W53" i="10"/>
  <c r="V53" i="10"/>
  <c r="X4" i="10"/>
  <c r="W4" i="10"/>
  <c r="V4" i="10"/>
  <c r="X52" i="10"/>
  <c r="W52" i="10"/>
  <c r="V52" i="10"/>
  <c r="X51" i="10"/>
  <c r="W51" i="10"/>
  <c r="V51" i="10"/>
  <c r="X50" i="10"/>
  <c r="W50" i="10"/>
  <c r="V50" i="10"/>
  <c r="X49" i="10"/>
  <c r="W49" i="10"/>
  <c r="V49" i="10"/>
  <c r="X48" i="10"/>
  <c r="W48" i="10"/>
  <c r="V48" i="10"/>
  <c r="X47" i="10"/>
  <c r="W47" i="10"/>
  <c r="V47" i="10"/>
  <c r="X46" i="10"/>
  <c r="W46" i="10"/>
  <c r="V46" i="10"/>
  <c r="X45" i="10"/>
  <c r="W45" i="10"/>
  <c r="V45" i="10"/>
  <c r="X44" i="10"/>
  <c r="W44" i="10"/>
  <c r="V44" i="10"/>
  <c r="X43" i="10"/>
  <c r="W43" i="10"/>
  <c r="V43" i="10"/>
  <c r="X42" i="10"/>
  <c r="W42" i="10"/>
  <c r="V42" i="10"/>
  <c r="X41" i="10"/>
  <c r="W41" i="10"/>
  <c r="V41" i="10"/>
  <c r="X40" i="10"/>
  <c r="W40" i="10"/>
  <c r="V40" i="10"/>
  <c r="X39" i="10"/>
  <c r="W39" i="10"/>
  <c r="V39" i="10"/>
  <c r="X38" i="10"/>
  <c r="W38" i="10"/>
  <c r="V38" i="10"/>
  <c r="X37" i="10"/>
  <c r="W37" i="10"/>
  <c r="V37" i="10"/>
  <c r="X36" i="10"/>
  <c r="W36" i="10"/>
  <c r="V36" i="10"/>
  <c r="X35" i="10"/>
  <c r="W35" i="10"/>
  <c r="V35" i="10"/>
  <c r="X34" i="10"/>
  <c r="W34" i="10"/>
  <c r="V34" i="10"/>
  <c r="X33" i="10"/>
  <c r="W33" i="10"/>
  <c r="V33" i="10"/>
  <c r="X32" i="10"/>
  <c r="W32" i="10"/>
  <c r="V32" i="10"/>
  <c r="X31" i="10"/>
  <c r="W31" i="10"/>
  <c r="V31" i="10"/>
  <c r="X30" i="10"/>
  <c r="W30" i="10"/>
  <c r="V30" i="10"/>
  <c r="X3" i="10"/>
  <c r="W3" i="10"/>
  <c r="V3" i="10"/>
  <c r="X29" i="10"/>
  <c r="W29" i="10"/>
  <c r="V29" i="10"/>
  <c r="X28" i="10"/>
  <c r="W28" i="10"/>
  <c r="V28" i="10"/>
  <c r="X27" i="10"/>
  <c r="W27" i="10"/>
  <c r="V27" i="10"/>
  <c r="X26" i="10"/>
  <c r="W26" i="10"/>
  <c r="V26" i="10"/>
  <c r="X25" i="10"/>
  <c r="W25" i="10"/>
  <c r="V25" i="10"/>
  <c r="X24" i="10"/>
  <c r="W24" i="10"/>
  <c r="V24" i="10"/>
  <c r="X23" i="10"/>
  <c r="W23" i="10"/>
  <c r="V23" i="10"/>
  <c r="X22" i="10"/>
  <c r="W22" i="10"/>
  <c r="V22" i="10"/>
  <c r="X21" i="10"/>
  <c r="W21" i="10"/>
  <c r="V21" i="10"/>
  <c r="X20" i="10"/>
  <c r="W20" i="10"/>
  <c r="V20" i="10"/>
  <c r="X19" i="10"/>
  <c r="W19" i="10"/>
  <c r="V19" i="10"/>
  <c r="X18" i="10"/>
  <c r="W18" i="10"/>
  <c r="V18" i="10"/>
  <c r="X17" i="10"/>
  <c r="W17" i="10"/>
  <c r="V17" i="10"/>
  <c r="X16" i="10"/>
  <c r="W16" i="10"/>
  <c r="V16" i="10"/>
  <c r="X15" i="10"/>
  <c r="W15" i="10"/>
  <c r="V15" i="10"/>
  <c r="X14" i="10"/>
  <c r="W14" i="10"/>
  <c r="V14" i="10"/>
  <c r="X13" i="10"/>
  <c r="W13" i="10"/>
  <c r="V13" i="10"/>
  <c r="X12" i="10"/>
  <c r="W12" i="10"/>
  <c r="V12" i="10"/>
  <c r="X11" i="10"/>
  <c r="W11" i="10"/>
  <c r="V11" i="10"/>
  <c r="X10" i="10"/>
  <c r="W10" i="10"/>
  <c r="V10" i="10"/>
  <c r="X9" i="10"/>
  <c r="W9" i="10"/>
  <c r="V9" i="1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Камынин Василий Алексеевич</author>
  </authors>
  <commentList>
    <comment ref="AM1" authorId="0" shapeId="0" xr:uid="{1D2704F2-C055-4523-B4E3-8B07110CFBAD}">
      <text>
        <r>
          <rPr>
            <b/>
            <sz val="9"/>
            <color indexed="81"/>
            <rFont val="Tahoma"/>
            <family val="2"/>
            <charset val="204"/>
          </rPr>
          <t>Камынин Василий Алексеевич:</t>
        </r>
        <r>
          <rPr>
            <sz val="9"/>
            <color indexed="81"/>
            <rFont val="Tahoma"/>
            <family val="2"/>
            <charset val="204"/>
          </rPr>
          <t xml:space="preserve">
Комплектация №2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Нурулина</author>
  </authors>
  <commentList>
    <comment ref="D24" authorId="0" shapeId="0" xr:uid="{F61BE67C-4AD8-4950-941E-9165C61F22B4}">
      <text>
        <r>
          <rPr>
            <b/>
            <sz val="9"/>
            <color indexed="81"/>
            <rFont val="Tahoma"/>
            <family val="2"/>
            <charset val="204"/>
          </rPr>
          <t>Нурулина:</t>
        </r>
        <r>
          <rPr>
            <sz val="9"/>
            <color indexed="81"/>
            <rFont val="Tahoma"/>
            <family val="2"/>
            <charset val="204"/>
          </rPr>
          <t xml:space="preserve">
с полкой</t>
        </r>
      </text>
    </comment>
    <comment ref="E24" authorId="0" shapeId="0" xr:uid="{22165056-F652-46BD-ABDD-35D6C5D87651}">
      <text>
        <r>
          <rPr>
            <b/>
            <sz val="9"/>
            <color indexed="81"/>
            <rFont val="Tahoma"/>
            <family val="2"/>
            <charset val="204"/>
          </rPr>
          <t>Нурулина:</t>
        </r>
        <r>
          <rPr>
            <sz val="9"/>
            <color indexed="81"/>
            <rFont val="Tahoma"/>
            <family val="2"/>
            <charset val="204"/>
          </rPr>
          <t xml:space="preserve">
без полки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Нурулина</author>
    <author>Нурулина Елена Анатольевна</author>
  </authors>
  <commentList>
    <comment ref="Q50" authorId="0" shapeId="0" xr:uid="{E5CB25D7-2612-4865-B0C6-E6A522EC23A8}">
      <text>
        <r>
          <rPr>
            <b/>
            <sz val="9"/>
            <color indexed="81"/>
            <rFont val="Tahoma"/>
            <family val="2"/>
            <charset val="204"/>
          </rPr>
          <t xml:space="preserve">Нурулина приравняла к трёхсотой.Учётная цена уорзины на 450 = 0,01
</t>
        </r>
      </text>
    </comment>
    <comment ref="Q63" authorId="1" shapeId="0" xr:uid="{BF37F2B0-0EB3-42A0-B04C-47FF09FB3C20}">
      <text>
        <r>
          <rPr>
            <b/>
            <sz val="9"/>
            <color indexed="81"/>
            <rFont val="Tahoma"/>
            <family val="2"/>
            <charset val="204"/>
          </rPr>
          <t xml:space="preserve">Нурулина Елена Анатольевна: 
приравняла из-за закупочной цены
</t>
        </r>
      </text>
    </comment>
    <comment ref="B92" authorId="1" shapeId="0" xr:uid="{4ADA4264-D6C2-4A20-9F7E-F3DBDB357ACD}">
      <text>
        <r>
          <rPr>
            <b/>
            <sz val="9"/>
            <color indexed="81"/>
            <rFont val="Tahoma"/>
            <family val="2"/>
            <charset val="204"/>
          </rPr>
          <t>Нурулина Елена Анатольевна:</t>
        </r>
        <r>
          <rPr>
            <sz val="9"/>
            <color indexed="81"/>
            <rFont val="Tahoma"/>
            <family val="2"/>
            <charset val="204"/>
          </rPr>
          <t xml:space="preserve">
в расчёте цены учётные, оставлена старая цена, т.к. ранее цена была расчитана была по курсу
</t>
        </r>
      </text>
    </comment>
  </commentList>
</comments>
</file>

<file path=xl/sharedStrings.xml><?xml version="1.0" encoding="utf-8"?>
<sst xmlns="http://schemas.openxmlformats.org/spreadsheetml/2006/main" count="3234" uniqueCount="911">
  <si>
    <t>EMN1D</t>
  </si>
  <si>
    <t>EMN3B</t>
  </si>
  <si>
    <t>EVO</t>
  </si>
  <si>
    <t>ENO</t>
  </si>
  <si>
    <t>Артикул</t>
  </si>
  <si>
    <t>Тип</t>
  </si>
  <si>
    <t>Нижний</t>
  </si>
  <si>
    <t>Верхний</t>
  </si>
  <si>
    <t>Открытый</t>
  </si>
  <si>
    <t>Пенал</t>
  </si>
  <si>
    <t>Нет</t>
  </si>
  <si>
    <t>EMN2D</t>
  </si>
  <si>
    <t>EMN1K</t>
  </si>
  <si>
    <t>EWN1D</t>
  </si>
  <si>
    <t>EWN2D</t>
  </si>
  <si>
    <t>EDN1D</t>
  </si>
  <si>
    <t>EWD1D</t>
  </si>
  <si>
    <t>EMN1B1D</t>
  </si>
  <si>
    <t>EMN4B</t>
  </si>
  <si>
    <t>EMN2B</t>
  </si>
  <si>
    <t>ETN1B</t>
  </si>
  <si>
    <t>ESNX1D</t>
  </si>
  <si>
    <t>ERN</t>
  </si>
  <si>
    <t>ERN1D</t>
  </si>
  <si>
    <t>ENG1D</t>
  </si>
  <si>
    <t>ENG2D</t>
  </si>
  <si>
    <t>ENG2B</t>
  </si>
  <si>
    <t>ENG3B</t>
  </si>
  <si>
    <t>ENG1K</t>
  </si>
  <si>
    <t>EWG1D</t>
  </si>
  <si>
    <t>EWG2D</t>
  </si>
  <si>
    <t>EZ1F</t>
  </si>
  <si>
    <t>EMV2V</t>
  </si>
  <si>
    <t>EUV1D</t>
  </si>
  <si>
    <t>EHV1D</t>
  </si>
  <si>
    <t>EHV2D</t>
  </si>
  <si>
    <t>EDV1D</t>
  </si>
  <si>
    <t>EWV2D</t>
  </si>
  <si>
    <t>EWV2V</t>
  </si>
  <si>
    <t>ERV</t>
  </si>
  <si>
    <t>ERV1D</t>
  </si>
  <si>
    <t>EVG2D</t>
  </si>
  <si>
    <t>EVG2V</t>
  </si>
  <si>
    <t>EUVG1D</t>
  </si>
  <si>
    <t>ESVX1D</t>
  </si>
  <si>
    <t>EP1D</t>
  </si>
  <si>
    <t>EPG1D</t>
  </si>
  <si>
    <t>EPT1D</t>
  </si>
  <si>
    <t>EPT1B</t>
  </si>
  <si>
    <t>EP2D</t>
  </si>
  <si>
    <t>EPS2D</t>
  </si>
  <si>
    <t>EPSG2D</t>
  </si>
  <si>
    <t>EP3B1D</t>
  </si>
  <si>
    <t>EP2B1D</t>
  </si>
  <si>
    <t>EPT2D</t>
  </si>
  <si>
    <t>EPTG2D</t>
  </si>
  <si>
    <t>EPT2B1D</t>
  </si>
  <si>
    <t>EPTP1D</t>
  </si>
  <si>
    <t>EPT1B1D</t>
  </si>
  <si>
    <t>EPTG1B1D</t>
  </si>
  <si>
    <t>EPSP2D</t>
  </si>
  <si>
    <t>Высота min</t>
  </si>
  <si>
    <t>Высота max</t>
  </si>
  <si>
    <t>Ширина min</t>
  </si>
  <si>
    <t>Ширина max</t>
  </si>
  <si>
    <t>Глубина min</t>
  </si>
  <si>
    <t>Глубина max</t>
  </si>
  <si>
    <t>жесткий размер</t>
  </si>
  <si>
    <t>в прайсе не указан диапазон по ширине и по глубине</t>
  </si>
  <si>
    <t>жесткие размеры</t>
  </si>
  <si>
    <t>жесткий размер по ширине</t>
  </si>
  <si>
    <t>Жесткий размер по ширине</t>
  </si>
  <si>
    <t>жесткие размеры по ширине</t>
  </si>
  <si>
    <t>Шаг 425 525 560</t>
  </si>
  <si>
    <t>Шаг размеров 425 525 560</t>
  </si>
  <si>
    <t>Жесткий размер по высоте</t>
  </si>
  <si>
    <t>жесткий размер по высоте</t>
  </si>
  <si>
    <t>жесткие размеры по ширине 600 800 900</t>
  </si>
  <si>
    <t>жесткие размеры по ширине 450 600</t>
  </si>
  <si>
    <t>жесткие размеры по ширине 450 600 800 900</t>
  </si>
  <si>
    <t>Проверить диапазон</t>
  </si>
  <si>
    <t>Жесткие размеры высота, ширина,глубина</t>
  </si>
  <si>
    <t>Шаг высот 760 834 963</t>
  </si>
  <si>
    <t>Проверить в БЗ</t>
  </si>
  <si>
    <t>Комментарий</t>
  </si>
  <si>
    <t>Угловой</t>
  </si>
  <si>
    <t>Профиль Gola</t>
  </si>
  <si>
    <t>Да</t>
  </si>
  <si>
    <t>Вид модуля</t>
  </si>
  <si>
    <t>Прямой</t>
  </si>
  <si>
    <t>Диагональный</t>
  </si>
  <si>
    <t>Скошенный</t>
  </si>
  <si>
    <t>Радиусный</t>
  </si>
  <si>
    <t>4 Ящика</t>
  </si>
  <si>
    <t>3 Ящика</t>
  </si>
  <si>
    <t>2 Ящика</t>
  </si>
  <si>
    <t>2 двери+Мойка</t>
  </si>
  <si>
    <t>1 дверь+Мойка</t>
  </si>
  <si>
    <t>2 двери+1 Ящик+Полки</t>
  </si>
  <si>
    <t>1 дверь+1 Ящик+Полки</t>
  </si>
  <si>
    <t>Gola+1 дверь+Бленда+Полки+Угловой</t>
  </si>
  <si>
    <t>Gola+2 двери+Мойка</t>
  </si>
  <si>
    <t>Gola+Корзина</t>
  </si>
  <si>
    <t>Gola+3 Ящика</t>
  </si>
  <si>
    <t>Gola+2 Ящика</t>
  </si>
  <si>
    <t>Gola+2 двери</t>
  </si>
  <si>
    <t>Gola+1 дверь</t>
  </si>
  <si>
    <t>Gola+1 дверь+Полки</t>
  </si>
  <si>
    <t>Gola+2 двери+Полки</t>
  </si>
  <si>
    <t>Gola+Складной подъемник</t>
  </si>
  <si>
    <t>Gola+1 дверь+Мойка</t>
  </si>
  <si>
    <t>1 дверь+Бленда+Полки+Угловой</t>
  </si>
  <si>
    <t>1 ящик+Духовка</t>
  </si>
  <si>
    <t>1 фасад+Колонна</t>
  </si>
  <si>
    <t>1 дверь+Микроволновая печь</t>
  </si>
  <si>
    <t>1 дверь+Подъемник поворотный+Микроволновая печь</t>
  </si>
  <si>
    <t>2 фасада+Подъемник складной</t>
  </si>
  <si>
    <t>1 дверь+Диагональный+Полки</t>
  </si>
  <si>
    <t>1 дверь+Радиус+Торцевой+Полки</t>
  </si>
  <si>
    <t>Открытый+Радиус+Торцевой+Полки</t>
  </si>
  <si>
    <t>1 дверь+Скошенный+Торцевой+Полки</t>
  </si>
  <si>
    <t>2 двери+ Холодильник</t>
  </si>
  <si>
    <t>Gola+2 двери+Холодильник</t>
  </si>
  <si>
    <t>1 дверь+3 Ящика</t>
  </si>
  <si>
    <t>1 дверь+2 Ящика</t>
  </si>
  <si>
    <t>1 подъемник+2 двери+Холодильник</t>
  </si>
  <si>
    <t>Открытый+Полки+Нижний</t>
  </si>
  <si>
    <t>Открытый+Полки+Верхний</t>
  </si>
  <si>
    <t>1 дверь+Полки+Нижний</t>
  </si>
  <si>
    <t>2 двери+Полки+Нижний</t>
  </si>
  <si>
    <t>1 дверь+Полки+Верхний</t>
  </si>
  <si>
    <t>2 двери+Полки+Верхний</t>
  </si>
  <si>
    <t>EMV1D</t>
  </si>
  <si>
    <t>EMV1DN</t>
  </si>
  <si>
    <t>EMV1V</t>
  </si>
  <si>
    <t>EMV1VN</t>
  </si>
  <si>
    <t>EMV2D</t>
  </si>
  <si>
    <t>EWV1D</t>
  </si>
  <si>
    <t>EWV1V</t>
  </si>
  <si>
    <t>EVG1D</t>
  </si>
  <si>
    <t>EPG2D_EPG2DM</t>
  </si>
  <si>
    <t>EMN1B2D</t>
  </si>
  <si>
    <t>Варианты наполнения</t>
  </si>
  <si>
    <t>Признаки для фильтров</t>
  </si>
  <si>
    <t>Полки</t>
  </si>
  <si>
    <t>Корзина</t>
  </si>
  <si>
    <t>Мойка</t>
  </si>
  <si>
    <t>Духовка</t>
  </si>
  <si>
    <t>Колонна</t>
  </si>
  <si>
    <t>Подъемник</t>
  </si>
  <si>
    <t>Вытяжка</t>
  </si>
  <si>
    <t>Сушилка</t>
  </si>
  <si>
    <t>Ящик</t>
  </si>
  <si>
    <t>1 ниша</t>
  </si>
  <si>
    <t>Холодильник</t>
  </si>
  <si>
    <t>2 ниши</t>
  </si>
  <si>
    <t>Микроволновка</t>
  </si>
  <si>
    <t>Комплектация</t>
  </si>
  <si>
    <t>Материал корпуса</t>
  </si>
  <si>
    <t>Дуб кендал натуральный</t>
  </si>
  <si>
    <t>Дуб кендал коньяк</t>
  </si>
  <si>
    <t>Дуб солсберри</t>
  </si>
  <si>
    <t>Бетон Чикаго</t>
  </si>
  <si>
    <t>Белый премиум</t>
  </si>
  <si>
    <t>Серая галька</t>
  </si>
  <si>
    <t>Оникс серый</t>
  </si>
  <si>
    <t>Маренго</t>
  </si>
  <si>
    <t>Муссон</t>
  </si>
  <si>
    <t>Светло-серый</t>
  </si>
  <si>
    <t>Белый</t>
  </si>
  <si>
    <t>Премиум</t>
  </si>
  <si>
    <t>Категория</t>
  </si>
  <si>
    <t>Базовый</t>
  </si>
  <si>
    <t>Высота</t>
  </si>
  <si>
    <t>Ширина</t>
  </si>
  <si>
    <t>Глубина</t>
  </si>
  <si>
    <t>Номенклатура</t>
  </si>
  <si>
    <t>Gola+2 двери+Полки+Пенал</t>
  </si>
  <si>
    <t>Gola+1 дверь+Полки+Пенал</t>
  </si>
  <si>
    <t>Количество полок</t>
  </si>
  <si>
    <t>Толщина</t>
  </si>
  <si>
    <t>Цена за м2</t>
  </si>
  <si>
    <t>Кол-во</t>
  </si>
  <si>
    <t>Высота цоколя</t>
  </si>
  <si>
    <t>Коллекция</t>
  </si>
  <si>
    <t>Original</t>
  </si>
  <si>
    <t>Acryline</t>
  </si>
  <si>
    <t>Softline</t>
  </si>
  <si>
    <t>Contour</t>
  </si>
  <si>
    <t>Color</t>
  </si>
  <si>
    <t>EUN1D_150</t>
  </si>
  <si>
    <t>EUN1D</t>
  </si>
  <si>
    <t>EWU1D_150</t>
  </si>
  <si>
    <t>EWU1D</t>
  </si>
  <si>
    <t>Базовая цена</t>
  </si>
  <si>
    <t>EUG1D_150</t>
  </si>
  <si>
    <t>EUG1D</t>
  </si>
  <si>
    <t>Белый базовый</t>
  </si>
  <si>
    <t>Комплектация №3</t>
  </si>
  <si>
    <t>Для установки цен на фасады Original</t>
  </si>
  <si>
    <t>Ценовая категория пленки</t>
  </si>
  <si>
    <t>МДФ 16 мм</t>
  </si>
  <si>
    <t>МДФ 18/19 мм</t>
  </si>
  <si>
    <t>МДФ 22+ мм</t>
  </si>
  <si>
    <t>EAST</t>
  </si>
  <si>
    <t>WEST</t>
  </si>
  <si>
    <t>Номер пленки</t>
  </si>
  <si>
    <t>Коллекция пленок</t>
  </si>
  <si>
    <t>Категория пленки</t>
  </si>
  <si>
    <t>Цена 16 мм</t>
  </si>
  <si>
    <t>Цена 18/19 мм</t>
  </si>
  <si>
    <t>Цена 22 мм</t>
  </si>
  <si>
    <t>Фрезеровка</t>
  </si>
  <si>
    <t>Тип Фрезеровки</t>
  </si>
  <si>
    <t>Толщина 1</t>
  </si>
  <si>
    <t>Толщина 2</t>
  </si>
  <si>
    <t>101 Венге</t>
  </si>
  <si>
    <t>АЛАБАМА</t>
  </si>
  <si>
    <t>Сложная</t>
  </si>
  <si>
    <t>119 Зебрано темное</t>
  </si>
  <si>
    <t>Арка декоративная</t>
  </si>
  <si>
    <t>Простая</t>
  </si>
  <si>
    <t>124 Мокко</t>
  </si>
  <si>
    <t>АРКА СЛОЖНАЯ</t>
  </si>
  <si>
    <t>125 Зебрано светлое</t>
  </si>
  <si>
    <t>АРКА+</t>
  </si>
  <si>
    <t>127 ДУБ</t>
  </si>
  <si>
    <t>АУРА</t>
  </si>
  <si>
    <t>165 Орех рыжий</t>
  </si>
  <si>
    <t>АУРА ГРОСЕТТО</t>
  </si>
  <si>
    <t>168 ВИШНЯ ШИРАЗ</t>
  </si>
  <si>
    <t>БИЛД (МД_РФ)</t>
  </si>
  <si>
    <t>169 ДУБ МЕЛИНГА ТЕМНЫЙ</t>
  </si>
  <si>
    <t>БИЛД ГОРИЗОНТАЛЬ (МДГ_РФ)</t>
  </si>
  <si>
    <t>174 Вишневые цветы</t>
  </si>
  <si>
    <t>БОСТОН</t>
  </si>
  <si>
    <t>182 ВИШНЕВЫЙ ГЛЯНЕЦ</t>
  </si>
  <si>
    <t>БРЭДФОРД+</t>
  </si>
  <si>
    <t>185 ОРАНЖЕВЫЙ ГЛЯНЕЦ</t>
  </si>
  <si>
    <t>ВАЛЕНТИНО+</t>
  </si>
  <si>
    <t>186 Бук дымчатый</t>
  </si>
  <si>
    <t>ДАКОТА</t>
  </si>
  <si>
    <t>192 МОККО МЕЛИНГА</t>
  </si>
  <si>
    <t>КАМПО +</t>
  </si>
  <si>
    <t>196 ЯСЕНЬ БЕЛЫЙ</t>
  </si>
  <si>
    <t>КЕМБРИДЖ</t>
  </si>
  <si>
    <t>197 ЯСЕНЬ МАРРОН</t>
  </si>
  <si>
    <t>КЛАССИКА 90+</t>
  </si>
  <si>
    <t>198 ДУБ ШАМОНИ</t>
  </si>
  <si>
    <t>КЛАССИКА ДВОЙНАЯ+</t>
  </si>
  <si>
    <t>201 СЛИВКИ ГЛЯНЕЦ</t>
  </si>
  <si>
    <t>211 БЕЛЫЙ ГЛЯНЕЦ</t>
  </si>
  <si>
    <t>КЛАССИКА+</t>
  </si>
  <si>
    <t>212 ЧЕРНЫЙ ГЛЯНЕЦ</t>
  </si>
  <si>
    <t>ЛА ДЕФАНС</t>
  </si>
  <si>
    <t>217 КРАСНЫЙ ГЛЯНЕЦ</t>
  </si>
  <si>
    <t>ЛАНОС</t>
  </si>
  <si>
    <t>218 КАПУЧИНО ГЛЯНЕЦ</t>
  </si>
  <si>
    <t>ЛЖЕВЫБОРКА</t>
  </si>
  <si>
    <t>22 Береза полированная</t>
  </si>
  <si>
    <t>ЛЖЕВЫБОРКА ГОРИЗОНТАЛЬ</t>
  </si>
  <si>
    <t>222 СЛИВА ГЛЯНЕЦ</t>
  </si>
  <si>
    <t>МАГНУМ</t>
  </si>
  <si>
    <t>223 СЛОНОВАЯ КОСТЬ</t>
  </si>
  <si>
    <t>МАГНУМ БИЛД</t>
  </si>
  <si>
    <t>224 МАРЕНГО</t>
  </si>
  <si>
    <t>МОДЕНА</t>
  </si>
  <si>
    <t>226 КРЕМОВЫЙ</t>
  </si>
  <si>
    <t>МОДЕРН</t>
  </si>
  <si>
    <t>229 Лен золотистый</t>
  </si>
  <si>
    <t>МОДЕРН ГОРИЗОНТАЛЬ</t>
  </si>
  <si>
    <t>230 ДУБ ВЫБЕЛЕННЫЙ</t>
  </si>
  <si>
    <t>МОДЕРН ГРОСЕТТО</t>
  </si>
  <si>
    <t>232 ПЭТ ДУБ БОНИФАЧО ГЛЯНЕЦ</t>
  </si>
  <si>
    <t>МОДЕРН с ФРЕЗ. РУЧК. ГОРИЗОНТ</t>
  </si>
  <si>
    <t>233 ПЭТ ФИСТАШКОВЫЙ ГЛЯНЕЦ</t>
  </si>
  <si>
    <t>МОДЕРН с ФРЕЗЕР. РУЧКОЙ</t>
  </si>
  <si>
    <t>236 ДУБ ЧЕСТЕРФИЛД</t>
  </si>
  <si>
    <t>МОНБЕЛЬЯР</t>
  </si>
  <si>
    <t>276 САПФИР</t>
  </si>
  <si>
    <t>НИКОЛЬ</t>
  </si>
  <si>
    <t>277 КЕМБРИЙСКАЯ ГЛИНА</t>
  </si>
  <si>
    <t>ОКСФОРД</t>
  </si>
  <si>
    <t>278 ДОЛОМИТ</t>
  </si>
  <si>
    <t>ПЕТЕРГОФ</t>
  </si>
  <si>
    <t>281 ЙОРКШИРСКИЙ КАШТАН</t>
  </si>
  <si>
    <t>ПИАНО ГОРИЗОНТАЛЬ+</t>
  </si>
  <si>
    <t>283 КАМЕННЫЙ ДУБ</t>
  </si>
  <si>
    <t>ПИАНО+</t>
  </si>
  <si>
    <t>284 ДЖЕССАТО БЕЛЫЙ</t>
  </si>
  <si>
    <t>ПРЯМОУГОЛЬНИК 90+</t>
  </si>
  <si>
    <t>285 ДЖЕССАТО СЕРЫЙ</t>
  </si>
  <si>
    <t>ПРЯМОУГОЛЬНИК ФОЛК</t>
  </si>
  <si>
    <t>286 БЕТОН СЕРЫЙ</t>
  </si>
  <si>
    <t>ПРЯМОУГОЛЬНИК+</t>
  </si>
  <si>
    <t>296 ГРАВИЙ</t>
  </si>
  <si>
    <t>РИФФЕЛЬ</t>
  </si>
  <si>
    <t>300 ЧЕРНЫЙ ГРИФЕЛЬНЫЙ</t>
  </si>
  <si>
    <t>СКАНДИ</t>
  </si>
  <si>
    <t>301 МАГНОЛИЯ</t>
  </si>
  <si>
    <t>СОРБОННА+</t>
  </si>
  <si>
    <t>307 ПЭТ Рифт светлый глянец</t>
  </si>
  <si>
    <t>ЧЕСТЕР</t>
  </si>
  <si>
    <t>308 Рифт Темный глянец</t>
  </si>
  <si>
    <t>ШЕФФИЛД</t>
  </si>
  <si>
    <t>384 БЕЖЕВЫЙ ГЛЯНЕЦ</t>
  </si>
  <si>
    <t>39 ВИШНЯ МАНХЭТТЕН</t>
  </si>
  <si>
    <t>419 ШОКОЛАД ГЛЯНЕЦ</t>
  </si>
  <si>
    <t>45 ЛЕН СОЛНЕЧНЫЙ</t>
  </si>
  <si>
    <t>500 АРКТИЧЕСКИЙ ГЛЯНЦЕВЫЙ</t>
  </si>
  <si>
    <t>501 БЕЛЫЙ СНЕГ СОФТ</t>
  </si>
  <si>
    <t>503 БЕЖЕВЫЙ МАТОВЫЙ СОФТТАЧ</t>
  </si>
  <si>
    <t>504 КВАРЦ СОФТ</t>
  </si>
  <si>
    <t>505 ГРАФИТ СОФТТАЧ</t>
  </si>
  <si>
    <t>506 МУСКАРИ</t>
  </si>
  <si>
    <t>507 АКОНИТ</t>
  </si>
  <si>
    <t>508 ОБРИЕТА</t>
  </si>
  <si>
    <t>509 НИАГАРА</t>
  </si>
  <si>
    <t>510 РОЗА</t>
  </si>
  <si>
    <t>511 БЕЛАЯ СТРУКТУРНАЯ</t>
  </si>
  <si>
    <t>513 ДУБ ФАКТУРНЫЙ БЕЛЫЙ</t>
  </si>
  <si>
    <t>514 ДУБ ВИНТАЖ БЕЛЫЙ</t>
  </si>
  <si>
    <t>515 ЯСЕНЬ КАПУЧИНО АТЛАСНЫЙ</t>
  </si>
  <si>
    <t>516 МУСКАТ СТРУКТУРНЫЙ</t>
  </si>
  <si>
    <t>518 Дуб Шале серый</t>
  </si>
  <si>
    <t>519 ДУБ ШВЕДСКИЙ</t>
  </si>
  <si>
    <t>520 ПРОВАНС САЛАТОВЫЙ ПАТИНА</t>
  </si>
  <si>
    <t>5211 АЛЬБЕРА ЭВКАЛИПТ</t>
  </si>
  <si>
    <t>522 ПРОВАНС ГОЛУБОЙ ПАТИНА</t>
  </si>
  <si>
    <t>524 ЯСЕНЬ ГРАФИТ АТЛАСНЫЙ</t>
  </si>
  <si>
    <t>525 ДУБ ФАКТУРН.ЧЕРНИЛЬНЫЙ</t>
  </si>
  <si>
    <t>526 БЕЛЫЙ МЕТАЛЛИК АЛЯСКА</t>
  </si>
  <si>
    <t>528 АРЬЯ</t>
  </si>
  <si>
    <t>529 САНСА</t>
  </si>
  <si>
    <t>530 МУССОН</t>
  </si>
  <si>
    <t>533 ДУБ НОРВЕЖСКИЙ БЕЛЫЙ</t>
  </si>
  <si>
    <t>534 ЯСЕНЬ КРЕМОВЫЙ</t>
  </si>
  <si>
    <t>535 ЯСЕНЬ СЕРЫЙ</t>
  </si>
  <si>
    <t>536 АУРА ПЕРЛАМУТРОВАЯ</t>
  </si>
  <si>
    <t>537 АУРА ГРАФИТОВАЯ</t>
  </si>
  <si>
    <t>538 БЕЛАЯ ЛИЛИЯ</t>
  </si>
  <si>
    <t>539 МАКИАТО</t>
  </si>
  <si>
    <t>540 АМАРОК</t>
  </si>
  <si>
    <t>541 БЕТОН ОЛЕННА</t>
  </si>
  <si>
    <t>543 АРКАДИЯ</t>
  </si>
  <si>
    <t>544 ОМБРА</t>
  </si>
  <si>
    <t>545 ИРЛАНДСКИЙ МЯТНЫЙ</t>
  </si>
  <si>
    <t>546 НОТТЕ БОСКО</t>
  </si>
  <si>
    <t>547 ОБСИДИАН</t>
  </si>
  <si>
    <t>548 ДУБ КРЕМОВЫЙ</t>
  </si>
  <si>
    <t>549 ДУБ СВЕТЛЫЙ</t>
  </si>
  <si>
    <t>550 БРИЗ</t>
  </si>
  <si>
    <t>551 РАФ</t>
  </si>
  <si>
    <t>552 КЕРАМИКА</t>
  </si>
  <si>
    <t>553 АРЛЕТТ</t>
  </si>
  <si>
    <t>554 БРАУН ГРЕЙ</t>
  </si>
  <si>
    <t>555 РУБЕЛИТ</t>
  </si>
  <si>
    <t>556 ЛОФТ БАЗИЛИК</t>
  </si>
  <si>
    <t>557 ДИКАЯ МЯТА</t>
  </si>
  <si>
    <t>558 ОРЕХ КАНТРИ</t>
  </si>
  <si>
    <t>6 БЕЛЫЙ</t>
  </si>
  <si>
    <t>64 БЕРЕЗА РОЗОВАЯ</t>
  </si>
  <si>
    <t>709 Ольха</t>
  </si>
  <si>
    <t>77 ЖАСМИН ГЛЯНЕЦ</t>
  </si>
  <si>
    <t>90 АКАЦИЯ СВЕТЛАЯ</t>
  </si>
  <si>
    <t>№2 - Hettich</t>
  </si>
  <si>
    <t>№3 – Hafele</t>
  </si>
  <si>
    <t>№3T – Hafele(петли)/Hettich(ящики) Tip-on</t>
  </si>
  <si>
    <t>K</t>
  </si>
  <si>
    <t>коэффициент</t>
  </si>
  <si>
    <t>Параметр</t>
  </si>
  <si>
    <t>Коэф,%</t>
  </si>
  <si>
    <t>Коэф</t>
  </si>
  <si>
    <t>H</t>
  </si>
  <si>
    <t>высота</t>
  </si>
  <si>
    <t>изменение высоты</t>
  </si>
  <si>
    <t>W</t>
  </si>
  <si>
    <t>ширина</t>
  </si>
  <si>
    <t>изменение ширины</t>
  </si>
  <si>
    <t>изм.ширины диагон, угловой, скошенный, радиусный</t>
  </si>
  <si>
    <t>G</t>
  </si>
  <si>
    <t>глубина</t>
  </si>
  <si>
    <t>изменение глубины</t>
  </si>
  <si>
    <t>изменение кол-ва полок</t>
  </si>
  <si>
    <t>цена</t>
  </si>
  <si>
    <t>кол-во</t>
  </si>
  <si>
    <t>стоимость</t>
  </si>
  <si>
    <t xml:space="preserve">КФ петли SENS накл.110 гр. с крестообр. Планкой, вместо KFP-SB-GT120
</t>
  </si>
  <si>
    <t>цена модуля</t>
  </si>
  <si>
    <t>КФ крепежа корпуса 1</t>
  </si>
  <si>
    <t>КФ опора пластиковая 120/150</t>
  </si>
  <si>
    <t>grass</t>
  </si>
  <si>
    <t>hafele</t>
  </si>
  <si>
    <t>шаг по ширине</t>
  </si>
  <si>
    <t>300</t>
  </si>
  <si>
    <t>400</t>
  </si>
  <si>
    <t>500</t>
  </si>
  <si>
    <t>600</t>
  </si>
  <si>
    <t>700</t>
  </si>
  <si>
    <t>800</t>
  </si>
  <si>
    <t>900</t>
  </si>
  <si>
    <t>КФ опора пластиковая 120</t>
  </si>
  <si>
    <t xml:space="preserve">КФ петли SENS накл.110 гр. с крестообр. Планкой
</t>
  </si>
  <si>
    <t>KFP-SB-N110</t>
  </si>
  <si>
    <t xml:space="preserve">KFS-SB-BYT
</t>
  </si>
  <si>
    <t>KFS-SB-BYT_30</t>
  </si>
  <si>
    <t>Корзина с держателем для бутылок 414*500*520 мм</t>
  </si>
  <si>
    <t>КФ евровинт</t>
  </si>
  <si>
    <t>закрыта</t>
  </si>
  <si>
    <t>КФ крепежа корпуса 2</t>
  </si>
  <si>
    <t>КФ крепежа корпуса 4</t>
  </si>
  <si>
    <t xml:space="preserve">КФ петли вклад. 95 гр. с крестообр. планкой
</t>
  </si>
  <si>
    <t>KFP-SB-PY94</t>
  </si>
  <si>
    <t>KFPr-SB-SPL</t>
  </si>
  <si>
    <t>EUN1D, EUN1D_150</t>
  </si>
  <si>
    <t>КФ крепежа корпуса 6</t>
  </si>
  <si>
    <t>EWU1D, EWU1D_150</t>
  </si>
  <si>
    <t>КФ крепежа корпуса 7</t>
  </si>
  <si>
    <t xml:space="preserve">КKFP-SB-GT45
</t>
  </si>
  <si>
    <t>KFP-SB-N45</t>
  </si>
  <si>
    <t>KFN-SB-DWD95</t>
  </si>
  <si>
    <t>KFN-SB-M86</t>
  </si>
  <si>
    <t>KFN-SB-MD</t>
  </si>
  <si>
    <t>КФ ящика Matrix (H=89 мм)_450_GR</t>
  </si>
  <si>
    <t>3T</t>
  </si>
  <si>
    <t>Комплект ящика INNOTECH ATIRA полного выдв. с  PUSH TO OPEN , Н70,NL470,цвет серебристый</t>
  </si>
  <si>
    <t>KFN-SB-DWD95R</t>
  </si>
  <si>
    <t>KFN-SB-M15</t>
  </si>
  <si>
    <t>Комплект короба INNOTECH ATIRA полного выдв. с Push to open, Н176,NL470,рейлинги, цвет серебристый</t>
  </si>
  <si>
    <t>KFN-SB-M54</t>
  </si>
  <si>
    <t>КФ крепежа корпуса 11</t>
  </si>
  <si>
    <t>KFP-SB-GT45</t>
  </si>
  <si>
    <t>КФ крепежа корпуса 9</t>
  </si>
  <si>
    <t>KFP-SB-P95</t>
  </si>
  <si>
    <t>КФ петли вклад. 95 гр. с крестообр. Планкой</t>
  </si>
  <si>
    <t>добавка</t>
  </si>
  <si>
    <t>KFP-SB-GT120</t>
  </si>
  <si>
    <t>КФ  крепления профиля Gola</t>
  </si>
  <si>
    <t>КФ крепежа корпуса 16</t>
  </si>
  <si>
    <t>KFPr-SB-POD</t>
  </si>
  <si>
    <t>KFPr-SB-ZPG</t>
  </si>
  <si>
    <t>КФ НСТ1</t>
  </si>
  <si>
    <t>КФ НСТ11</t>
  </si>
  <si>
    <t xml:space="preserve">KFP-SP-PPGK
</t>
  </si>
  <si>
    <t xml:space="preserve">KFP-SP-PPGK_71
</t>
  </si>
  <si>
    <t>KFP-SP-PPA</t>
  </si>
  <si>
    <t>KFPr-SB-ZPW</t>
  </si>
  <si>
    <t>KFP-SB-PPHF_W</t>
  </si>
  <si>
    <t>КФ крепежа корпуса 13</t>
  </si>
  <si>
    <t>KFPr-SB-SMRZ_16мм</t>
  </si>
  <si>
    <t>КФ крепежа корпуса 15</t>
  </si>
  <si>
    <t>КФ НСТ 14</t>
  </si>
  <si>
    <t xml:space="preserve">KFP-SB-GT120
</t>
  </si>
  <si>
    <t>KFS-SB-45</t>
  </si>
  <si>
    <t>перерасчёт по учётной цене 04/03/24</t>
  </si>
  <si>
    <t>КФ Сушка AFF 600</t>
  </si>
  <si>
    <t>заменила посудосушители на AFF 04/03/24</t>
  </si>
  <si>
    <t>КФ Сушка AFF 800</t>
  </si>
  <si>
    <t>КФ Сушка AFF 900</t>
  </si>
  <si>
    <t xml:space="preserve">KFP-SB-PPHF
</t>
  </si>
  <si>
    <t>КФ сушка 45 одноуровневая</t>
  </si>
  <si>
    <t>КФ сушка 60 одноуровневая</t>
  </si>
  <si>
    <t>KFPr-SB-StK</t>
  </si>
  <si>
    <t>КФ крепежа корпуса 10</t>
  </si>
  <si>
    <t xml:space="preserve"> KFPr-SB-StK 
</t>
  </si>
  <si>
    <t>268, Профиль Gola для подвесных шкафов алюм.16 мм</t>
  </si>
  <si>
    <t>318, Профиль Gola для подвесных шкафов алюм.16 мм</t>
  </si>
  <si>
    <t>368, Профиль Gola для подвесных шкафов алюм.16 мм</t>
  </si>
  <si>
    <t>418, Профиль Gola для подвесных шкафов алюм.16 мм</t>
  </si>
  <si>
    <t>468, Профиль Gola для подвесных шкафов алюм.16 мм</t>
  </si>
  <si>
    <t>568, Профиль Gola для подвесных шкафов алюм.16 мм</t>
  </si>
  <si>
    <t>668, Профиль Gola для подвесных шкафов алюм.16 мм</t>
  </si>
  <si>
    <t>768, Профиль Gola для подвесных шкафов алюм.16 мм</t>
  </si>
  <si>
    <t>868, Профиль Gola для подвесных шкафов алюм.16 мм</t>
  </si>
  <si>
    <t>KFP-SB-PPHF</t>
  </si>
  <si>
    <t>191, Профиль Gola для подвесных шкафов алюм.16 мм</t>
  </si>
  <si>
    <t>241, Профиль Gola для подвесных шкафов алюм.16 мм</t>
  </si>
  <si>
    <t>291, Профиль Gola для подвесных шкафов алюм.16 мм</t>
  </si>
  <si>
    <t>341, Профиль Gola для подвесных шкафов алюм.16 мм</t>
  </si>
  <si>
    <t>391, Профиль Gola для подвесных шкафов алюм.16 мм</t>
  </si>
  <si>
    <t>441, Профиль Gola для подвесных шкафов алюм.16 мм</t>
  </si>
  <si>
    <t>491, Профиль Gola для подвесных шкафов алюм.16 мм</t>
  </si>
  <si>
    <t>ВЫСОТА</t>
  </si>
  <si>
    <t>КФ KEKU</t>
  </si>
  <si>
    <t>EPG1D, EPG1DM</t>
  </si>
  <si>
    <t>шаг по высоте</t>
  </si>
  <si>
    <t>KFN-SB-DWD95R_Gr</t>
  </si>
  <si>
    <t>КФ ящика Matrix (H=175 мм)_450_GR</t>
  </si>
  <si>
    <t>hafele 3t</t>
  </si>
  <si>
    <t>КФ крепежа корпуса 12</t>
  </si>
  <si>
    <t>EPT1B2</t>
  </si>
  <si>
    <t>EPT2B</t>
  </si>
  <si>
    <t>EPG2D, EPG2DM</t>
  </si>
  <si>
    <t>EPSG2D, EPSG2DM</t>
  </si>
  <si>
    <t>EPTG2D, EPTG2DM</t>
  </si>
  <si>
    <t>KFP-SP-PPGK</t>
  </si>
  <si>
    <t>EPTG1B1D, EPTG1B1DM</t>
  </si>
  <si>
    <t>EPP2D</t>
  </si>
  <si>
    <t>перенесена рент.с Gola профиля 8%</t>
  </si>
  <si>
    <t>НИЖНИЕ МОДУЛИ</t>
  </si>
  <si>
    <t>Регистратор</t>
  </si>
  <si>
    <t>Изделие</t>
  </si>
  <si>
    <t>Коэффициент</t>
  </si>
  <si>
    <t>новая цена</t>
  </si>
  <si>
    <t>Наценка</t>
  </si>
  <si>
    <t>Способ расчета цены</t>
  </si>
  <si>
    <t>Формула расчета</t>
  </si>
  <si>
    <t>Заявка на разработку изделия 000024625 от 07.07.2022 0:00:00</t>
  </si>
  <si>
    <t>По формуле</t>
  </si>
  <si>
    <t>K+K*0.008*Окр((H-0.72)/0.01,0)+K*0.0065*Окр((W-0.3)/0.01,0) +?((G-0.56)&gt;0,K*0.03*Окр((G-0.56)/0.01,0),0)</t>
  </si>
  <si>
    <t>Заявка на разработку изделия 000024624 от 07.07.2022 0:00:00</t>
  </si>
  <si>
    <t>Заявка на разработку изделия 000024623 от 07.07.2022 0:00:00</t>
  </si>
  <si>
    <t>Заявка на разработку изделия 000024601 от 07.07.2022 0:00:00</t>
  </si>
  <si>
    <t>Заявка на разработку изделия 000024591 от 07.07.2022 0:00:00</t>
  </si>
  <si>
    <t>Заявка на разработку изделия 000024622 от 07.07.2022 0:00:00</t>
  </si>
  <si>
    <t>Заявка на разработку изделия 000024590 от 07.07.2022 0:00:00</t>
  </si>
  <si>
    <t>Заявка на разработку изделия 000024589 от 07.07.2022 0:00:00</t>
  </si>
  <si>
    <t>Заявка на разработку изделия 000024588 от 07.07.2022 0:00:00</t>
  </si>
  <si>
    <t>Заявка на разработку изделия 000024621 от 07.07.2022 0:00:00</t>
  </si>
  <si>
    <t>K+K*0.008*Окр((H-0.72)/0.01,0)+K*0.0065*Окр((W-0.45)/0.01,0) +?((G-0.56)&gt;0,K*0.03*Окр((G-0.56)/0.01,0),0)</t>
  </si>
  <si>
    <t>Заявка на разработку изделия 000024620 от 07.07.2022 0:00:00</t>
  </si>
  <si>
    <t>K+K*0.0065*Окр((H-0.72)/0.01,0)+K*0.0065*Окр((W-0.45)/0.01,0) +?((G-0.56)&gt;0,K*0.03*Окр((G-0.56)/0.01,0),0)</t>
  </si>
  <si>
    <t>Заявка на разработку изделия 000024617 от 07.07.2022 0:00:00</t>
  </si>
  <si>
    <t>K+K*0.008*Окр((H-0.72)/0.01,0)+K*0.0065*Окр((W-0.75)/0.01,0)</t>
  </si>
  <si>
    <t>Заявка на разработку изделия 000024553 от 07.07.2022 0:00:00</t>
  </si>
  <si>
    <t>K+K*0.008*Окр((H-0.72)/0.01,0)+K*0.0065*Окр((W-0.3)/0.01,0) +?((G-0.315)&gt;0,K*0.03*Окр((G-0.315)/0.01,0),0)</t>
  </si>
  <si>
    <t>Заявка на разработку изделия 000024587 от 07.07.2022 0:00:00</t>
  </si>
  <si>
    <t>Заявка на разработку изделия 000024552 от 07.07.2022 0:00:00</t>
  </si>
  <si>
    <t>Заявка на разработку изделия 000024615 от 07.07.2022 0:00:00</t>
  </si>
  <si>
    <t>Заявка на разработку изделия 000024554 от 07.07.2022 0:00:00</t>
  </si>
  <si>
    <t>Заявка на разработку изделия 000024613 от 07.07.2022 0:00:00</t>
  </si>
  <si>
    <t>K+K*0.008*Окр((H-0.72)/0.01,0)+K*0.018*Окр((W-0.7)/0.01,0)</t>
  </si>
  <si>
    <t>Заявка на разработку изделия 000024612 от 07.07.2022 0:00:00</t>
  </si>
  <si>
    <t>Заявка на разработку изделия 000024611 от 07.07.2022 0:00:00</t>
  </si>
  <si>
    <t>K+K*0.008*Окр((H-0.72)/0.01,0)+K*0.0065*Окр((W-0.3)/0.01,0)</t>
  </si>
  <si>
    <t>Заявка на разработку изделия 000024610 от 07.07.2022 0:00:00</t>
  </si>
  <si>
    <t>Заявка на разработку изделия 000024609 от 07.07.2022 0:00:00</t>
  </si>
  <si>
    <t>Заявка на разработку изделия 000024608 от 07.07.2022 0:00:00</t>
  </si>
  <si>
    <t>Заявка на разработку изделия 000024559 от 07.07.2022 0:00:00</t>
  </si>
  <si>
    <t>Заявка на разработку изделия 000024607 от 07.07.2022 0:00:00</t>
  </si>
  <si>
    <t>Заявка на разработку изделия 000024561 от 07.07.2022 0:00:00</t>
  </si>
  <si>
    <t>Заявка на разработку изделия 000024606 от 07.07.2022 0:00:00</t>
  </si>
  <si>
    <t>K+K*0.008*Окр((H-0.72)/0.01,0)+K*0.0065*Окр((W-0.45)/0.01,0)</t>
  </si>
  <si>
    <t>Заявка на разработку изделия 000024556 от 07.07.2022 0:00:00</t>
  </si>
  <si>
    <t>K+K*0.008*Окр((H-0.72)/0.01,0)+K*0.0065*Окр((W-0.23)/0.01,0) +?((G-0.54)&gt;0,K*0.03*Окр((G-0.54)/0.01,0),0)</t>
  </si>
  <si>
    <t>Заявка на разработку изделия 000024602 от 07.07.2022 0:00:00</t>
  </si>
  <si>
    <t>K+K*0.008*Окр((H-0.72)/0.01,0)+K*0.0065*Окр((W-0.315)/0.01,0) +?((G-0.56)&gt;0,K*0.03*Окр((G-0.56)/0.01,0),0)</t>
  </si>
  <si>
    <t>Заявка на разработку изделия 000024600 от 07.07.2022 0:00:00</t>
  </si>
  <si>
    <t>Заявка на разработку изделия 000024565 от 07.07.2022 0:00:00</t>
  </si>
  <si>
    <t>K+K*0.008*Окр((H-0.72)/0.01,0)+K*0.0065*Окр((W-0.1)/0.01,0) +?((G-0.56)&gt;0,K*0.03*Окр((G-0.56)/0.01,0),0)</t>
  </si>
  <si>
    <t>Заявка на разработку изделия 000024558 от 07.07.2022 0:00:00</t>
  </si>
  <si>
    <t>ENG1F</t>
  </si>
  <si>
    <t>Заявка на разработку изделия 000024614 от 07.07.2022 0:00:00</t>
  </si>
  <si>
    <t>EWU1F1D</t>
  </si>
  <si>
    <t>Заявка на разработку изделия 000024551 от 07.07.2022 0:00:00</t>
  </si>
  <si>
    <t>EWU1F1D_150</t>
  </si>
  <si>
    <t>Заявка на разработку изделия 000024560 от 07.07.2022 0:00:00</t>
  </si>
  <si>
    <t>EMN2B1I</t>
  </si>
  <si>
    <t>K+K*0.008*Окр((H-0.72)/0.01,0)+K*0.016*Окр((W-0.45)/0.01,0)</t>
  </si>
  <si>
    <t>Заявка на разработку изделия 000024605 от 07.07.2022 0:00:00</t>
  </si>
  <si>
    <t>ETN1F1B</t>
  </si>
  <si>
    <t>Заявка на разработку изделия 000024618 от 07.07.2022 0:00:00</t>
  </si>
  <si>
    <t>EWN2F2D</t>
  </si>
  <si>
    <t>Заявка на разработку изделия 000024619 от 07.07.2022 0:00:00</t>
  </si>
  <si>
    <t>EWN1F1D</t>
  </si>
  <si>
    <t>ВЕРХНИЕ МОДУЛИ</t>
  </si>
  <si>
    <t>Заявка на разработку изделия 000024599 от 07.07.2022 0:00:00</t>
  </si>
  <si>
    <t>Заявка на разработку изделия 000024598 от 07.07.2022 0:00:00</t>
  </si>
  <si>
    <t>Заявка на разработку изделия 000024597 от 07.07.2022 0:00:00</t>
  </si>
  <si>
    <t>Заявка на разработку изделия 000024596 от 07.07.2022 0:00:00</t>
  </si>
  <si>
    <t>Заявка на разработку изделия 000024595 от 07.07.2022 0:00:00</t>
  </si>
  <si>
    <t>Заявка на разработку изделия 000024581 от 07.07.2022 0:00:00</t>
  </si>
  <si>
    <t>Заявка на разработку изделия 000024579 от 07.07.2022 0:00:00</t>
  </si>
  <si>
    <t>Заявка на разработку изделия 000024580 от 07.07.2022 0:00:00</t>
  </si>
  <si>
    <t>Заявка на разработку изделия 000024564 от 07.07.2022 0:00:00</t>
  </si>
  <si>
    <t>EMV1K</t>
  </si>
  <si>
    <t>Заявка на разработку изделия 000024586 от 07.07.2022 0:00:00</t>
  </si>
  <si>
    <t>K+K*0.008*Окр((H-0.72)/0.01,0)+K*0.0065*Окр((W-0.45)/0.01,0) +?((G-0.315)&gt;0,K*0.03*Окр((G-0.315)/0.01,0),0)</t>
  </si>
  <si>
    <t>Заявка на разработку изделия 000024583 от 07.07.2022 0:00:00</t>
  </si>
  <si>
    <t>Заявка на разработку изделия 000024584 от 07.07.2022 0:00:00</t>
  </si>
  <si>
    <t>Заявка на разработку изделия 000024628 от 07.07.2022 0:00:00</t>
  </si>
  <si>
    <t>K+K*0.008*Окр((H-0.72)/0.01,0)+K*0.0065*Окр((W-0.315)/0.01,0)</t>
  </si>
  <si>
    <t>Заявка на разработку изделия 000024627 от 07.07.2022 0:00:00</t>
  </si>
  <si>
    <t>Заявка на разработку изделия 000024594 от 07.07.2022 0:00:00</t>
  </si>
  <si>
    <t>K+K*0.008*Окр((H-0.72)/0.01,0)+K*0.0065*Окр((W-0.6)/0.01,0)</t>
  </si>
  <si>
    <t>Заявка на разработку изделия 000024557 от 07.07.2022 0:00:00</t>
  </si>
  <si>
    <t>Заявка на разработку изделия 000024593 от 07.07.2022 0:00:00</t>
  </si>
  <si>
    <t>K+K*0.008*Окр((H-0.68)/0.01,0)+K*0.0065*Окр((W-0.5)/0.01,0) +?((G-0.315)&gt;0,K*0.03*Окр((G-0.315)/0.01,0),0)</t>
  </si>
  <si>
    <t>Заявка на разработку изделия 000024562 от 07.07.2022 0:00:00</t>
  </si>
  <si>
    <t>Заявка на разработку изделия 000024592 от 07.07.2022 0:00:00</t>
  </si>
  <si>
    <t>Заявка на разработку изделия 000024555 от 07.07.2022 0:00:00</t>
  </si>
  <si>
    <t>K+K*0.008*Окр((H-0.96)/0.01,0)+K*0.0065*Окр((W-0.21)/0.01,0) +?((G-0.315)&gt;0,K*0.03*Окр((G-0.315)/0.01,0),0)</t>
  </si>
  <si>
    <t>ПЕНАЛЫ</t>
  </si>
  <si>
    <t>Заявка на разработку изделия 000024577 от 07.07.2022 0:00:00</t>
  </si>
  <si>
    <t>K+K*0.008*Окр((H-1.32)/0.01,0)+K*0.0065*Окр((W-0.6)/0.01,0) +?((G-0.56)&gt;0,K*0.03*Окр((G-0.56)/0.01,0),0)</t>
  </si>
  <si>
    <t>Заявка на разработку изделия 000024637 от 07.07.2022 0:00:00</t>
  </si>
  <si>
    <t>Заявка на разработку изделия 000024636 от 07.07.2022 0:00:00</t>
  </si>
  <si>
    <t>EPG1DM</t>
  </si>
  <si>
    <t>Заявка на разработку изделия 000024578 от 07.07.2022 0:00:01</t>
  </si>
  <si>
    <t>Заявка на разработку изделия 000024576 от 07.07.2022 0:00:00</t>
  </si>
  <si>
    <t>K+K*0.008*Окр((H-1.32)/0.01,0)+K*0.0065*Окр((W-0.6)/0.01,0)</t>
  </si>
  <si>
    <t>Заявка на разработку изделия 000024549 от 07.07.2022 0:00:00</t>
  </si>
  <si>
    <t>Заявка на разработку изделия 000024626 от 07.07.2022 0:00:00</t>
  </si>
  <si>
    <t>Заявка на разработку изделия 000024575 от 07.07.2022 0:00:00</t>
  </si>
  <si>
    <t>K+K*0.008*Окр((H-2.04)/0.01,0)+K*0.0065*Окр((W-0.6)/0.01,0) +?((G-0.56)&gt;0,K*0.03*Окр((G-0.56)/0.01,0),0)</t>
  </si>
  <si>
    <t>Заявка на разработку изделия 000024635 от 07.07.2022 0:00:00</t>
  </si>
  <si>
    <t>EPG2D</t>
  </si>
  <si>
    <t>Заявка на разработку изделия 000024634 от 07.07.2022 0:00:00</t>
  </si>
  <si>
    <t>EPG2DM</t>
  </si>
  <si>
    <t>Заявка на разработку изделия 000024574 от 07.07.2022 0:00:00</t>
  </si>
  <si>
    <t>Заявка на разработку изделия 000024631 от 07.07.2022 0:00:00</t>
  </si>
  <si>
    <t>EPSG2DM</t>
  </si>
  <si>
    <t>Заявка на разработку изделия 000024630 от 07.07.2022 0:00:00</t>
  </si>
  <si>
    <t>Заявка на разработку изделия 000024573 от 07.07.2022 0:00:00</t>
  </si>
  <si>
    <t>K+K*0.008*Окр((H-2.04)/0.01,0)+K*0.0065*Окр((W-0.6)/0.01,0)</t>
  </si>
  <si>
    <t>Заявка на разработку изделия 000024572 от 07.07.2022 0:00:00</t>
  </si>
  <si>
    <t>Заявка на разработку изделия 000024571 от 07.07.2022 0:00:00</t>
  </si>
  <si>
    <t>Заявка на разработку изделия 000024547 от 07.07.2022 0:00:00</t>
  </si>
  <si>
    <t>Заявка на разработку изделия 000024638 от 07.07.2022 0:00:00</t>
  </si>
  <si>
    <t>EPTG2DM</t>
  </si>
  <si>
    <t>Заявка на разработку изделия 000024570 от 07.07.2022 0:00:00</t>
  </si>
  <si>
    <t>Заявка на разработку изделия 000024569 от 07.07.2022 0:00:00</t>
  </si>
  <si>
    <t>Заявка на разработку изделия 000024568 от 07.07.2022 0:00:00</t>
  </si>
  <si>
    <t>Заявка на разработку изделия 000024633 от 07.07.2022 0:00:00</t>
  </si>
  <si>
    <t>Заявка на разработку изделия 000024632 от 07.07.2022 0:00:00</t>
  </si>
  <si>
    <t>EPTG1B1DM</t>
  </si>
  <si>
    <t>Заявка на разработку изделия 000024567 от 07.07.2022 0:00:00</t>
  </si>
  <si>
    <t>Заявка на разработку изделия 000024566 от 07.07.2022 0:00:00</t>
  </si>
  <si>
    <t>K+K*0.008*Окр((H-2.28)/0.01,0)+K*0.0065*Окр((W-0.6)/0.01,0) +?((G-0.56)&gt;0,K*0.03*Окр((G-0.56)/0.01,0),0)</t>
  </si>
  <si>
    <t>трудозатрата на корпусную мебель 01.06.23</t>
  </si>
  <si>
    <t>повышение с 09.01.2024</t>
  </si>
  <si>
    <t>повышение с 11.03.2024</t>
  </si>
  <si>
    <t>кодировка КФ</t>
  </si>
  <si>
    <t>описание</t>
  </si>
  <si>
    <t>размеры корпуса, мм</t>
  </si>
  <si>
    <t>Материалы</t>
  </si>
  <si>
    <t>Трудозатраты (1 мин.на компл.(в ср.5 комплектов)</t>
  </si>
  <si>
    <t>Взносы</t>
  </si>
  <si>
    <t>Переменные расходы</t>
  </si>
  <si>
    <t>Общепроизводственные расходы</t>
  </si>
  <si>
    <t>Общехозяйственые расходы</t>
  </si>
  <si>
    <t>Коммерческие расходы</t>
  </si>
  <si>
    <t>Полная себестоимость без НДС</t>
  </si>
  <si>
    <t>Цена с рентабельностью и НДС 20%</t>
  </si>
  <si>
    <t>Округлённая цена с рент.25% с НДС</t>
  </si>
  <si>
    <t>цены БЗ от 01.09.2023</t>
  </si>
  <si>
    <t>подоражало</t>
  </si>
  <si>
    <t>КФ корпуса</t>
  </si>
  <si>
    <t>КФ крепежа корпуса 3</t>
  </si>
  <si>
    <t>КФ крепежа корпуса 5</t>
  </si>
  <si>
    <t>КФ крепежа корпуса 8</t>
  </si>
  <si>
    <t>КФ крепежа корпуса 14</t>
  </si>
  <si>
    <t>КФ опора пластиковая 150</t>
  </si>
  <si>
    <t>КФ ящиков</t>
  </si>
  <si>
    <t>компл.№2</t>
  </si>
  <si>
    <t>KFN-SB-DWD95_350</t>
  </si>
  <si>
    <t>компл.№3 или №4</t>
  </si>
  <si>
    <t>компл.№3T</t>
  </si>
  <si>
    <t>КФ наполнение</t>
  </si>
  <si>
    <t>KFS-SB-45 (посудосушители)</t>
  </si>
  <si>
    <t>KFS-SB-60 (посудосушители)</t>
  </si>
  <si>
    <t>KFS-SB-80 (посудосушители)</t>
  </si>
  <si>
    <t>KFS-SB-90 (посудосушители)</t>
  </si>
  <si>
    <t>KFS-SB-BYT</t>
  </si>
  <si>
    <t>КФ сушка 90 одноуровневая</t>
  </si>
  <si>
    <r>
      <t xml:space="preserve">КФ сушка 45 </t>
    </r>
    <r>
      <rPr>
        <b/>
        <sz val="9"/>
        <rFont val="Times New Roman"/>
        <family val="1"/>
        <charset val="204"/>
      </rPr>
      <t>двухуровневая</t>
    </r>
  </si>
  <si>
    <r>
      <t xml:space="preserve">КФ сушка 60 </t>
    </r>
    <r>
      <rPr>
        <b/>
        <sz val="9"/>
        <rFont val="Times New Roman"/>
        <family val="1"/>
        <charset val="204"/>
      </rPr>
      <t>двухуровневая</t>
    </r>
  </si>
  <si>
    <r>
      <t xml:space="preserve">КФ сушка 80 </t>
    </r>
    <r>
      <rPr>
        <b/>
        <sz val="9"/>
        <rFont val="Times New Roman"/>
        <family val="1"/>
        <charset val="204"/>
      </rPr>
      <t>двухуровневая</t>
    </r>
  </si>
  <si>
    <r>
      <t xml:space="preserve">КФ сушка 90 </t>
    </r>
    <r>
      <rPr>
        <b/>
        <sz val="9"/>
        <rFont val="Times New Roman"/>
        <family val="1"/>
        <charset val="204"/>
      </rPr>
      <t>двухуровневая</t>
    </r>
  </si>
  <si>
    <t>КФ петель и подъемников</t>
  </si>
  <si>
    <t>компл.№1</t>
  </si>
  <si>
    <t>КФ петля полунакладная угловая 45/95 град. с крестообр. Планкой</t>
  </si>
  <si>
    <t>компл.№3</t>
  </si>
  <si>
    <t>KFP-SB-GT90</t>
  </si>
  <si>
    <t>КФ петли накл.110 гр. с крестообр. Планкой</t>
  </si>
  <si>
    <t>KFP-SB-GT110</t>
  </si>
  <si>
    <t>КФ петли SENS накл.110 гр. с крестообр. Планкой</t>
  </si>
  <si>
    <t>КФ Aventos HK-S 02_Gr</t>
  </si>
  <si>
    <t>КФ Aventos HK-S 04_Gr</t>
  </si>
  <si>
    <t>КФ Aventos HK 03_Gr</t>
  </si>
  <si>
    <t>KFP-SP-PPGK_71</t>
  </si>
  <si>
    <t>KFP-SB-PPHF_G</t>
  </si>
  <si>
    <t>КФ прочее</t>
  </si>
  <si>
    <t>КФ навесы для шкафа</t>
  </si>
  <si>
    <t>КФ для полки 4</t>
  </si>
  <si>
    <t>КФ для полки 5</t>
  </si>
  <si>
    <t>КФ для стеклянной полки 4</t>
  </si>
  <si>
    <t>КФ для стеклянной полки 5</t>
  </si>
  <si>
    <t>Профиль Gola для подвесных шкафов алюм.16 мм</t>
  </si>
  <si>
    <t>Профиль Gola 8012 вертик.центральный алюм.16 мм</t>
  </si>
  <si>
    <t>Профиль Gola 8018 вертик.боковой алюм.16 мм</t>
  </si>
  <si>
    <t>Толкатель врезной, Type 3 (синий):26-48 N</t>
  </si>
  <si>
    <t>Толкатель врезной, Type 2 (желтый):22-34 N</t>
  </si>
  <si>
    <t>КФ для DSN</t>
  </si>
  <si>
    <t>QUADRO V6 30/450</t>
  </si>
  <si>
    <t>Комплектация №2</t>
  </si>
  <si>
    <t>Комплектация №3Т</t>
  </si>
  <si>
    <t>EMN1K_150</t>
  </si>
  <si>
    <t>EMN1K_450</t>
  </si>
  <si>
    <t>КФ петли вклад. 95 гр. с крестообр. планкой</t>
  </si>
  <si>
    <t>КKFP-SB-GT45</t>
  </si>
  <si>
    <t>ENG1K_150</t>
  </si>
  <si>
    <t>ENG1K_450</t>
  </si>
  <si>
    <t>EMV1V_360</t>
  </si>
  <si>
    <t>EMV1V_600</t>
  </si>
  <si>
    <t>EWV1D_450</t>
  </si>
  <si>
    <t>EWV1D_600</t>
  </si>
  <si>
    <t>EWV2D_600</t>
  </si>
  <si>
    <t>EWV2D_800</t>
  </si>
  <si>
    <t>EWV2D_900</t>
  </si>
  <si>
    <t>EWV2V_450</t>
  </si>
  <si>
    <t>EWV1V_450</t>
  </si>
  <si>
    <t>EWV1V_600</t>
  </si>
  <si>
    <t xml:space="preserve"> KFPr-SB-StK </t>
  </si>
  <si>
    <t>Базовая ширина</t>
  </si>
  <si>
    <t>Базовая высота</t>
  </si>
  <si>
    <t>Фасады,м2</t>
  </si>
  <si>
    <t>1 дверь+Бленда+Полки+Угловой_отступ_150</t>
  </si>
  <si>
    <t>1 дверь+Бленда+Полки+Угловой_отступ_250</t>
  </si>
  <si>
    <t>1 дверь+Бленда+Мойка+Угловой_отступ_250</t>
  </si>
  <si>
    <t>1 дверь+Бленда+Мойка+Угловой_отступ_150</t>
  </si>
  <si>
    <t>1 дверь+Сушилка_450</t>
  </si>
  <si>
    <t>1 дверь+Сушилка_600</t>
  </si>
  <si>
    <t>2 двери+Сушилка_600</t>
  </si>
  <si>
    <t>2 двери+Сушилка_800</t>
  </si>
  <si>
    <t>2 двери+Сушилка_900</t>
  </si>
  <si>
    <t>2 фасада+Подъемник складной+Сушилка_450</t>
  </si>
  <si>
    <t>1 фасад+Подъемник поворотный+Сушилка_450</t>
  </si>
  <si>
    <t>1 фасад+Подъемник поворотный+Сушилка_600</t>
  </si>
  <si>
    <t>Gola+1 дверь+Бленда+Полки+Угловой_Отступ_250+Низ</t>
  </si>
  <si>
    <t>Gola+1 дверь+Бленда+Полки+Угловой_Отступ_150+Низ</t>
  </si>
  <si>
    <t>1 дверь+Корзина_150</t>
  </si>
  <si>
    <t>1 дверь+Корзина_450</t>
  </si>
  <si>
    <t>1 фасад+Подъемник поворотный_h_360</t>
  </si>
  <si>
    <t>1 фасад+Подъемник поворотный_h_600</t>
  </si>
  <si>
    <t>EPT2D_455</t>
  </si>
  <si>
    <t>EPT2D_595</t>
  </si>
  <si>
    <t>2 двери + 1 Ниша под технику_455</t>
  </si>
  <si>
    <t>2 двери + 1 Ниша под технику_595</t>
  </si>
  <si>
    <t>EPTG2D_455</t>
  </si>
  <si>
    <t>EPTG2D_595</t>
  </si>
  <si>
    <t>Gola+2 двери +1 Ниша под технику_455</t>
  </si>
  <si>
    <t>Gola+2 двери +1 Ниша под технику_595</t>
  </si>
  <si>
    <t>EPT2B1D_382</t>
  </si>
  <si>
    <t>EPT2B1D_455</t>
  </si>
  <si>
    <t>EPT2B1D_595</t>
  </si>
  <si>
    <t>Полки,м2</t>
  </si>
  <si>
    <t>Полки min,шт.</t>
  </si>
  <si>
    <t>Полки max,шт.</t>
  </si>
  <si>
    <t>Цена корпуса</t>
  </si>
  <si>
    <t>Полки,шт.</t>
  </si>
  <si>
    <t>Цена,м2</t>
  </si>
  <si>
    <t>Полки ЛДСП</t>
  </si>
  <si>
    <t>Бленда</t>
  </si>
  <si>
    <t>Цена фасадов</t>
  </si>
  <si>
    <t>Цена полок</t>
  </si>
  <si>
    <t>Скидка</t>
  </si>
  <si>
    <t>Цена Gola</t>
  </si>
  <si>
    <t>Базовая цена корпуса</t>
  </si>
  <si>
    <t>Базовая глубина</t>
  </si>
  <si>
    <t>Коэфф.высота</t>
  </si>
  <si>
    <t>Коэфф.ширина</t>
  </si>
  <si>
    <t>Коэфф.глубина</t>
  </si>
  <si>
    <t>в формуле в бз нет изменения по глубине</t>
  </si>
  <si>
    <t>Тип фасада</t>
  </si>
  <si>
    <t>Прямой глухой</t>
  </si>
  <si>
    <t>Прямой решетка</t>
  </si>
  <si>
    <t>Столешницы</t>
  </si>
  <si>
    <t>Название</t>
  </si>
  <si>
    <t>Производитель</t>
  </si>
  <si>
    <t>ARAGON STONE</t>
  </si>
  <si>
    <t>PATINA ROCK</t>
  </si>
  <si>
    <t>RAJA BLACK</t>
  </si>
  <si>
    <t>EMPIRE SLATE</t>
  </si>
  <si>
    <t>REMINGTON MINE</t>
  </si>
  <si>
    <t>RUSTY METAL</t>
  </si>
  <si>
    <t>GRANIC VEIN</t>
  </si>
  <si>
    <t>SMOKE GRANITE</t>
  </si>
  <si>
    <t>GRAY STUCCO</t>
  </si>
  <si>
    <t>SNOW STUCCO</t>
  </si>
  <si>
    <t>LIME ROCK</t>
  </si>
  <si>
    <t>VIOLA CHERRY</t>
  </si>
  <si>
    <t>RESOPAL (Германия)</t>
  </si>
  <si>
    <t>Макс.длина</t>
  </si>
  <si>
    <t>Макс Ширина</t>
  </si>
  <si>
    <t>SHABBY WHITE</t>
  </si>
  <si>
    <t>GRAY MARBLE</t>
  </si>
  <si>
    <t>JURASSIC ROCK</t>
  </si>
  <si>
    <t>SNOW CERAMICS</t>
  </si>
  <si>
    <t>МРАМОР ГРАФИТОВЫЙ</t>
  </si>
  <si>
    <t>ЛА СКАЛА</t>
  </si>
  <si>
    <t>ДУБ ФРАНЦУЗСКИЙ</t>
  </si>
  <si>
    <t>ЧЁРНЫЙ</t>
  </si>
  <si>
    <t>МРАМОР СЕРЕБРИСТЫЙ</t>
  </si>
  <si>
    <t>ГАЛИЯ</t>
  </si>
  <si>
    <t>СЕМОЛИНА КАРАМЕЛЬНАЯ</t>
  </si>
  <si>
    <t>SLOTEX (Россия)</t>
  </si>
  <si>
    <t>НЕАПОЛЬ</t>
  </si>
  <si>
    <t>600 х 1200</t>
  </si>
  <si>
    <t>600 х 2100</t>
  </si>
  <si>
    <t>600 х 3000</t>
  </si>
  <si>
    <t>600 х 4200</t>
  </si>
  <si>
    <t>Цвет столешницы</t>
  </si>
  <si>
    <t>Толщина столешницы</t>
  </si>
  <si>
    <t>Гнутый глухой</t>
  </si>
  <si>
    <t>Стоимость</t>
  </si>
  <si>
    <t>Наличие витрин</t>
  </si>
  <si>
    <t>нет</t>
  </si>
  <si>
    <t>Погонаж и комплектующие</t>
  </si>
  <si>
    <t>2704*</t>
  </si>
  <si>
    <t>4576*</t>
  </si>
  <si>
    <t>4160*</t>
  </si>
  <si>
    <t>*Стоимость чёрного профиля равна цене алюминиевого профиля с коэфф.</t>
  </si>
  <si>
    <t>Цвет</t>
  </si>
  <si>
    <t>Сортировка</t>
  </si>
  <si>
    <t>601 х 3000</t>
  </si>
  <si>
    <t>EVU1D</t>
  </si>
  <si>
    <t>Инфо о комплектации</t>
  </si>
  <si>
    <t>Все комплектации доступны</t>
  </si>
  <si>
    <t>Модуль недоступен в компл.№3 и 3T</t>
  </si>
  <si>
    <t>Модуль недоступен в компл. 3T</t>
  </si>
  <si>
    <t>Модуль не доступен в комплектации №2 и №3T</t>
  </si>
  <si>
    <t>Тип модуля</t>
  </si>
  <si>
    <t>Tip-on</t>
  </si>
  <si>
    <t>Прямой витрина</t>
  </si>
  <si>
    <t>Уровень модуля</t>
  </si>
  <si>
    <t>Верх</t>
  </si>
  <si>
    <t>Низ</t>
  </si>
  <si>
    <t>Полки по умолчанию</t>
  </si>
  <si>
    <t>ШИНШИЛЛА S.150</t>
  </si>
  <si>
    <t>СВЕТЛО-КОРИЧНЕВЫЙ S.302</t>
  </si>
  <si>
    <t>НАСЫЩЕННЫЙ БЕЛЫЙ S.300</t>
  </si>
  <si>
    <t>ЖЕМЧУЖНО-БЕЛЫЙ S.301</t>
  </si>
  <si>
    <t>* БЕСЦВЕТНОЕ ПРОЗРАЧНОЕ S.051</t>
  </si>
  <si>
    <t>* БЕЛЫЙ САТИНАТ S.100</t>
  </si>
  <si>
    <t>БРОНЗА ПРОЗРАЧНАЯ S.052</t>
  </si>
  <si>
    <t>ЗЕРКАЛО БЕСЦВЕТНОЕ S.500</t>
  </si>
  <si>
    <t>БРОНЗА САТИНАТ S.101</t>
  </si>
  <si>
    <t>МАРЛЕВКА S.155</t>
  </si>
  <si>
    <t>ОВЕС БЕСЦВЕТНОЕ S.104</t>
  </si>
  <si>
    <t>КАФЕДРАЛ S.153</t>
  </si>
  <si>
    <t>Декоративная решётка в витрину</t>
  </si>
  <si>
    <t>Цена</t>
  </si>
  <si>
    <t>Цвет стекла</t>
  </si>
  <si>
    <r>
      <t xml:space="preserve">Профиль </t>
    </r>
    <r>
      <rPr>
        <b/>
        <sz val="12"/>
        <rFont val="Calibri"/>
        <family val="2"/>
        <charset val="204"/>
        <scheme val="minor"/>
      </rPr>
      <t>Gola 8006</t>
    </r>
    <r>
      <rPr>
        <sz val="12"/>
        <rFont val="Calibri"/>
        <family val="2"/>
        <charset val="204"/>
        <scheme val="minor"/>
      </rPr>
      <t xml:space="preserve"> горизонтальный верхний, 4200 мм,шт</t>
    </r>
  </si>
  <si>
    <r>
      <t xml:space="preserve">Комплект углов (внутр.и внешн.) для горизонт. верхнего профиля </t>
    </r>
    <r>
      <rPr>
        <b/>
        <sz val="12"/>
        <rFont val="Calibri"/>
        <family val="2"/>
        <charset val="204"/>
        <scheme val="minor"/>
      </rPr>
      <t>Gola 8006</t>
    </r>
    <r>
      <rPr>
        <sz val="12"/>
        <rFont val="Calibri"/>
        <family val="2"/>
        <charset val="204"/>
        <scheme val="minor"/>
      </rPr>
      <t>,компл</t>
    </r>
  </si>
  <si>
    <r>
      <t xml:space="preserve">Комплект закр.заглушек (2шт) для горизонт. верхн. профиля </t>
    </r>
    <r>
      <rPr>
        <b/>
        <sz val="12"/>
        <rFont val="Calibri"/>
        <family val="2"/>
        <charset val="204"/>
        <scheme val="minor"/>
      </rPr>
      <t>Gola 8006</t>
    </r>
    <r>
      <rPr>
        <sz val="12"/>
        <rFont val="Calibri"/>
        <family val="2"/>
        <charset val="204"/>
        <scheme val="minor"/>
      </rPr>
      <t>,компл</t>
    </r>
  </si>
  <si>
    <r>
      <t xml:space="preserve">Профиль </t>
    </r>
    <r>
      <rPr>
        <b/>
        <sz val="12"/>
        <rFont val="Calibri"/>
        <family val="2"/>
        <charset val="204"/>
        <scheme val="minor"/>
      </rPr>
      <t>Gola 8007</t>
    </r>
    <r>
      <rPr>
        <sz val="12"/>
        <rFont val="Calibri"/>
        <family val="2"/>
        <charset val="204"/>
        <scheme val="minor"/>
      </rPr>
      <t xml:space="preserve"> горизонтальный средний, 4200 мм,шт</t>
    </r>
  </si>
  <si>
    <r>
      <t xml:space="preserve">Комплект закр.заглушек (2 шт) для горизонт. средн.профиля </t>
    </r>
    <r>
      <rPr>
        <b/>
        <sz val="12"/>
        <rFont val="Calibri"/>
        <family val="2"/>
        <charset val="204"/>
        <scheme val="minor"/>
      </rPr>
      <t>Gola 8007</t>
    </r>
    <r>
      <rPr>
        <sz val="12"/>
        <rFont val="Calibri"/>
        <family val="2"/>
        <charset val="204"/>
        <scheme val="minor"/>
      </rPr>
      <t>,компл</t>
    </r>
  </si>
  <si>
    <r>
      <t xml:space="preserve">Профиль </t>
    </r>
    <r>
      <rPr>
        <b/>
        <sz val="12"/>
        <rFont val="Calibri"/>
        <family val="2"/>
        <charset val="204"/>
        <scheme val="minor"/>
      </rPr>
      <t>Gola 8012</t>
    </r>
    <r>
      <rPr>
        <sz val="12"/>
        <rFont val="Calibri"/>
        <family val="2"/>
        <charset val="204"/>
        <scheme val="minor"/>
      </rPr>
      <t xml:space="preserve"> вертикальный центральный 16 мм, 4700 мм,шт</t>
    </r>
  </si>
  <si>
    <r>
      <t xml:space="preserve">Профиль </t>
    </r>
    <r>
      <rPr>
        <b/>
        <sz val="12"/>
        <rFont val="Calibri"/>
        <family val="2"/>
        <charset val="204"/>
        <scheme val="minor"/>
      </rPr>
      <t>Gola 8018</t>
    </r>
    <r>
      <rPr>
        <sz val="12"/>
        <rFont val="Calibri"/>
        <family val="2"/>
        <charset val="204"/>
        <scheme val="minor"/>
      </rPr>
      <t xml:space="preserve"> вертикальный боковой 16 мм, 4500 мм,шт</t>
    </r>
  </si>
  <si>
    <r>
      <t xml:space="preserve">Комплект суппортов (2 шт) для крепления профиля </t>
    </r>
    <r>
      <rPr>
        <b/>
        <sz val="12"/>
        <rFont val="Calibri"/>
        <family val="2"/>
        <charset val="204"/>
        <scheme val="minor"/>
      </rPr>
      <t>Gola,компл</t>
    </r>
  </si>
  <si>
    <t>Доступ к стеклянным полкам</t>
  </si>
  <si>
    <t>1 дверь+1 ящик+ 1 Ниша под технику_455</t>
  </si>
  <si>
    <t>1 дверь+1 ящик+ 1 Ниша под технику_595</t>
  </si>
  <si>
    <t>1 дверь + 1 ящик+ 2 Ниши под технику_382_595</t>
  </si>
  <si>
    <t>Gola+1 дверь+1 ящик+ 2 Ниши под технику_382_595</t>
  </si>
  <si>
    <t>1 подъемник+1 дверь+2 Ниши под технику_382_595</t>
  </si>
  <si>
    <t>2040_1_2041 - 2280_2</t>
  </si>
  <si>
    <t>2100_1_2101 - 2280_2</t>
  </si>
  <si>
    <t>Если модуль &gt;=2101 добавляется еще петля</t>
  </si>
  <si>
    <t>1 дверь+1 ящик+1 Ниша под технику_382</t>
  </si>
  <si>
    <t>2100_2_2101 - 2280_3</t>
  </si>
  <si>
    <t>2100_2_2101 - 2280_4</t>
  </si>
  <si>
    <t>EPT1D_455</t>
  </si>
  <si>
    <t>EPT1D_595</t>
  </si>
  <si>
    <t>1 дверь+1 Ниша под технику_455+Полки</t>
  </si>
  <si>
    <t>1 дверь+1 Ниша под технику_595+Полки</t>
  </si>
  <si>
    <t>EPT1B_380</t>
  </si>
  <si>
    <t>EPT1B_455</t>
  </si>
  <si>
    <t>EPT1B_584</t>
  </si>
  <si>
    <t>1 ящик+1 Ниша под технику_380</t>
  </si>
  <si>
    <t>1 ящик+1 Ниша под технику_455</t>
  </si>
  <si>
    <t>1 ящик+1 Ниша под технику_584</t>
  </si>
  <si>
    <t>Или 0 полок или 4 Полки</t>
  </si>
  <si>
    <t>При выборе 2280</t>
  </si>
  <si>
    <t>1 фасад+Подъемник поворотный+Сушилка_900</t>
  </si>
  <si>
    <t>EWV1V_900</t>
  </si>
  <si>
    <t>480/600/720/960 шаг высоты</t>
  </si>
  <si>
    <t>c 960 идет три полки
с 600 - 1 полка
с 720 - 2 полки
с 480 - 1 полка</t>
  </si>
  <si>
    <t>ERV1D_480</t>
  </si>
  <si>
    <t>ERV1D_600</t>
  </si>
  <si>
    <t>ERV1D_720</t>
  </si>
  <si>
    <t>ERV1D_960</t>
  </si>
  <si>
    <t>1 дверь+Радиус+Торцевой+1 Полка+Верхний</t>
  </si>
  <si>
    <t>1 дверь+Радиус+Торцевой+2 Полки+Верхний</t>
  </si>
  <si>
    <t>1 дверь+Радиус+Торцевой+3 Полки+Верхний</t>
  </si>
  <si>
    <t>c 960 3 полки 360 - 1 полка 720 - 2 полки</t>
  </si>
  <si>
    <t>c 960 3 полки 360 - 1 полка 720 - 2 полки 480 - 2 полки</t>
  </si>
  <si>
    <t>c 960 3 полки 360 - 1 полка 720 - 2 полки 360 - 1 полка</t>
  </si>
  <si>
    <t>ESVX1D_720</t>
  </si>
  <si>
    <t>ESVX1D_960</t>
  </si>
  <si>
    <t>1250 - 2 полки 960 - 1 полка 720 - нет полок 601 - нет полок</t>
  </si>
  <si>
    <t>720 - 2 полки или без полок 960 - 3 полки</t>
  </si>
  <si>
    <t>720 - 1 полка по умолчанию 440 нет полок 960 -2 полки</t>
  </si>
  <si>
    <t>1210 - 2 полки</t>
  </si>
  <si>
    <t>720 - 2 полки максимум, но может быть и без полок</t>
  </si>
  <si>
    <t>EHV1D_720</t>
  </si>
  <si>
    <t>EHV1D_960</t>
  </si>
  <si>
    <t>1 дверь+Вытяжка h=720</t>
  </si>
  <si>
    <t>1 дверь+Вытяжка h=960</t>
  </si>
  <si>
    <t>2 двери+Вытяжка h=720</t>
  </si>
  <si>
    <t>EHV2D_720</t>
  </si>
  <si>
    <t>EHV2D_960</t>
  </si>
  <si>
    <t>2 двери+Вытяжка h=960</t>
  </si>
  <si>
    <t>960 по умолчанию есть полка</t>
  </si>
  <si>
    <t>720 - две полки макс, 0 может быть 960 3 полки 1250 - 3 полки</t>
  </si>
  <si>
    <t>2 двери+Полки + Пенал</t>
  </si>
  <si>
    <t>1 дверь+ Полки + Пенал</t>
  </si>
  <si>
    <t>1 дверь+Скошенный+Полки h=960</t>
  </si>
  <si>
    <t>1 дверь+Скошенный+Полки h=720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</si>
</sst>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4" formatCode="_-* #,##0.00\ &quot;₽&quot;_-;\-* #,##0.00\ &quot;₽&quot;_-;_-* &quot;-&quot;??\ &quot;₽&quot;_-;_-@_-"/>
    <numFmt numFmtId="43" formatCode="_-* #,##0.00_-;\-* #,##0.00_-;_-* &quot;-&quot;??_-;_-@_-"/>
    <numFmt numFmtId="164" formatCode="0.0"/>
    <numFmt numFmtId="165" formatCode="_-* #,##0.00\ _₽_-;\-* #,##0.00\ _₽_-;_-* &quot;-&quot;??\ _₽_-;_-@_-"/>
    <numFmt numFmtId="166" formatCode="dd/mm/yy;@"/>
    <numFmt numFmtId="167" formatCode="0.0%"/>
    <numFmt numFmtId="168" formatCode="_-* #,##0\ _₽_-;\-* #,##0\ _₽_-;_-* &quot;-&quot;??\ _₽_-;_-@_-"/>
    <numFmt numFmtId="169" formatCode="_-* #,##0.0\ _₽_-;\-* #,##0.0\ _₽_-;_-* &quot;-&quot;??\ _₽_-;_-@_-"/>
    <numFmt numFmtId="170" formatCode="#,##0.0000"/>
  </numFmts>
  <fonts count="49" x14ac:knownFonts="1">
    <font>
      <sz val="11"/>
      <color theme="1"/>
      <name val="Calibri"/>
      <family val="2"/>
      <charset val="204"/>
      <scheme val="minor"/>
    </font>
    <font>
      <b/>
      <sz val="12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name val="Times New Roman"/>
      <family val="1"/>
      <charset val="204"/>
    </font>
    <font>
      <b/>
      <sz val="11"/>
      <color theme="1"/>
      <name val="Times New Roman"/>
      <family val="1"/>
      <charset val="204"/>
    </font>
    <font>
      <b/>
      <sz val="11"/>
      <name val="Calibri"/>
      <family val="2"/>
      <charset val="204"/>
      <scheme val="minor"/>
    </font>
    <font>
      <sz val="8"/>
      <name val="Calibri"/>
      <family val="2"/>
      <charset val="204"/>
      <scheme val="minor"/>
    </font>
    <font>
      <sz val="11"/>
      <color rgb="FF000000"/>
      <name val="Calibri"/>
      <family val="2"/>
      <charset val="204"/>
    </font>
    <font>
      <sz val="10"/>
      <color theme="1"/>
      <name val="Calibri"/>
      <family val="2"/>
      <charset val="204"/>
      <scheme val="minor"/>
    </font>
    <font>
      <sz val="10"/>
      <name val="Arial Cyr"/>
      <charset val="204"/>
    </font>
    <font>
      <sz val="8"/>
      <name val="Arial"/>
      <family val="2"/>
    </font>
    <font>
      <sz val="11"/>
      <name val="Arial"/>
      <family val="2"/>
      <charset val="204"/>
    </font>
    <font>
      <sz val="10"/>
      <color theme="1"/>
      <name val="Arial Cyr"/>
      <charset val="204"/>
    </font>
    <font>
      <sz val="9"/>
      <color rgb="FFFF0000"/>
      <name val="Times New Roman"/>
      <family val="1"/>
      <charset val="204"/>
    </font>
    <font>
      <sz val="9"/>
      <name val="Times New Roman"/>
      <family val="1"/>
      <charset val="204"/>
    </font>
    <font>
      <sz val="9"/>
      <color rgb="FF7030A0"/>
      <name val="Times New Roman"/>
      <family val="1"/>
      <charset val="204"/>
    </font>
    <font>
      <sz val="9"/>
      <color rgb="FF00B0F0"/>
      <name val="Times New Roman"/>
      <family val="1"/>
      <charset val="204"/>
    </font>
    <font>
      <sz val="11"/>
      <color theme="1"/>
      <name val="Times New Roman"/>
      <family val="1"/>
      <charset val="204"/>
    </font>
    <font>
      <sz val="10"/>
      <color theme="2" tint="-0.499984740745262"/>
      <name val="Arial Cyr"/>
      <charset val="204"/>
    </font>
    <font>
      <sz val="9"/>
      <color theme="2" tint="-0.499984740745262"/>
      <name val="Times New Roman"/>
      <family val="1"/>
      <charset val="204"/>
    </font>
    <font>
      <b/>
      <sz val="9"/>
      <color rgb="FFFF0000"/>
      <name val="Arial Cyr"/>
      <charset val="204"/>
    </font>
    <font>
      <sz val="9"/>
      <color theme="2" tint="-0.499984740745262"/>
      <name val="Arial Cyr"/>
      <charset val="204"/>
    </font>
    <font>
      <sz val="9"/>
      <color theme="1"/>
      <name val="Times New Roman"/>
      <family val="1"/>
      <charset val="204"/>
    </font>
    <font>
      <b/>
      <sz val="9"/>
      <color theme="1"/>
      <name val="Arial Cyr"/>
      <charset val="204"/>
    </font>
    <font>
      <sz val="11"/>
      <name val="Times New Roman"/>
      <family val="1"/>
      <charset val="204"/>
    </font>
    <font>
      <sz val="11"/>
      <color theme="2" tint="-0.499984740745262"/>
      <name val="Times New Roman"/>
      <family val="1"/>
      <charset val="204"/>
    </font>
    <font>
      <sz val="11"/>
      <color rgb="FFFF0000"/>
      <name val="Times New Roman"/>
      <family val="1"/>
      <charset val="204"/>
    </font>
    <font>
      <sz val="10"/>
      <color rgb="FFFF0000"/>
      <name val="Arial Cyr"/>
      <charset val="204"/>
    </font>
    <font>
      <sz val="9"/>
      <color rgb="FFFF0000"/>
      <name val="Arial Cyr"/>
      <charset val="204"/>
    </font>
    <font>
      <sz val="10"/>
      <color theme="3"/>
      <name val="Arial Cyr"/>
      <charset val="204"/>
    </font>
    <font>
      <sz val="9"/>
      <color theme="3"/>
      <name val="Times New Roman"/>
      <family val="1"/>
      <charset val="204"/>
    </font>
    <font>
      <sz val="9"/>
      <color theme="3"/>
      <name val="Arial Cyr"/>
      <charset val="204"/>
    </font>
    <font>
      <sz val="10"/>
      <color rgb="FF4D4D4D"/>
      <name val="Arial"/>
      <family val="2"/>
      <charset val="204"/>
    </font>
    <font>
      <sz val="8"/>
      <color rgb="FF333333"/>
      <name val="Arial"/>
      <family val="2"/>
    </font>
    <font>
      <sz val="8"/>
      <color rgb="FFFF0000"/>
      <name val="Arial"/>
      <family val="2"/>
    </font>
    <font>
      <b/>
      <sz val="9"/>
      <color indexed="81"/>
      <name val="Tahoma"/>
      <family val="2"/>
      <charset val="204"/>
    </font>
    <font>
      <sz val="9"/>
      <color indexed="81"/>
      <name val="Tahoma"/>
      <family val="2"/>
      <charset val="204"/>
    </font>
    <font>
      <u/>
      <sz val="9"/>
      <name val="Times New Roman"/>
      <family val="1"/>
      <charset val="204"/>
    </font>
    <font>
      <sz val="10"/>
      <color indexed="8"/>
      <name val="Arial"/>
      <family val="2"/>
    </font>
    <font>
      <b/>
      <sz val="9"/>
      <name val="Times New Roman"/>
      <family val="1"/>
      <charset val="204"/>
    </font>
    <font>
      <sz val="10"/>
      <color indexed="8"/>
      <name val="Times New Roman"/>
      <family val="1"/>
      <charset val="204"/>
    </font>
    <font>
      <sz val="10"/>
      <color rgb="FF000000"/>
      <name val="Calibri"/>
      <family val="2"/>
    </font>
    <font>
      <sz val="9"/>
      <name val="Arial Cyr"/>
      <charset val="204"/>
    </font>
    <font>
      <sz val="8"/>
      <color theme="1"/>
      <name val="Calibri"/>
      <family val="2"/>
      <charset val="204"/>
      <scheme val="minor"/>
    </font>
    <font>
      <b/>
      <sz val="12"/>
      <name val="Calibri"/>
      <family val="2"/>
      <charset val="204"/>
      <scheme val="minor"/>
    </font>
    <font>
      <sz val="12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  <font>
      <i/>
      <sz val="12"/>
      <name val="Calibri"/>
      <family val="2"/>
      <charset val="204"/>
      <scheme val="minor"/>
    </font>
    <font>
      <b/>
      <i/>
      <sz val="12"/>
      <name val="Calibri"/>
      <family val="2"/>
      <charset val="204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rgb="FFF2F2F2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FFFFFF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</fills>
  <borders count="49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theme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rgb="FFA0A0A0"/>
      </bottom>
      <diagonal/>
    </border>
    <border>
      <left/>
      <right style="thin">
        <color rgb="FFA0A0A0"/>
      </right>
      <top/>
      <bottom style="thin">
        <color rgb="FFA0A0A0"/>
      </bottom>
      <diagonal/>
    </border>
    <border>
      <left style="thin">
        <color rgb="FFA0A0A0"/>
      </left>
      <right style="thin">
        <color rgb="FFA0A0A0"/>
      </right>
      <top/>
      <bottom style="thin">
        <color rgb="FFA0A0A0"/>
      </bottom>
      <diagonal/>
    </border>
    <border>
      <left style="thin">
        <color rgb="FFA0A0A0"/>
      </left>
      <right/>
      <top/>
      <bottom style="thin">
        <color rgb="FFA0A0A0"/>
      </bottom>
      <diagonal/>
    </border>
    <border>
      <left/>
      <right style="thin">
        <color rgb="FFA0A0A0"/>
      </right>
      <top style="thin">
        <color rgb="FFA0A0A0"/>
      </top>
      <bottom style="thin">
        <color rgb="FFA0A0A0"/>
      </bottom>
      <diagonal/>
    </border>
    <border>
      <left style="thin">
        <color rgb="FFA0A0A0"/>
      </left>
      <right style="thin">
        <color rgb="FFA0A0A0"/>
      </right>
      <top style="thin">
        <color rgb="FFA0A0A0"/>
      </top>
      <bottom style="thin">
        <color rgb="FFA0A0A0"/>
      </bottom>
      <diagonal/>
    </border>
    <border>
      <left style="thin">
        <color rgb="FFA0A0A0"/>
      </left>
      <right/>
      <top style="thin">
        <color rgb="FFA0A0A0"/>
      </top>
      <bottom style="thin">
        <color rgb="FFA0A0A0"/>
      </bottom>
      <diagonal/>
    </border>
    <border>
      <left/>
      <right style="thin">
        <color rgb="FFA0A0A0"/>
      </right>
      <top style="thin">
        <color rgb="FFA0A0A0"/>
      </top>
      <bottom/>
      <diagonal/>
    </border>
    <border>
      <left style="thin">
        <color rgb="FFA0A0A0"/>
      </left>
      <right style="thin">
        <color rgb="FFA0A0A0"/>
      </right>
      <top style="thin">
        <color rgb="FFA0A0A0"/>
      </top>
      <bottom/>
      <diagonal/>
    </border>
    <border>
      <left style="thin">
        <color rgb="FFA0A0A0"/>
      </left>
      <right/>
      <top style="thin">
        <color rgb="FFA0A0A0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</borders>
  <cellStyleXfs count="11">
    <xf numFmtId="0" fontId="0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9" fillId="0" borderId="0"/>
    <xf numFmtId="165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38" fillId="0" borderId="0"/>
    <xf numFmtId="0" fontId="9" fillId="0" borderId="0"/>
    <xf numFmtId="44" fontId="2" fillId="0" borderId="0" applyFont="0" applyFill="0" applyBorder="0" applyAlignment="0" applyProtection="0"/>
  </cellStyleXfs>
  <cellXfs count="356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49" fontId="3" fillId="0" borderId="1" xfId="1" applyNumberFormat="1" applyFont="1" applyBorder="1" applyAlignment="1">
      <alignment horizontal="center" vertical="center" wrapText="1" shrinkToFit="1"/>
    </xf>
    <xf numFmtId="49" fontId="3" fillId="0" borderId="2" xfId="1" applyNumberFormat="1" applyFont="1" applyBorder="1" applyAlignment="1">
      <alignment horizontal="center" vertical="center" wrapText="1" shrinkToFit="1"/>
    </xf>
    <xf numFmtId="49" fontId="3" fillId="0" borderId="3" xfId="1" applyNumberFormat="1" applyFont="1" applyBorder="1" applyAlignment="1">
      <alignment horizontal="center" vertical="center" wrapText="1" shrinkToFit="1"/>
    </xf>
    <xf numFmtId="49" fontId="3" fillId="0" borderId="4" xfId="2" applyNumberFormat="1" applyFont="1" applyBorder="1" applyAlignment="1">
      <alignment horizontal="center" vertical="center" wrapText="1" shrinkToFit="1"/>
    </xf>
    <xf numFmtId="49" fontId="3" fillId="0" borderId="1" xfId="2" applyNumberFormat="1" applyFont="1" applyBorder="1" applyAlignment="1">
      <alignment horizontal="center" vertical="center" wrapText="1" shrinkToFit="1"/>
    </xf>
    <xf numFmtId="49" fontId="3" fillId="2" borderId="1" xfId="1" applyNumberFormat="1" applyFont="1" applyFill="1" applyBorder="1" applyAlignment="1">
      <alignment horizontal="center" vertical="center"/>
    </xf>
    <xf numFmtId="49" fontId="3" fillId="2" borderId="1" xfId="1" applyNumberFormat="1" applyFont="1" applyFill="1" applyBorder="1" applyAlignment="1">
      <alignment horizontal="center" vertical="center" wrapText="1" shrinkToFit="1"/>
    </xf>
    <xf numFmtId="49" fontId="3" fillId="2" borderId="1" xfId="2" applyNumberFormat="1" applyFont="1" applyFill="1" applyBorder="1" applyAlignment="1">
      <alignment horizontal="center" vertical="center" wrapText="1" shrinkToFit="1"/>
    </xf>
    <xf numFmtId="49" fontId="3" fillId="2" borderId="2" xfId="2" applyNumberFormat="1" applyFont="1" applyFill="1" applyBorder="1" applyAlignment="1">
      <alignment horizontal="center" vertical="center" wrapText="1" shrinkToFit="1"/>
    </xf>
    <xf numFmtId="49" fontId="3" fillId="2" borderId="4" xfId="2" applyNumberFormat="1" applyFont="1" applyFill="1" applyBorder="1" applyAlignment="1">
      <alignment horizontal="center" vertical="center" wrapText="1" shrinkToFit="1"/>
    </xf>
    <xf numFmtId="49" fontId="3" fillId="2" borderId="2" xfId="1" applyNumberFormat="1" applyFont="1" applyFill="1" applyBorder="1" applyAlignment="1">
      <alignment horizontal="center" vertical="center"/>
    </xf>
    <xf numFmtId="49" fontId="3" fillId="0" borderId="3" xfId="1" applyNumberFormat="1" applyFont="1" applyBorder="1" applyAlignment="1">
      <alignment horizontal="center" vertical="center"/>
    </xf>
    <xf numFmtId="49" fontId="3" fillId="0" borderId="0" xfId="1" applyNumberFormat="1" applyFont="1" applyAlignment="1">
      <alignment vertical="center" wrapText="1" shrinkToFit="1"/>
    </xf>
    <xf numFmtId="49" fontId="3" fillId="0" borderId="0" xfId="1" applyNumberFormat="1" applyFont="1" applyAlignment="1">
      <alignment horizontal="center" vertical="center" wrapText="1" shrinkToFit="1"/>
    </xf>
    <xf numFmtId="49" fontId="3" fillId="0" borderId="2" xfId="1" applyNumberFormat="1" applyFont="1" applyBorder="1" applyAlignment="1">
      <alignment horizontal="center" vertical="center"/>
    </xf>
    <xf numFmtId="49" fontId="3" fillId="2" borderId="2" xfId="1" applyNumberFormat="1" applyFont="1" applyFill="1" applyBorder="1" applyAlignment="1">
      <alignment horizontal="center" vertical="center" wrapText="1" shrinkToFit="1"/>
    </xf>
    <xf numFmtId="49" fontId="3" fillId="2" borderId="3" xfId="1" applyNumberFormat="1" applyFont="1" applyFill="1" applyBorder="1" applyAlignment="1">
      <alignment horizontal="center" vertical="center"/>
    </xf>
    <xf numFmtId="0" fontId="3" fillId="2" borderId="1" xfId="2" applyFont="1" applyFill="1" applyBorder="1" applyAlignment="1">
      <alignment horizontal="center" vertical="center" wrapText="1"/>
    </xf>
    <xf numFmtId="0" fontId="3" fillId="0" borderId="1" xfId="2" applyFont="1" applyBorder="1" applyAlignment="1">
      <alignment horizontal="center" vertical="center" wrapText="1"/>
    </xf>
    <xf numFmtId="49" fontId="3" fillId="2" borderId="1" xfId="0" applyNumberFormat="1" applyFont="1" applyFill="1" applyBorder="1" applyAlignment="1">
      <alignment horizontal="center" vertical="center" wrapText="1" shrinkToFit="1"/>
    </xf>
    <xf numFmtId="49" fontId="3" fillId="2" borderId="5" xfId="2" applyNumberFormat="1" applyFont="1" applyFill="1" applyBorder="1" applyAlignment="1">
      <alignment horizontal="center" vertical="center" wrapText="1" shrinkToFit="1"/>
    </xf>
    <xf numFmtId="0" fontId="4" fillId="2" borderId="3" xfId="2" applyFont="1" applyFill="1" applyBorder="1" applyAlignment="1">
      <alignment horizontal="center" vertical="center" wrapText="1"/>
    </xf>
    <xf numFmtId="49" fontId="5" fillId="2" borderId="1" xfId="2" applyNumberFormat="1" applyFont="1" applyFill="1" applyBorder="1" applyAlignment="1">
      <alignment horizontal="center" vertical="center" wrapText="1" shrinkToFit="1"/>
    </xf>
    <xf numFmtId="49" fontId="3" fillId="0" borderId="1" xfId="2" applyNumberFormat="1" applyFont="1" applyBorder="1" applyAlignment="1">
      <alignment horizontal="center" vertical="center"/>
    </xf>
    <xf numFmtId="49" fontId="3" fillId="0" borderId="6" xfId="2" applyNumberFormat="1" applyFont="1" applyBorder="1" applyAlignment="1">
      <alignment horizontal="center" vertical="center" wrapText="1" shrinkToFit="1"/>
    </xf>
    <xf numFmtId="2" fontId="0" fillId="0" borderId="0" xfId="0" applyNumberFormat="1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0" fontId="8" fillId="0" borderId="0" xfId="0" applyFont="1"/>
    <xf numFmtId="0" fontId="9" fillId="0" borderId="0" xfId="5"/>
    <xf numFmtId="0" fontId="9" fillId="0" borderId="0" xfId="5" applyAlignment="1">
      <alignment horizontal="center" vertical="center"/>
    </xf>
    <xf numFmtId="0" fontId="9" fillId="0" borderId="0" xfId="5" applyAlignment="1">
      <alignment horizontal="center"/>
    </xf>
    <xf numFmtId="0" fontId="0" fillId="0" borderId="0" xfId="0" applyAlignment="1">
      <alignment horizontal="center"/>
    </xf>
    <xf numFmtId="0" fontId="12" fillId="0" borderId="0" xfId="5" applyFont="1" applyAlignment="1">
      <alignment horizontal="center" vertical="center"/>
    </xf>
    <xf numFmtId="166" fontId="13" fillId="0" borderId="0" xfId="5" applyNumberFormat="1" applyFont="1" applyAlignment="1">
      <alignment horizontal="center"/>
    </xf>
    <xf numFmtId="9" fontId="13" fillId="0" borderId="0" xfId="5" applyNumberFormat="1" applyFont="1" applyAlignment="1">
      <alignment horizontal="center"/>
    </xf>
    <xf numFmtId="0" fontId="14" fillId="0" borderId="0" xfId="5" applyFont="1" applyAlignment="1">
      <alignment horizontal="center"/>
    </xf>
    <xf numFmtId="167" fontId="15" fillId="0" borderId="0" xfId="5" applyNumberFormat="1" applyFont="1" applyAlignment="1">
      <alignment horizontal="center"/>
    </xf>
    <xf numFmtId="9" fontId="14" fillId="0" borderId="0" xfId="5" applyNumberFormat="1" applyFont="1" applyAlignment="1">
      <alignment horizontal="center"/>
    </xf>
    <xf numFmtId="0" fontId="14" fillId="0" borderId="0" xfId="5" applyFont="1" applyAlignment="1">
      <alignment horizontal="center" vertical="center"/>
    </xf>
    <xf numFmtId="167" fontId="16" fillId="0" borderId="0" xfId="5" applyNumberFormat="1" applyFont="1" applyAlignment="1">
      <alignment horizontal="center"/>
    </xf>
    <xf numFmtId="0" fontId="17" fillId="0" borderId="0" xfId="5" applyFont="1" applyAlignment="1">
      <alignment horizontal="center" vertical="center"/>
    </xf>
    <xf numFmtId="0" fontId="13" fillId="0" borderId="0" xfId="5" applyFont="1" applyAlignment="1">
      <alignment vertical="center"/>
    </xf>
    <xf numFmtId="9" fontId="13" fillId="0" borderId="0" xfId="5" applyNumberFormat="1" applyFont="1" applyAlignment="1">
      <alignment vertical="center"/>
    </xf>
    <xf numFmtId="0" fontId="17" fillId="0" borderId="0" xfId="5" applyFont="1"/>
    <xf numFmtId="0" fontId="18" fillId="0" borderId="0" xfId="5" applyFont="1" applyAlignment="1">
      <alignment horizontal="center"/>
    </xf>
    <xf numFmtId="0" fontId="19" fillId="0" borderId="0" xfId="5" applyFont="1" applyAlignment="1">
      <alignment horizontal="center" vertical="center"/>
    </xf>
    <xf numFmtId="165" fontId="20" fillId="0" borderId="0" xfId="6" applyFont="1" applyBorder="1" applyAlignment="1">
      <alignment horizontal="left"/>
    </xf>
    <xf numFmtId="165" fontId="21" fillId="0" borderId="0" xfId="6" applyFont="1" applyBorder="1" applyAlignment="1">
      <alignment horizontal="left"/>
    </xf>
    <xf numFmtId="165" fontId="21" fillId="0" borderId="0" xfId="6" applyFont="1" applyBorder="1" applyAlignment="1">
      <alignment horizontal="center"/>
    </xf>
    <xf numFmtId="165" fontId="19" fillId="0" borderId="0" xfId="6" applyFont="1" applyFill="1" applyBorder="1" applyAlignment="1">
      <alignment horizontal="center" vertical="center"/>
    </xf>
    <xf numFmtId="165" fontId="19" fillId="0" borderId="0" xfId="6" applyFont="1" applyBorder="1" applyAlignment="1">
      <alignment vertical="top"/>
    </xf>
    <xf numFmtId="165" fontId="21" fillId="0" borderId="0" xfId="6" applyFont="1" applyBorder="1"/>
    <xf numFmtId="0" fontId="9" fillId="4" borderId="0" xfId="5" applyFill="1" applyAlignment="1">
      <alignment horizontal="center"/>
    </xf>
    <xf numFmtId="165" fontId="9" fillId="4" borderId="0" xfId="5" applyNumberFormat="1" applyFill="1"/>
    <xf numFmtId="0" fontId="17" fillId="4" borderId="0" xfId="5" applyFont="1" applyFill="1" applyAlignment="1">
      <alignment horizontal="center" vertical="center"/>
    </xf>
    <xf numFmtId="165" fontId="0" fillId="0" borderId="0" xfId="6" applyFont="1" applyFill="1" applyBorder="1"/>
    <xf numFmtId="165" fontId="9" fillId="0" borderId="0" xfId="5" applyNumberFormat="1"/>
    <xf numFmtId="165" fontId="9" fillId="4" borderId="0" xfId="6" applyFont="1" applyFill="1" applyBorder="1" applyAlignment="1"/>
    <xf numFmtId="0" fontId="17" fillId="4" borderId="0" xfId="5" applyFont="1" applyFill="1" applyAlignment="1">
      <alignment horizontal="center" vertical="top"/>
    </xf>
    <xf numFmtId="165" fontId="17" fillId="0" borderId="0" xfId="6" applyFont="1" applyFill="1" applyBorder="1" applyAlignment="1">
      <alignment vertical="top"/>
    </xf>
    <xf numFmtId="0" fontId="17" fillId="0" borderId="0" xfId="5" applyFont="1" applyAlignment="1">
      <alignment horizontal="center" vertical="top"/>
    </xf>
    <xf numFmtId="165" fontId="17" fillId="0" borderId="0" xfId="6" applyFont="1" applyBorder="1" applyAlignment="1">
      <alignment vertical="top"/>
    </xf>
    <xf numFmtId="165" fontId="0" fillId="0" borderId="0" xfId="6" applyFont="1" applyBorder="1"/>
    <xf numFmtId="165" fontId="21" fillId="0" borderId="0" xfId="6" applyFont="1" applyBorder="1" applyAlignment="1"/>
    <xf numFmtId="0" fontId="9" fillId="4" borderId="0" xfId="5" applyFill="1"/>
    <xf numFmtId="165" fontId="21" fillId="0" borderId="0" xfId="6" applyFont="1" applyFill="1" applyBorder="1" applyAlignment="1">
      <alignment horizontal="left"/>
    </xf>
    <xf numFmtId="165" fontId="21" fillId="0" borderId="0" xfId="6" applyFont="1" applyFill="1" applyBorder="1" applyAlignment="1"/>
    <xf numFmtId="165" fontId="9" fillId="4" borderId="0" xfId="5" applyNumberFormat="1" applyFill="1" applyAlignment="1">
      <alignment horizontal="center"/>
    </xf>
    <xf numFmtId="165" fontId="21" fillId="5" borderId="0" xfId="6" applyFont="1" applyFill="1" applyBorder="1" applyAlignment="1">
      <alignment horizontal="left"/>
    </xf>
    <xf numFmtId="168" fontId="0" fillId="0" borderId="0" xfId="6" applyNumberFormat="1" applyFont="1" applyBorder="1"/>
    <xf numFmtId="169" fontId="0" fillId="0" borderId="0" xfId="6" applyNumberFormat="1" applyFont="1" applyBorder="1"/>
    <xf numFmtId="0" fontId="12" fillId="0" borderId="0" xfId="5" applyFont="1"/>
    <xf numFmtId="0" fontId="12" fillId="0" borderId="0" xfId="5" applyFont="1" applyAlignment="1">
      <alignment horizontal="center"/>
    </xf>
    <xf numFmtId="166" fontId="22" fillId="0" borderId="0" xfId="5" applyNumberFormat="1" applyFont="1" applyAlignment="1">
      <alignment horizontal="left" vertical="center"/>
    </xf>
    <xf numFmtId="9" fontId="22" fillId="0" borderId="0" xfId="5" applyNumberFormat="1" applyFont="1" applyAlignment="1">
      <alignment horizontal="center" vertical="center"/>
    </xf>
    <xf numFmtId="0" fontId="22" fillId="0" borderId="0" xfId="5" applyFont="1" applyAlignment="1">
      <alignment horizontal="left" vertical="center"/>
    </xf>
    <xf numFmtId="167" fontId="22" fillId="0" borderId="0" xfId="5" applyNumberFormat="1" applyFont="1" applyAlignment="1">
      <alignment horizontal="center" vertical="center"/>
    </xf>
    <xf numFmtId="0" fontId="22" fillId="0" borderId="0" xfId="5" applyFont="1" applyAlignment="1">
      <alignment vertical="center"/>
    </xf>
    <xf numFmtId="9" fontId="22" fillId="0" borderId="0" xfId="5" applyNumberFormat="1" applyFont="1" applyAlignment="1">
      <alignment vertical="center"/>
    </xf>
    <xf numFmtId="0" fontId="18" fillId="0" borderId="0" xfId="5" applyFont="1"/>
    <xf numFmtId="9" fontId="19" fillId="0" borderId="0" xfId="5" applyNumberFormat="1" applyFont="1" applyAlignment="1">
      <alignment vertical="center"/>
    </xf>
    <xf numFmtId="165" fontId="23" fillId="0" borderId="0" xfId="6" applyFont="1" applyBorder="1" applyAlignment="1">
      <alignment horizontal="left"/>
    </xf>
    <xf numFmtId="165" fontId="12" fillId="0" borderId="0" xfId="5" applyNumberFormat="1" applyFont="1"/>
    <xf numFmtId="0" fontId="9" fillId="6" borderId="0" xfId="5" applyFill="1"/>
    <xf numFmtId="0" fontId="9" fillId="6" borderId="0" xfId="5" applyFill="1" applyAlignment="1">
      <alignment horizontal="center"/>
    </xf>
    <xf numFmtId="165" fontId="9" fillId="6" borderId="0" xfId="5" applyNumberFormat="1" applyFill="1"/>
    <xf numFmtId="0" fontId="24" fillId="6" borderId="0" xfId="5" applyFont="1" applyFill="1" applyAlignment="1">
      <alignment horizontal="center" vertical="center"/>
    </xf>
    <xf numFmtId="165" fontId="12" fillId="0" borderId="0" xfId="6" applyFont="1" applyFill="1" applyBorder="1"/>
    <xf numFmtId="165" fontId="17" fillId="0" borderId="0" xfId="5" applyNumberFormat="1" applyFont="1" applyAlignment="1">
      <alignment horizontal="center" vertical="center"/>
    </xf>
    <xf numFmtId="0" fontId="24" fillId="6" borderId="0" xfId="5" applyFont="1" applyFill="1" applyAlignment="1">
      <alignment horizontal="center" vertical="top"/>
    </xf>
    <xf numFmtId="165" fontId="12" fillId="0" borderId="0" xfId="6" applyFont="1" applyBorder="1"/>
    <xf numFmtId="0" fontId="18" fillId="0" borderId="0" xfId="5" applyFont="1" applyAlignment="1">
      <alignment horizontal="center" vertical="center"/>
    </xf>
    <xf numFmtId="165" fontId="18" fillId="0" borderId="0" xfId="5" applyNumberFormat="1" applyFont="1"/>
    <xf numFmtId="0" fontId="25" fillId="0" borderId="0" xfId="5" applyFont="1" applyAlignment="1">
      <alignment horizontal="center" vertical="top"/>
    </xf>
    <xf numFmtId="165" fontId="26" fillId="0" borderId="0" xfId="6" applyFont="1" applyBorder="1" applyAlignment="1">
      <alignment vertical="top"/>
    </xf>
    <xf numFmtId="165" fontId="27" fillId="0" borderId="0" xfId="6" applyFont="1" applyBorder="1"/>
    <xf numFmtId="0" fontId="27" fillId="0" borderId="0" xfId="5" applyFont="1"/>
    <xf numFmtId="165" fontId="18" fillId="0" borderId="0" xfId="5" applyNumberFormat="1" applyFont="1" applyAlignment="1">
      <alignment horizontal="center"/>
    </xf>
    <xf numFmtId="0" fontId="12" fillId="6" borderId="0" xfId="5" applyFont="1" applyFill="1" applyAlignment="1">
      <alignment horizontal="center"/>
    </xf>
    <xf numFmtId="0" fontId="12" fillId="6" borderId="0" xfId="5" applyFont="1" applyFill="1"/>
    <xf numFmtId="165" fontId="12" fillId="6" borderId="0" xfId="5" applyNumberFormat="1" applyFont="1" applyFill="1"/>
    <xf numFmtId="0" fontId="17" fillId="6" borderId="0" xfId="5" applyFont="1" applyFill="1" applyAlignment="1">
      <alignment horizontal="center" vertical="center"/>
    </xf>
    <xf numFmtId="165" fontId="27" fillId="0" borderId="0" xfId="5" applyNumberFormat="1" applyFont="1"/>
    <xf numFmtId="0" fontId="17" fillId="6" borderId="0" xfId="5" applyFont="1" applyFill="1" applyAlignment="1">
      <alignment horizontal="center" vertical="top"/>
    </xf>
    <xf numFmtId="0" fontId="12" fillId="6" borderId="0" xfId="5" applyFont="1" applyFill="1" applyAlignment="1">
      <alignment vertical="center"/>
    </xf>
    <xf numFmtId="0" fontId="9" fillId="6" borderId="0" xfId="5" applyFill="1" applyAlignment="1">
      <alignment horizontal="center" vertical="center"/>
    </xf>
    <xf numFmtId="165" fontId="28" fillId="0" borderId="0" xfId="6" applyFont="1" applyBorder="1" applyAlignment="1">
      <alignment horizontal="left"/>
    </xf>
    <xf numFmtId="165" fontId="28" fillId="0" borderId="0" xfId="6" applyFont="1" applyBorder="1" applyAlignment="1">
      <alignment horizontal="center"/>
    </xf>
    <xf numFmtId="0" fontId="27" fillId="0" borderId="0" xfId="5" applyFont="1" applyAlignment="1">
      <alignment horizontal="center"/>
    </xf>
    <xf numFmtId="0" fontId="29" fillId="0" borderId="0" xfId="5" applyFont="1" applyAlignment="1">
      <alignment horizontal="center"/>
    </xf>
    <xf numFmtId="0" fontId="30" fillId="0" borderId="0" xfId="5" applyFont="1" applyAlignment="1">
      <alignment horizontal="center" vertical="center"/>
    </xf>
    <xf numFmtId="0" fontId="26" fillId="0" borderId="0" xfId="5" applyFont="1" applyAlignment="1">
      <alignment horizontal="center" vertical="top"/>
    </xf>
    <xf numFmtId="165" fontId="31" fillId="0" borderId="0" xfId="6" applyFont="1" applyFill="1" applyBorder="1" applyAlignment="1">
      <alignment horizontal="left"/>
    </xf>
    <xf numFmtId="165" fontId="31" fillId="0" borderId="0" xfId="6" applyFont="1" applyFill="1" applyBorder="1" applyAlignment="1">
      <alignment horizontal="center"/>
    </xf>
    <xf numFmtId="165" fontId="31" fillId="0" borderId="0" xfId="6" applyFont="1" applyFill="1" applyBorder="1" applyAlignment="1"/>
    <xf numFmtId="0" fontId="29" fillId="0" borderId="0" xfId="5" applyFont="1"/>
    <xf numFmtId="165" fontId="30" fillId="0" borderId="0" xfId="6" applyFont="1" applyFill="1" applyBorder="1" applyAlignment="1">
      <alignment horizontal="center" vertical="center"/>
    </xf>
    <xf numFmtId="165" fontId="13" fillId="0" borderId="0" xfId="6" applyFont="1" applyFill="1" applyBorder="1" applyAlignment="1">
      <alignment vertical="top"/>
    </xf>
    <xf numFmtId="165" fontId="31" fillId="0" borderId="0" xfId="6" applyFont="1" applyFill="1" applyBorder="1"/>
    <xf numFmtId="165" fontId="31" fillId="0" borderId="0" xfId="6" applyFont="1" applyBorder="1" applyAlignment="1">
      <alignment horizontal="left"/>
    </xf>
    <xf numFmtId="165" fontId="31" fillId="0" borderId="0" xfId="6" applyFont="1" applyBorder="1" applyAlignment="1">
      <alignment horizontal="center"/>
    </xf>
    <xf numFmtId="165" fontId="31" fillId="0" borderId="0" xfId="6" applyFont="1" applyBorder="1" applyAlignment="1"/>
    <xf numFmtId="165" fontId="13" fillId="0" borderId="0" xfId="6" applyFont="1" applyBorder="1" applyAlignment="1">
      <alignment vertical="top"/>
    </xf>
    <xf numFmtId="0" fontId="29" fillId="6" borderId="0" xfId="5" applyFont="1" applyFill="1" applyAlignment="1">
      <alignment horizontal="center"/>
    </xf>
    <xf numFmtId="165" fontId="29" fillId="6" borderId="0" xfId="5" applyNumberFormat="1" applyFont="1" applyFill="1"/>
    <xf numFmtId="0" fontId="27" fillId="6" borderId="0" xfId="5" applyFont="1" applyFill="1" applyAlignment="1">
      <alignment horizontal="center"/>
    </xf>
    <xf numFmtId="0" fontId="27" fillId="6" borderId="0" xfId="5" applyFont="1" applyFill="1"/>
    <xf numFmtId="166" fontId="22" fillId="0" borderId="0" xfId="5" applyNumberFormat="1" applyFont="1" applyAlignment="1">
      <alignment horizontal="center" vertical="center"/>
    </xf>
    <xf numFmtId="0" fontId="22" fillId="0" borderId="0" xfId="5" applyFont="1" applyAlignment="1">
      <alignment horizontal="center" vertical="center"/>
    </xf>
    <xf numFmtId="0" fontId="9" fillId="7" borderId="0" xfId="5" applyFill="1"/>
    <xf numFmtId="0" fontId="9" fillId="7" borderId="0" xfId="5" applyFill="1" applyAlignment="1">
      <alignment horizontal="center"/>
    </xf>
    <xf numFmtId="0" fontId="9" fillId="7" borderId="0" xfId="5" applyFill="1" applyAlignment="1">
      <alignment vertical="center"/>
    </xf>
    <xf numFmtId="165" fontId="9" fillId="7" borderId="0" xfId="5" applyNumberFormat="1" applyFill="1"/>
    <xf numFmtId="0" fontId="24" fillId="7" borderId="0" xfId="5" applyFont="1" applyFill="1" applyAlignment="1">
      <alignment horizontal="center" vertical="center"/>
    </xf>
    <xf numFmtId="0" fontId="9" fillId="0" borderId="0" xfId="5" applyAlignment="1">
      <alignment horizontal="right"/>
    </xf>
    <xf numFmtId="37" fontId="9" fillId="7" borderId="0" xfId="5" applyNumberFormat="1" applyFill="1" applyAlignment="1">
      <alignment horizontal="center"/>
    </xf>
    <xf numFmtId="0" fontId="27" fillId="7" borderId="0" xfId="5" applyFont="1" applyFill="1"/>
    <xf numFmtId="165" fontId="21" fillId="0" borderId="0" xfId="6" applyFont="1" applyBorder="1" applyAlignment="1">
      <alignment wrapText="1"/>
    </xf>
    <xf numFmtId="0" fontId="9" fillId="8" borderId="0" xfId="5" applyFill="1" applyAlignment="1">
      <alignment horizontal="center"/>
    </xf>
    <xf numFmtId="0" fontId="9" fillId="0" borderId="0" xfId="5" applyAlignment="1">
      <alignment horizontal="left"/>
    </xf>
    <xf numFmtId="166" fontId="13" fillId="0" borderId="0" xfId="5" applyNumberFormat="1" applyFont="1"/>
    <xf numFmtId="0" fontId="32" fillId="3" borderId="11" xfId="5" applyFont="1" applyFill="1" applyBorder="1" applyAlignment="1">
      <alignment horizontal="left" vertical="top"/>
    </xf>
    <xf numFmtId="0" fontId="32" fillId="3" borderId="12" xfId="5" applyFont="1" applyFill="1" applyBorder="1" applyAlignment="1">
      <alignment horizontal="left" vertical="top"/>
    </xf>
    <xf numFmtId="0" fontId="32" fillId="10" borderId="12" xfId="5" applyFont="1" applyFill="1" applyBorder="1" applyAlignment="1">
      <alignment horizontal="center" vertical="top"/>
    </xf>
    <xf numFmtId="0" fontId="32" fillId="3" borderId="12" xfId="5" applyFont="1" applyFill="1" applyBorder="1" applyAlignment="1">
      <alignment horizontal="center" vertical="top"/>
    </xf>
    <xf numFmtId="0" fontId="32" fillId="3" borderId="13" xfId="5" applyFont="1" applyFill="1" applyBorder="1" applyAlignment="1">
      <alignment horizontal="left" vertical="top"/>
    </xf>
    <xf numFmtId="0" fontId="14" fillId="0" borderId="0" xfId="5" applyFont="1"/>
    <xf numFmtId="0" fontId="33" fillId="11" borderId="14" xfId="5" applyFont="1" applyFill="1" applyBorder="1" applyAlignment="1">
      <alignment horizontal="left" vertical="top"/>
    </xf>
    <xf numFmtId="0" fontId="33" fillId="11" borderId="15" xfId="5" applyFont="1" applyFill="1" applyBorder="1" applyAlignment="1">
      <alignment horizontal="left" vertical="top"/>
    </xf>
    <xf numFmtId="165" fontId="33" fillId="11" borderId="15" xfId="6" applyFont="1" applyFill="1" applyBorder="1" applyAlignment="1">
      <alignment horizontal="right" vertical="top"/>
    </xf>
    <xf numFmtId="165" fontId="33" fillId="10" borderId="15" xfId="6" applyFont="1" applyFill="1" applyBorder="1" applyAlignment="1">
      <alignment horizontal="right" vertical="top"/>
    </xf>
    <xf numFmtId="9" fontId="33" fillId="10" borderId="15" xfId="7" applyFont="1" applyFill="1" applyBorder="1" applyAlignment="1">
      <alignment horizontal="center" vertical="top"/>
    </xf>
    <xf numFmtId="0" fontId="33" fillId="11" borderId="15" xfId="5" applyFont="1" applyFill="1" applyBorder="1" applyAlignment="1">
      <alignment horizontal="center" vertical="top"/>
    </xf>
    <xf numFmtId="0" fontId="33" fillId="11" borderId="16" xfId="5" applyFont="1" applyFill="1" applyBorder="1" applyAlignment="1">
      <alignment horizontal="left" vertical="top"/>
    </xf>
    <xf numFmtId="0" fontId="14" fillId="0" borderId="0" xfId="5" applyFont="1" applyAlignment="1">
      <alignment vertical="center"/>
    </xf>
    <xf numFmtId="165" fontId="33" fillId="8" borderId="15" xfId="6" applyFont="1" applyFill="1" applyBorder="1" applyAlignment="1">
      <alignment horizontal="right" vertical="top"/>
    </xf>
    <xf numFmtId="0" fontId="33" fillId="0" borderId="16" xfId="5" applyFont="1" applyBorder="1" applyAlignment="1">
      <alignment horizontal="left" vertical="top"/>
    </xf>
    <xf numFmtId="168" fontId="33" fillId="10" borderId="15" xfId="6" applyNumberFormat="1" applyFont="1" applyFill="1" applyBorder="1" applyAlignment="1">
      <alignment horizontal="right" vertical="top"/>
    </xf>
    <xf numFmtId="0" fontId="10" fillId="11" borderId="14" xfId="5" applyFont="1" applyFill="1" applyBorder="1" applyAlignment="1">
      <alignment horizontal="left" vertical="top"/>
    </xf>
    <xf numFmtId="0" fontId="10" fillId="11" borderId="15" xfId="5" applyFont="1" applyFill="1" applyBorder="1" applyAlignment="1">
      <alignment horizontal="left" vertical="top"/>
    </xf>
    <xf numFmtId="165" fontId="10" fillId="11" borderId="15" xfId="6" applyFont="1" applyFill="1" applyBorder="1" applyAlignment="1">
      <alignment horizontal="right" vertical="top"/>
    </xf>
    <xf numFmtId="165" fontId="10" fillId="10" borderId="15" xfId="6" applyFont="1" applyFill="1" applyBorder="1" applyAlignment="1">
      <alignment horizontal="right" vertical="top"/>
    </xf>
    <xf numFmtId="9" fontId="10" fillId="10" borderId="15" xfId="7" applyFont="1" applyFill="1" applyBorder="1" applyAlignment="1">
      <alignment horizontal="center" vertical="top"/>
    </xf>
    <xf numFmtId="0" fontId="10" fillId="11" borderId="15" xfId="5" applyFont="1" applyFill="1" applyBorder="1" applyAlignment="1">
      <alignment horizontal="center" vertical="top"/>
    </xf>
    <xf numFmtId="0" fontId="10" fillId="11" borderId="16" xfId="5" applyFont="1" applyFill="1" applyBorder="1" applyAlignment="1">
      <alignment horizontal="left" vertical="top"/>
    </xf>
    <xf numFmtId="0" fontId="33" fillId="11" borderId="17" xfId="5" applyFont="1" applyFill="1" applyBorder="1" applyAlignment="1">
      <alignment horizontal="left" vertical="top"/>
    </xf>
    <xf numFmtId="0" fontId="33" fillId="11" borderId="18" xfId="5" applyFont="1" applyFill="1" applyBorder="1" applyAlignment="1">
      <alignment horizontal="left" vertical="top"/>
    </xf>
    <xf numFmtId="165" fontId="33" fillId="11" borderId="18" xfId="6" applyFont="1" applyFill="1" applyBorder="1" applyAlignment="1">
      <alignment horizontal="right" vertical="top"/>
    </xf>
    <xf numFmtId="165" fontId="33" fillId="10" borderId="18" xfId="6" applyFont="1" applyFill="1" applyBorder="1" applyAlignment="1">
      <alignment horizontal="right" vertical="top"/>
    </xf>
    <xf numFmtId="9" fontId="33" fillId="10" borderId="18" xfId="7" applyFont="1" applyFill="1" applyBorder="1" applyAlignment="1">
      <alignment horizontal="center" vertical="top"/>
    </xf>
    <xf numFmtId="0" fontId="33" fillId="11" borderId="18" xfId="5" applyFont="1" applyFill="1" applyBorder="1" applyAlignment="1">
      <alignment horizontal="center" vertical="top"/>
    </xf>
    <xf numFmtId="0" fontId="33" fillId="11" borderId="19" xfId="5" applyFont="1" applyFill="1" applyBorder="1" applyAlignment="1">
      <alignment horizontal="left" vertical="top"/>
    </xf>
    <xf numFmtId="0" fontId="33" fillId="12" borderId="15" xfId="5" applyFont="1" applyFill="1" applyBorder="1" applyAlignment="1">
      <alignment horizontal="left" vertical="top"/>
    </xf>
    <xf numFmtId="170" fontId="33" fillId="12" borderId="15" xfId="5" applyNumberFormat="1" applyFont="1" applyFill="1" applyBorder="1" applyAlignment="1">
      <alignment horizontal="right" vertical="top"/>
    </xf>
    <xf numFmtId="170" fontId="33" fillId="12" borderId="15" xfId="5" applyNumberFormat="1" applyFont="1" applyFill="1" applyBorder="1" applyAlignment="1">
      <alignment horizontal="center" vertical="top"/>
    </xf>
    <xf numFmtId="0" fontId="33" fillId="12" borderId="15" xfId="5" applyFont="1" applyFill="1" applyBorder="1" applyAlignment="1">
      <alignment horizontal="center" vertical="top"/>
    </xf>
    <xf numFmtId="165" fontId="33" fillId="12" borderId="15" xfId="5" applyNumberFormat="1" applyFont="1" applyFill="1" applyBorder="1" applyAlignment="1">
      <alignment horizontal="right" vertical="top"/>
    </xf>
    <xf numFmtId="165" fontId="33" fillId="12" borderId="15" xfId="5" applyNumberFormat="1" applyFont="1" applyFill="1" applyBorder="1" applyAlignment="1">
      <alignment horizontal="center" vertical="top"/>
    </xf>
    <xf numFmtId="0" fontId="33" fillId="12" borderId="15" xfId="5" applyFont="1" applyFill="1" applyBorder="1" applyAlignment="1">
      <alignment horizontal="right" vertical="top"/>
    </xf>
    <xf numFmtId="0" fontId="34" fillId="11" borderId="14" xfId="5" applyFont="1" applyFill="1" applyBorder="1" applyAlignment="1">
      <alignment horizontal="left" vertical="top"/>
    </xf>
    <xf numFmtId="0" fontId="34" fillId="11" borderId="15" xfId="5" applyFont="1" applyFill="1" applyBorder="1" applyAlignment="1">
      <alignment horizontal="left" vertical="top"/>
    </xf>
    <xf numFmtId="165" fontId="34" fillId="11" borderId="15" xfId="6" applyFont="1" applyFill="1" applyBorder="1" applyAlignment="1">
      <alignment horizontal="right" vertical="top"/>
    </xf>
    <xf numFmtId="165" fontId="34" fillId="10" borderId="15" xfId="6" applyFont="1" applyFill="1" applyBorder="1" applyAlignment="1">
      <alignment horizontal="right" vertical="top"/>
    </xf>
    <xf numFmtId="9" fontId="34" fillId="10" borderId="15" xfId="7" applyFont="1" applyFill="1" applyBorder="1" applyAlignment="1">
      <alignment horizontal="center" vertical="top"/>
    </xf>
    <xf numFmtId="0" fontId="34" fillId="11" borderId="15" xfId="5" applyFont="1" applyFill="1" applyBorder="1" applyAlignment="1">
      <alignment horizontal="center" vertical="top"/>
    </xf>
    <xf numFmtId="0" fontId="34" fillId="11" borderId="16" xfId="5" applyFont="1" applyFill="1" applyBorder="1" applyAlignment="1">
      <alignment horizontal="left" vertical="top"/>
    </xf>
    <xf numFmtId="0" fontId="33" fillId="11" borderId="0" xfId="5" applyFont="1" applyFill="1" applyAlignment="1">
      <alignment horizontal="left" vertical="top"/>
    </xf>
    <xf numFmtId="166" fontId="14" fillId="0" borderId="0" xfId="5" applyNumberFormat="1" applyFont="1"/>
    <xf numFmtId="165" fontId="14" fillId="0" borderId="7" xfId="6" applyFont="1" applyFill="1" applyBorder="1" applyAlignment="1">
      <alignment vertical="center"/>
    </xf>
    <xf numFmtId="0" fontId="37" fillId="0" borderId="0" xfId="5" applyFont="1" applyAlignment="1">
      <alignment vertical="center"/>
    </xf>
    <xf numFmtId="0" fontId="37" fillId="0" borderId="0" xfId="5" applyFont="1" applyAlignment="1">
      <alignment horizontal="center" vertical="center"/>
    </xf>
    <xf numFmtId="0" fontId="37" fillId="0" borderId="0" xfId="5" applyFont="1" applyAlignment="1">
      <alignment horizontal="right" vertical="center"/>
    </xf>
    <xf numFmtId="9" fontId="14" fillId="0" borderId="0" xfId="5" applyNumberFormat="1" applyFont="1"/>
    <xf numFmtId="0" fontId="14" fillId="0" borderId="7" xfId="5" applyFont="1" applyBorder="1" applyAlignment="1">
      <alignment horizontal="center" vertical="center" wrapText="1"/>
    </xf>
    <xf numFmtId="10" fontId="14" fillId="0" borderId="20" xfId="5" applyNumberFormat="1" applyFont="1" applyBorder="1" applyAlignment="1">
      <alignment horizontal="center" vertical="center" wrapText="1"/>
    </xf>
    <xf numFmtId="9" fontId="14" fillId="0" borderId="7" xfId="5" applyNumberFormat="1" applyFont="1" applyBorder="1" applyAlignment="1">
      <alignment horizontal="center" vertical="center" wrapText="1"/>
    </xf>
    <xf numFmtId="9" fontId="14" fillId="0" borderId="7" xfId="7" applyFont="1" applyFill="1" applyBorder="1" applyAlignment="1">
      <alignment horizontal="center" vertical="center" wrapText="1"/>
    </xf>
    <xf numFmtId="10" fontId="14" fillId="0" borderId="7" xfId="5" applyNumberFormat="1" applyFont="1" applyBorder="1" applyAlignment="1">
      <alignment horizontal="center" vertical="center" wrapText="1"/>
    </xf>
    <xf numFmtId="2" fontId="14" fillId="0" borderId="7" xfId="5" applyNumberFormat="1" applyFont="1" applyBorder="1" applyAlignment="1">
      <alignment vertical="center" wrapText="1"/>
    </xf>
    <xf numFmtId="0" fontId="14" fillId="0" borderId="7" xfId="5" applyFont="1" applyBorder="1" applyAlignment="1">
      <alignment horizontal="center" vertical="center"/>
    </xf>
    <xf numFmtId="165" fontId="14" fillId="0" borderId="7" xfId="6" applyFont="1" applyFill="1" applyBorder="1" applyAlignment="1">
      <alignment horizontal="center" vertical="center"/>
    </xf>
    <xf numFmtId="2" fontId="14" fillId="0" borderId="7" xfId="5" applyNumberFormat="1" applyFont="1" applyBorder="1" applyAlignment="1">
      <alignment horizontal="center" vertical="center"/>
    </xf>
    <xf numFmtId="9" fontId="14" fillId="7" borderId="7" xfId="6" applyNumberFormat="1" applyFont="1" applyFill="1" applyBorder="1" applyAlignment="1">
      <alignment horizontal="center" vertical="center"/>
    </xf>
    <xf numFmtId="9" fontId="14" fillId="0" borderId="7" xfId="7" applyFont="1" applyFill="1" applyBorder="1" applyAlignment="1">
      <alignment horizontal="center" vertical="center"/>
    </xf>
    <xf numFmtId="0" fontId="39" fillId="0" borderId="0" xfId="5" applyFont="1"/>
    <xf numFmtId="0" fontId="40" fillId="0" borderId="22" xfId="8" applyFont="1" applyBorder="1"/>
    <xf numFmtId="44" fontId="14" fillId="0" borderId="7" xfId="5" applyNumberFormat="1" applyFont="1" applyBorder="1" applyAlignment="1">
      <alignment horizontal="center" vertical="center"/>
    </xf>
    <xf numFmtId="0" fontId="41" fillId="0" borderId="23" xfId="5" applyFont="1" applyBorder="1" applyAlignment="1">
      <alignment horizontal="left"/>
    </xf>
    <xf numFmtId="2" fontId="14" fillId="13" borderId="7" xfId="5" applyNumberFormat="1" applyFont="1" applyFill="1" applyBorder="1" applyAlignment="1">
      <alignment vertical="center" wrapText="1"/>
    </xf>
    <xf numFmtId="0" fontId="14" fillId="13" borderId="7" xfId="5" applyFont="1" applyFill="1" applyBorder="1" applyAlignment="1">
      <alignment horizontal="center" vertical="center"/>
    </xf>
    <xf numFmtId="44" fontId="14" fillId="13" borderId="7" xfId="5" applyNumberFormat="1" applyFont="1" applyFill="1" applyBorder="1" applyAlignment="1">
      <alignment horizontal="center" vertical="center"/>
    </xf>
    <xf numFmtId="2" fontId="14" fillId="13" borderId="7" xfId="5" applyNumberFormat="1" applyFont="1" applyFill="1" applyBorder="1" applyAlignment="1">
      <alignment horizontal="center" vertical="center"/>
    </xf>
    <xf numFmtId="165" fontId="14" fillId="13" borderId="7" xfId="6" applyFont="1" applyFill="1" applyBorder="1" applyAlignment="1">
      <alignment horizontal="center" vertical="center"/>
    </xf>
    <xf numFmtId="165" fontId="14" fillId="13" borderId="7" xfId="6" applyFont="1" applyFill="1" applyBorder="1" applyAlignment="1">
      <alignment vertical="center"/>
    </xf>
    <xf numFmtId="165" fontId="39" fillId="0" borderId="0" xfId="6" applyFont="1" applyFill="1" applyBorder="1" applyAlignment="1">
      <alignment horizontal="center" vertical="center"/>
    </xf>
    <xf numFmtId="2" fontId="14" fillId="14" borderId="30" xfId="5" applyNumberFormat="1" applyFont="1" applyFill="1" applyBorder="1" applyAlignment="1">
      <alignment vertical="center" wrapText="1"/>
    </xf>
    <xf numFmtId="2" fontId="14" fillId="14" borderId="31" xfId="5" applyNumberFormat="1" applyFont="1" applyFill="1" applyBorder="1" applyAlignment="1">
      <alignment vertical="center" wrapText="1"/>
    </xf>
    <xf numFmtId="0" fontId="14" fillId="14" borderId="31" xfId="5" applyFont="1" applyFill="1" applyBorder="1" applyAlignment="1">
      <alignment horizontal="center" vertical="center"/>
    </xf>
    <xf numFmtId="44" fontId="14" fillId="14" borderId="31" xfId="5" applyNumberFormat="1" applyFont="1" applyFill="1" applyBorder="1" applyAlignment="1">
      <alignment horizontal="center" vertical="center"/>
    </xf>
    <xf numFmtId="2" fontId="14" fillId="14" borderId="31" xfId="5" applyNumberFormat="1" applyFont="1" applyFill="1" applyBorder="1" applyAlignment="1">
      <alignment horizontal="center" vertical="center"/>
    </xf>
    <xf numFmtId="165" fontId="14" fillId="14" borderId="31" xfId="6" applyFont="1" applyFill="1" applyBorder="1" applyAlignment="1">
      <alignment horizontal="center" vertical="center"/>
    </xf>
    <xf numFmtId="9" fontId="14" fillId="14" borderId="31" xfId="7" applyFont="1" applyFill="1" applyBorder="1" applyAlignment="1">
      <alignment horizontal="center" vertical="center"/>
    </xf>
    <xf numFmtId="165" fontId="14" fillId="14" borderId="31" xfId="6" applyFont="1" applyFill="1" applyBorder="1" applyAlignment="1">
      <alignment vertical="center"/>
    </xf>
    <xf numFmtId="165" fontId="14" fillId="14" borderId="32" xfId="6" applyFont="1" applyFill="1" applyBorder="1" applyAlignment="1">
      <alignment vertical="center"/>
    </xf>
    <xf numFmtId="2" fontId="14" fillId="14" borderId="33" xfId="5" applyNumberFormat="1" applyFont="1" applyFill="1" applyBorder="1" applyAlignment="1">
      <alignment vertical="center" wrapText="1"/>
    </xf>
    <xf numFmtId="2" fontId="14" fillId="14" borderId="7" xfId="5" applyNumberFormat="1" applyFont="1" applyFill="1" applyBorder="1" applyAlignment="1">
      <alignment vertical="center" wrapText="1"/>
    </xf>
    <xf numFmtId="0" fontId="14" fillId="14" borderId="7" xfId="5" applyFont="1" applyFill="1" applyBorder="1" applyAlignment="1">
      <alignment horizontal="center" vertical="center"/>
    </xf>
    <xf numFmtId="44" fontId="14" fillId="14" borderId="7" xfId="5" applyNumberFormat="1" applyFont="1" applyFill="1" applyBorder="1" applyAlignment="1">
      <alignment horizontal="center" vertical="center"/>
    </xf>
    <xf numFmtId="2" fontId="14" fillId="14" borderId="7" xfId="5" applyNumberFormat="1" applyFont="1" applyFill="1" applyBorder="1" applyAlignment="1">
      <alignment horizontal="center" vertical="center"/>
    </xf>
    <xf numFmtId="165" fontId="14" fillId="14" borderId="7" xfId="6" applyFont="1" applyFill="1" applyBorder="1" applyAlignment="1">
      <alignment horizontal="center" vertical="center"/>
    </xf>
    <xf numFmtId="165" fontId="14" fillId="14" borderId="7" xfId="6" applyFont="1" applyFill="1" applyBorder="1" applyAlignment="1">
      <alignment vertical="center"/>
    </xf>
    <xf numFmtId="165" fontId="14" fillId="14" borderId="34" xfId="6" applyFont="1" applyFill="1" applyBorder="1" applyAlignment="1">
      <alignment vertical="center"/>
    </xf>
    <xf numFmtId="2" fontId="14" fillId="14" borderId="35" xfId="5" applyNumberFormat="1" applyFont="1" applyFill="1" applyBorder="1" applyAlignment="1">
      <alignment vertical="center" wrapText="1"/>
    </xf>
    <xf numFmtId="2" fontId="14" fillId="14" borderId="36" xfId="5" applyNumberFormat="1" applyFont="1" applyFill="1" applyBorder="1" applyAlignment="1">
      <alignment vertical="center" wrapText="1"/>
    </xf>
    <xf numFmtId="0" fontId="14" fillId="14" borderId="36" xfId="5" applyFont="1" applyFill="1" applyBorder="1" applyAlignment="1">
      <alignment horizontal="center" vertical="center"/>
    </xf>
    <xf numFmtId="44" fontId="14" fillId="14" borderId="36" xfId="5" applyNumberFormat="1" applyFont="1" applyFill="1" applyBorder="1" applyAlignment="1">
      <alignment horizontal="center" vertical="center"/>
    </xf>
    <xf numFmtId="2" fontId="14" fillId="14" borderId="36" xfId="5" applyNumberFormat="1" applyFont="1" applyFill="1" applyBorder="1" applyAlignment="1">
      <alignment horizontal="center" vertical="center"/>
    </xf>
    <xf numFmtId="165" fontId="14" fillId="14" borderId="36" xfId="6" applyFont="1" applyFill="1" applyBorder="1" applyAlignment="1">
      <alignment horizontal="center" vertical="center"/>
    </xf>
    <xf numFmtId="9" fontId="14" fillId="14" borderId="36" xfId="6" applyNumberFormat="1" applyFont="1" applyFill="1" applyBorder="1" applyAlignment="1">
      <alignment horizontal="center" vertical="center"/>
    </xf>
    <xf numFmtId="165" fontId="14" fillId="14" borderId="37" xfId="6" applyFont="1" applyFill="1" applyBorder="1" applyAlignment="1">
      <alignment vertical="center"/>
    </xf>
    <xf numFmtId="9" fontId="14" fillId="14" borderId="7" xfId="7" applyFont="1" applyFill="1" applyBorder="1" applyAlignment="1">
      <alignment horizontal="center" vertical="center"/>
    </xf>
    <xf numFmtId="9" fontId="14" fillId="14" borderId="36" xfId="7" applyFont="1" applyFill="1" applyBorder="1" applyAlignment="1">
      <alignment horizontal="center" vertical="center"/>
    </xf>
    <xf numFmtId="165" fontId="14" fillId="14" borderId="36" xfId="6" applyFont="1" applyFill="1" applyBorder="1" applyAlignment="1">
      <alignment vertical="center"/>
    </xf>
    <xf numFmtId="165" fontId="39" fillId="14" borderId="34" xfId="6" applyFont="1" applyFill="1" applyBorder="1" applyAlignment="1">
      <alignment vertical="center"/>
    </xf>
    <xf numFmtId="165" fontId="39" fillId="5" borderId="34" xfId="6" applyFont="1" applyFill="1" applyBorder="1" applyAlignment="1">
      <alignment vertical="center"/>
    </xf>
    <xf numFmtId="165" fontId="14" fillId="5" borderId="32" xfId="6" applyFont="1" applyFill="1" applyBorder="1" applyAlignment="1">
      <alignment vertical="center"/>
    </xf>
    <xf numFmtId="165" fontId="14" fillId="5" borderId="34" xfId="6" applyFont="1" applyFill="1" applyBorder="1" applyAlignment="1">
      <alignment vertical="center"/>
    </xf>
    <xf numFmtId="9" fontId="14" fillId="13" borderId="7" xfId="7" applyFont="1" applyFill="1" applyBorder="1" applyAlignment="1">
      <alignment horizontal="center" vertical="center"/>
    </xf>
    <xf numFmtId="164" fontId="11" fillId="0" borderId="0" xfId="0" applyNumberFormat="1" applyFont="1" applyAlignment="1">
      <alignment horizontal="center" vertical="center"/>
    </xf>
    <xf numFmtId="164" fontId="11" fillId="0" borderId="0" xfId="4" applyNumberFormat="1" applyFont="1" applyFill="1" applyBorder="1" applyAlignment="1">
      <alignment horizontal="center" vertical="center"/>
    </xf>
    <xf numFmtId="0" fontId="1" fillId="0" borderId="0" xfId="0" applyFont="1"/>
    <xf numFmtId="165" fontId="21" fillId="0" borderId="0" xfId="6" applyFont="1" applyFill="1" applyBorder="1" applyAlignment="1">
      <alignment horizontal="center" vertical="center" wrapText="1"/>
    </xf>
    <xf numFmtId="165" fontId="21" fillId="0" borderId="0" xfId="6" applyFont="1" applyBorder="1" applyAlignment="1">
      <alignment horizontal="left" wrapText="1"/>
    </xf>
    <xf numFmtId="165" fontId="21" fillId="12" borderId="0" xfId="6" applyFont="1" applyFill="1" applyBorder="1" applyAlignment="1">
      <alignment horizontal="left"/>
    </xf>
    <xf numFmtId="165" fontId="21" fillId="12" borderId="0" xfId="6" applyFont="1" applyFill="1" applyBorder="1" applyAlignment="1">
      <alignment horizontal="center"/>
    </xf>
    <xf numFmtId="165" fontId="21" fillId="12" borderId="0" xfId="6" applyFont="1" applyFill="1" applyBorder="1" applyAlignment="1"/>
    <xf numFmtId="165" fontId="19" fillId="12" borderId="0" xfId="6" applyFont="1" applyFill="1" applyBorder="1" applyAlignment="1">
      <alignment horizontal="center" vertical="center"/>
    </xf>
    <xf numFmtId="165" fontId="19" fillId="12" borderId="0" xfId="6" applyFont="1" applyFill="1" applyBorder="1" applyAlignment="1">
      <alignment vertical="top"/>
    </xf>
    <xf numFmtId="165" fontId="21" fillId="5" borderId="0" xfId="6" applyFont="1" applyFill="1" applyBorder="1" applyAlignment="1">
      <alignment horizontal="left" wrapText="1"/>
    </xf>
    <xf numFmtId="165" fontId="21" fillId="0" borderId="0" xfId="6" applyFont="1" applyBorder="1" applyAlignment="1">
      <alignment horizontal="center" vertical="center"/>
    </xf>
    <xf numFmtId="165" fontId="42" fillId="0" borderId="0" xfId="6" applyFont="1" applyBorder="1" applyAlignment="1">
      <alignment horizontal="center" vertical="center"/>
    </xf>
    <xf numFmtId="0" fontId="0" fillId="0" borderId="39" xfId="0" applyBorder="1" applyAlignment="1">
      <alignment horizontal="center" vertical="center"/>
    </xf>
    <xf numFmtId="164" fontId="0" fillId="0" borderId="39" xfId="0" applyNumberFormat="1" applyBorder="1" applyAlignment="1">
      <alignment horizontal="center" vertical="center"/>
    </xf>
    <xf numFmtId="0" fontId="0" fillId="0" borderId="40" xfId="0" applyBorder="1" applyAlignment="1">
      <alignment horizontal="center" vertical="center"/>
    </xf>
    <xf numFmtId="164" fontId="0" fillId="0" borderId="40" xfId="0" applyNumberFormat="1" applyBorder="1" applyAlignment="1">
      <alignment horizontal="center" vertical="center"/>
    </xf>
    <xf numFmtId="0" fontId="0" fillId="0" borderId="0" xfId="0" applyAlignment="1">
      <alignment horizontal="left" vertical="center" wrapText="1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/>
    </xf>
    <xf numFmtId="165" fontId="17" fillId="0" borderId="0" xfId="5" applyNumberFormat="1" applyFont="1" applyAlignment="1">
      <alignment horizontal="center" vertical="top"/>
    </xf>
    <xf numFmtId="0" fontId="43" fillId="0" borderId="0" xfId="0" applyFont="1"/>
    <xf numFmtId="1" fontId="0" fillId="0" borderId="0" xfId="0" applyNumberFormat="1" applyAlignment="1">
      <alignment horizontal="center" vertical="center"/>
    </xf>
    <xf numFmtId="0" fontId="45" fillId="0" borderId="0" xfId="5" applyFont="1" applyAlignment="1">
      <alignment horizontal="center" vertical="center" wrapText="1"/>
    </xf>
    <xf numFmtId="0" fontId="44" fillId="0" borderId="41" xfId="9" applyFont="1" applyBorder="1" applyAlignment="1">
      <alignment horizontal="center" vertical="center" wrapText="1"/>
    </xf>
    <xf numFmtId="0" fontId="44" fillId="0" borderId="42" xfId="9" applyFont="1" applyBorder="1" applyAlignment="1">
      <alignment horizontal="center" vertical="center" wrapText="1"/>
    </xf>
    <xf numFmtId="44" fontId="44" fillId="0" borderId="38" xfId="10" applyFont="1" applyFill="1" applyBorder="1" applyAlignment="1">
      <alignment horizontal="center" vertical="center" wrapText="1"/>
    </xf>
    <xf numFmtId="0" fontId="44" fillId="0" borderId="43" xfId="9" applyFont="1" applyBorder="1" applyAlignment="1">
      <alignment horizontal="center" vertical="center" wrapText="1"/>
    </xf>
    <xf numFmtId="44" fontId="44" fillId="0" borderId="0" xfId="10" applyFont="1" applyFill="1" applyBorder="1" applyAlignment="1">
      <alignment horizontal="center" vertical="center" wrapText="1"/>
    </xf>
    <xf numFmtId="44" fontId="44" fillId="0" borderId="41" xfId="10" applyFont="1" applyFill="1" applyBorder="1" applyAlignment="1">
      <alignment horizontal="center" vertical="center" wrapText="1"/>
    </xf>
    <xf numFmtId="1" fontId="44" fillId="0" borderId="46" xfId="9" applyNumberFormat="1" applyFont="1" applyBorder="1" applyAlignment="1">
      <alignment horizontal="center" vertical="center" wrapText="1"/>
    </xf>
    <xf numFmtId="44" fontId="44" fillId="0" borderId="48" xfId="10" applyFont="1" applyFill="1" applyBorder="1" applyAlignment="1">
      <alignment horizontal="center" vertical="center" wrapText="1"/>
    </xf>
    <xf numFmtId="44" fontId="44" fillId="0" borderId="8" xfId="10" applyFont="1" applyFill="1" applyBorder="1" applyAlignment="1">
      <alignment horizontal="center" vertical="center" wrapText="1"/>
    </xf>
    <xf numFmtId="44" fontId="44" fillId="0" borderId="45" xfId="10" applyFont="1" applyFill="1" applyBorder="1" applyAlignment="1">
      <alignment horizontal="center" vertical="center" wrapText="1"/>
    </xf>
    <xf numFmtId="0" fontId="44" fillId="0" borderId="46" xfId="9" applyFont="1" applyBorder="1" applyAlignment="1">
      <alignment horizontal="center" vertical="center" wrapText="1"/>
    </xf>
    <xf numFmtId="44" fontId="44" fillId="0" borderId="47" xfId="10" applyFont="1" applyFill="1" applyBorder="1" applyAlignment="1">
      <alignment horizontal="center" vertical="center" wrapText="1"/>
    </xf>
    <xf numFmtId="44" fontId="44" fillId="0" borderId="44" xfId="10" applyFont="1" applyFill="1" applyBorder="1" applyAlignment="1">
      <alignment horizontal="center" vertical="center" wrapText="1"/>
    </xf>
    <xf numFmtId="1" fontId="44" fillId="0" borderId="0" xfId="0" applyNumberFormat="1" applyFont="1" applyAlignment="1">
      <alignment horizontal="center" vertical="center" wrapText="1"/>
    </xf>
    <xf numFmtId="0" fontId="44" fillId="0" borderId="0" xfId="5" applyFont="1" applyAlignment="1">
      <alignment horizontal="center" vertical="center"/>
    </xf>
    <xf numFmtId="0" fontId="45" fillId="0" borderId="0" xfId="5" applyFont="1" applyAlignment="1">
      <alignment horizontal="center" vertical="center"/>
    </xf>
    <xf numFmtId="0" fontId="45" fillId="14" borderId="0" xfId="5" applyFont="1" applyFill="1" applyAlignment="1">
      <alignment horizontal="center" vertical="center" wrapText="1"/>
    </xf>
    <xf numFmtId="9" fontId="44" fillId="0" borderId="38" xfId="3" applyFont="1" applyFill="1" applyBorder="1" applyAlignment="1">
      <alignment horizontal="center" vertical="center" wrapText="1"/>
    </xf>
    <xf numFmtId="9" fontId="44" fillId="0" borderId="8" xfId="3" applyFont="1" applyFill="1" applyBorder="1" applyAlignment="1">
      <alignment horizontal="center" vertical="center" wrapText="1"/>
    </xf>
    <xf numFmtId="9" fontId="44" fillId="0" borderId="29" xfId="3" applyFont="1" applyFill="1" applyBorder="1" applyAlignment="1">
      <alignment horizontal="center" vertical="center" wrapText="1"/>
    </xf>
    <xf numFmtId="0" fontId="45" fillId="0" borderId="0" xfId="0" applyFont="1" applyAlignment="1">
      <alignment horizontal="center" vertical="center" wrapText="1"/>
    </xf>
    <xf numFmtId="1" fontId="45" fillId="0" borderId="0" xfId="0" applyNumberFormat="1" applyFont="1" applyAlignment="1">
      <alignment horizontal="center" vertical="center" wrapText="1"/>
    </xf>
    <xf numFmtId="0" fontId="44" fillId="0" borderId="0" xfId="9" applyFont="1" applyAlignment="1">
      <alignment horizontal="center" vertical="center" wrapText="1"/>
    </xf>
    <xf numFmtId="0" fontId="46" fillId="0" borderId="0" xfId="0" applyFont="1" applyAlignment="1">
      <alignment horizontal="center" vertical="center"/>
    </xf>
    <xf numFmtId="1" fontId="45" fillId="0" borderId="0" xfId="5" applyNumberFormat="1" applyFont="1" applyAlignment="1">
      <alignment horizontal="center" vertical="center"/>
    </xf>
    <xf numFmtId="0" fontId="46" fillId="0" borderId="0" xfId="0" applyFont="1" applyAlignment="1">
      <alignment horizontal="center" vertical="center" wrapText="1"/>
    </xf>
    <xf numFmtId="37" fontId="44" fillId="0" borderId="8" xfId="6" applyNumberFormat="1" applyFont="1" applyFill="1" applyBorder="1" applyAlignment="1">
      <alignment horizontal="center" vertical="center" wrapText="1"/>
    </xf>
    <xf numFmtId="44" fontId="44" fillId="0" borderId="0" xfId="10" applyFont="1" applyFill="1" applyBorder="1" applyAlignment="1">
      <alignment horizontal="center" vertical="center"/>
    </xf>
    <xf numFmtId="1" fontId="44" fillId="0" borderId="0" xfId="9" applyNumberFormat="1" applyFont="1" applyAlignment="1">
      <alignment horizontal="center" vertical="center" wrapText="1"/>
    </xf>
    <xf numFmtId="0" fontId="44" fillId="0" borderId="0" xfId="5" applyFont="1" applyAlignment="1">
      <alignment horizontal="center" vertical="center" wrapText="1"/>
    </xf>
    <xf numFmtId="0" fontId="47" fillId="0" borderId="0" xfId="0" applyFont="1" applyAlignment="1">
      <alignment horizontal="center" vertical="center" wrapText="1"/>
    </xf>
    <xf numFmtId="0" fontId="48" fillId="0" borderId="0" xfId="0" applyFont="1" applyAlignment="1">
      <alignment horizontal="center" vertical="center" wrapText="1"/>
    </xf>
    <xf numFmtId="0" fontId="0" fillId="0" borderId="0" xfId="0" applyAlignment="1">
      <alignment horizontal="center"/>
    </xf>
    <xf numFmtId="0" fontId="45" fillId="0" borderId="0" xfId="5" applyFont="1" applyAlignment="1">
      <alignment horizontal="center" vertical="center"/>
    </xf>
    <xf numFmtId="0" fontId="44" fillId="0" borderId="0" xfId="5" applyFont="1" applyAlignment="1">
      <alignment horizontal="center" vertical="center"/>
    </xf>
    <xf numFmtId="0" fontId="9" fillId="9" borderId="10" xfId="5" applyFill="1" applyBorder="1" applyAlignment="1">
      <alignment horizontal="center"/>
    </xf>
    <xf numFmtId="0" fontId="9" fillId="7" borderId="0" xfId="5" applyFill="1" applyAlignment="1">
      <alignment horizontal="center" vertical="center" wrapText="1"/>
    </xf>
    <xf numFmtId="0" fontId="9" fillId="7" borderId="0" xfId="5" applyFill="1" applyAlignment="1">
      <alignment horizontal="center" vertical="center"/>
    </xf>
    <xf numFmtId="0" fontId="9" fillId="6" borderId="0" xfId="5" applyFill="1" applyAlignment="1">
      <alignment horizontal="center" vertical="center"/>
    </xf>
    <xf numFmtId="0" fontId="12" fillId="6" borderId="0" xfId="5" applyFont="1" applyFill="1" applyAlignment="1">
      <alignment horizontal="center" vertical="center"/>
    </xf>
    <xf numFmtId="165" fontId="21" fillId="0" borderId="0" xfId="6" applyFont="1" applyBorder="1" applyAlignment="1">
      <alignment horizontal="left" wrapText="1"/>
    </xf>
    <xf numFmtId="0" fontId="29" fillId="6" borderId="0" xfId="5" applyFont="1" applyFill="1" applyAlignment="1">
      <alignment horizontal="center" vertical="center"/>
    </xf>
    <xf numFmtId="0" fontId="9" fillId="4" borderId="0" xfId="5" applyFill="1" applyAlignment="1">
      <alignment horizontal="center" vertical="center"/>
    </xf>
    <xf numFmtId="0" fontId="9" fillId="4" borderId="0" xfId="5" applyFill="1" applyAlignment="1">
      <alignment horizontal="center" vertical="center" wrapText="1"/>
    </xf>
    <xf numFmtId="165" fontId="39" fillId="0" borderId="21" xfId="6" applyFont="1" applyFill="1" applyBorder="1" applyAlignment="1">
      <alignment horizontal="center" vertical="center"/>
    </xf>
    <xf numFmtId="165" fontId="39" fillId="0" borderId="8" xfId="6" applyFont="1" applyFill="1" applyBorder="1" applyAlignment="1">
      <alignment horizontal="center" vertical="center"/>
    </xf>
    <xf numFmtId="165" fontId="14" fillId="13" borderId="24" xfId="6" applyFont="1" applyFill="1" applyBorder="1" applyAlignment="1">
      <alignment horizontal="center" vertical="center"/>
    </xf>
    <xf numFmtId="165" fontId="14" fillId="13" borderId="25" xfId="6" applyFont="1" applyFill="1" applyBorder="1" applyAlignment="1">
      <alignment horizontal="center" vertical="center"/>
    </xf>
    <xf numFmtId="165" fontId="14" fillId="13" borderId="26" xfId="6" applyFont="1" applyFill="1" applyBorder="1" applyAlignment="1">
      <alignment horizontal="center" vertical="center"/>
    </xf>
    <xf numFmtId="165" fontId="14" fillId="13" borderId="27" xfId="6" applyFont="1" applyFill="1" applyBorder="1" applyAlignment="1">
      <alignment horizontal="center" vertical="center"/>
    </xf>
    <xf numFmtId="165" fontId="14" fillId="13" borderId="28" xfId="6" applyFont="1" applyFill="1" applyBorder="1" applyAlignment="1">
      <alignment horizontal="center" vertical="center"/>
    </xf>
    <xf numFmtId="165" fontId="14" fillId="13" borderId="23" xfId="6" applyFont="1" applyFill="1" applyBorder="1" applyAlignment="1">
      <alignment horizontal="center" vertical="center"/>
    </xf>
    <xf numFmtId="165" fontId="39" fillId="0" borderId="24" xfId="6" applyFont="1" applyFill="1" applyBorder="1" applyAlignment="1">
      <alignment horizontal="center" vertical="center"/>
    </xf>
    <xf numFmtId="165" fontId="39" fillId="0" borderId="29" xfId="6" applyFont="1" applyFill="1" applyBorder="1" applyAlignment="1">
      <alignment horizontal="center" vertical="center"/>
    </xf>
    <xf numFmtId="165" fontId="39" fillId="0" borderId="25" xfId="6" applyFont="1" applyFill="1" applyBorder="1" applyAlignment="1">
      <alignment horizontal="center" vertical="center"/>
    </xf>
    <xf numFmtId="165" fontId="39" fillId="0" borderId="28" xfId="6" applyFont="1" applyFill="1" applyBorder="1" applyAlignment="1">
      <alignment horizontal="center" vertical="center"/>
    </xf>
    <xf numFmtId="165" fontId="39" fillId="0" borderId="38" xfId="6" applyFont="1" applyFill="1" applyBorder="1" applyAlignment="1">
      <alignment horizontal="center" vertical="center"/>
    </xf>
    <xf numFmtId="165" fontId="39" fillId="0" borderId="23" xfId="6" applyFont="1" applyFill="1" applyBorder="1" applyAlignment="1">
      <alignment horizontal="center" vertical="center"/>
    </xf>
    <xf numFmtId="0" fontId="14" fillId="0" borderId="7" xfId="5" applyFont="1" applyBorder="1" applyAlignment="1">
      <alignment horizontal="center" vertical="center" wrapText="1"/>
    </xf>
    <xf numFmtId="0" fontId="14" fillId="0" borderId="9" xfId="5" applyFont="1" applyBorder="1" applyAlignment="1">
      <alignment horizontal="center" vertical="center" wrapText="1"/>
    </xf>
    <xf numFmtId="0" fontId="14" fillId="0" borderId="20" xfId="5" applyFont="1" applyBorder="1" applyAlignment="1">
      <alignment horizontal="center" vertical="center" wrapText="1"/>
    </xf>
    <xf numFmtId="0" fontId="14" fillId="0" borderId="7" xfId="8" applyFont="1" applyBorder="1" applyAlignment="1">
      <alignment horizontal="center" vertical="center" wrapText="1"/>
    </xf>
    <xf numFmtId="49" fontId="3" fillId="15" borderId="0" xfId="1" applyNumberFormat="1" applyFont="1" applyFill="1" applyAlignment="1">
      <alignment horizontal="center" vertical="center"/>
    </xf>
    <xf numFmtId="49" fontId="3" fillId="15" borderId="0" xfId="1" applyNumberFormat="1" applyFont="1" applyFill="1" applyAlignment="1">
      <alignment horizontal="center" vertical="center" wrapText="1" shrinkToFit="1"/>
    </xf>
    <xf numFmtId="49" fontId="3" fillId="15" borderId="0" xfId="2" applyNumberFormat="1" applyFont="1" applyFill="1" applyAlignment="1">
      <alignment horizontal="center" vertical="center" wrapText="1" shrinkToFit="1"/>
    </xf>
    <xf numFmtId="49" fontId="3" fillId="5" borderId="0" xfId="2" applyNumberFormat="1" applyFont="1" applyFill="1" applyAlignment="1">
      <alignment horizontal="center" vertical="center" wrapText="1" shrinkToFit="1"/>
    </xf>
    <xf numFmtId="49" fontId="3" fillId="5" borderId="0" xfId="0" applyNumberFormat="1" applyFont="1" applyFill="1" applyAlignment="1">
      <alignment horizontal="center" vertical="center" wrapText="1" shrinkToFit="1"/>
    </xf>
    <xf numFmtId="0" fontId="4" fillId="15" borderId="0" xfId="2" applyFont="1" applyFill="1" applyAlignment="1">
      <alignment horizontal="center" vertical="center" wrapText="1"/>
    </xf>
    <xf numFmtId="0" fontId="0" fillId="0" borderId="0" xfId="0" applyFill="1" applyAlignment="1">
      <alignment horizontal="center" vertical="center"/>
    </xf>
    <xf numFmtId="0" fontId="0" fillId="15" borderId="0" xfId="0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2" fontId="0" fillId="6" borderId="0" xfId="0" applyNumberFormat="1" applyFill="1" applyAlignment="1">
      <alignment horizontal="center" vertical="center"/>
    </xf>
    <xf numFmtId="49" fontId="3" fillId="0" borderId="0" xfId="2" applyNumberFormat="1" applyFont="1" applyFill="1" applyAlignment="1">
      <alignment horizontal="center" vertical="center"/>
    </xf>
    <xf numFmtId="1" fontId="0" fillId="0" borderId="0" xfId="0" applyNumberFormat="1" applyFill="1" applyAlignment="1">
      <alignment horizontal="center" vertical="center"/>
    </xf>
    <xf numFmtId="49" fontId="3" fillId="0" borderId="0" xfId="2" applyNumberFormat="1" applyFont="1" applyFill="1" applyAlignment="1">
      <alignment horizontal="center" vertical="center" wrapText="1" shrinkToFit="1"/>
    </xf>
    <xf numFmtId="49" fontId="5" fillId="0" borderId="0" xfId="2" applyNumberFormat="1" applyFont="1" applyFill="1" applyAlignment="1">
      <alignment horizontal="center" vertical="center" wrapText="1" shrinkToFit="1"/>
    </xf>
    <xf numFmtId="0" fontId="0" fillId="5" borderId="0" xfId="0" applyFill="1" applyAlignment="1">
      <alignment horizontal="center" vertical="center"/>
    </xf>
    <xf numFmtId="2" fontId="0" fillId="5" borderId="0" xfId="0" applyNumberFormat="1" applyFill="1" applyAlignment="1">
      <alignment horizontal="center" vertical="center"/>
    </xf>
    <xf numFmtId="1" fontId="0" fillId="5" borderId="0" xfId="0" applyNumberFormat="1" applyFill="1" applyAlignment="1">
      <alignment horizontal="center" vertical="center"/>
    </xf>
    <xf numFmtId="0" fontId="0" fillId="0" borderId="0" xfId="0" applyAlignment="1">
      <alignment wrapText="1"/>
    </xf>
    <xf numFmtId="0" fontId="3" fillId="5" borderId="0" xfId="2" applyFont="1" applyFill="1" applyAlignment="1">
      <alignment horizontal="center" vertical="center" wrapText="1"/>
    </xf>
  </cellXfs>
  <cellStyles count="11">
    <cellStyle name="Денежный 2 4" xfId="10" xr:uid="{C03E074D-9C2B-419F-AA89-1FBFC1991408}"/>
    <cellStyle name="Обычный" xfId="0" builtinId="0"/>
    <cellStyle name="Обычный 2" xfId="5" xr:uid="{37ABFA11-2CBE-43A0-9B46-E038EC8F9548}"/>
    <cellStyle name="Обычный 2 2" xfId="8" xr:uid="{81E8BACE-7A0A-4AF5-90CC-DD49AB76B94C}"/>
    <cellStyle name="Обычный 3 3" xfId="2" xr:uid="{E0CA8A71-8E0F-476F-AFD7-F3F57B223954}"/>
    <cellStyle name="Обычный 4 2" xfId="9" xr:uid="{B5861F6D-F797-49D1-AB30-C21CFA04772A}"/>
    <cellStyle name="Обычный 5" xfId="1" xr:uid="{4235459B-9582-4D42-8758-847FA99569C1}"/>
    <cellStyle name="Процентный" xfId="3" builtinId="5"/>
    <cellStyle name="Процентный 2" xfId="7" xr:uid="{6F7B6029-F931-4004-80CB-C5C37C8243A9}"/>
    <cellStyle name="Финансовый" xfId="4" builtinId="3"/>
    <cellStyle name="Финансовый 2" xfId="6" xr:uid="{F3E91827-7156-4BC9-8AB1-261D136277FB}"/>
  </cellStyles>
  <dxfs count="209"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charset val="204"/>
        <scheme val="minor"/>
      </font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Cyr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Cyr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imes New Roman"/>
        <family val="1"/>
        <charset val="204"/>
        <scheme val="none"/>
      </font>
      <numFmt numFmtId="13" formatCode="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Cyr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Cyr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imes New Roman"/>
        <family val="1"/>
        <charset val="204"/>
        <scheme val="none"/>
      </font>
      <numFmt numFmtId="13" formatCode="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Cyr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thin">
          <color rgb="FFA0A0A0"/>
        </left>
        <right/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66FF33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66FF33"/>
        </patternFill>
      </fill>
      <alignment horizontal="right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numFmt numFmtId="165" formatCode="_-* #,##0.00\ _₽_-;\-* #,##0.00\ _₽_-;_-* &quot;-&quot;??\ _₽_-;_-@_-"/>
      <fill>
        <patternFill patternType="solid">
          <fgColor indexed="64"/>
          <bgColor rgb="FFFFFFFF"/>
        </patternFill>
      </fill>
      <alignment horizontal="right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/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border outline="0">
        <top style="thin">
          <color rgb="FFA0A0A0"/>
        </top>
      </border>
    </dxf>
    <dxf>
      <border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border outline="0"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thin">
          <color rgb="FFA0A0A0"/>
        </left>
        <right/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66FF33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66FF33"/>
        </patternFill>
      </fill>
      <alignment horizontal="right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numFmt numFmtId="165" formatCode="_-* #,##0.00\ _₽_-;\-* #,##0.00\ _₽_-;_-* &quot;-&quot;??\ _₽_-;_-@_-"/>
      <fill>
        <patternFill patternType="solid">
          <fgColor indexed="64"/>
          <bgColor rgb="FFFFFFFF"/>
        </patternFill>
      </fill>
      <alignment horizontal="right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/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border outline="0">
        <top style="thin">
          <color rgb="FFA0A0A0"/>
        </top>
      </border>
    </dxf>
    <dxf>
      <border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border outline="0"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thin">
          <color rgb="FFA0A0A0"/>
        </left>
        <right/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66FF33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66FF33"/>
        </patternFill>
      </fill>
      <alignment horizontal="right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numFmt numFmtId="165" formatCode="_-* #,##0.00\ _₽_-;\-* #,##0.00\ _₽_-;_-* &quot;-&quot;??\ _₽_-;_-@_-"/>
      <fill>
        <patternFill patternType="solid">
          <fgColor indexed="64"/>
          <bgColor rgb="FFFFFFFF"/>
        </patternFill>
      </fill>
      <alignment horizontal="right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/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border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border outline="0">
        <bottom style="thin">
          <color rgb="FFA0A0A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medium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/>
        <bottom style="medium">
          <color indexed="64"/>
        </bottom>
      </border>
    </dxf>
    <dxf>
      <border outline="0"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/>
        <horizontal/>
      </border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charset val="204"/>
        <scheme val="none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charset val="204"/>
        <scheme val="none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rial"/>
        <family val="2"/>
        <charset val="204"/>
        <scheme val="none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2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3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_rels/activeX88.xml.rels><?xml version="1.0" encoding="UTF-8" standalone="yes"?>
<Relationships xmlns="http://schemas.openxmlformats.org/package/2006/relationships"><Relationship Id="rId1" Type="http://schemas.microsoft.com/office/2006/relationships/activeXControlBinary" Target="activeX88.bin"/></Relationships>
</file>

<file path=xl/activeX/_rels/activeX89.xml.rels><?xml version="1.0" encoding="UTF-8" standalone="yes"?>
<Relationships xmlns="http://schemas.openxmlformats.org/package/2006/relationships"><Relationship Id="rId1" Type="http://schemas.microsoft.com/office/2006/relationships/activeXControlBinary" Target="activeX89.bin"/></Relationships>
</file>

<file path=xl/activeX/_rels/activeX90.xml.rels><?xml version="1.0" encoding="UTF-8" standalone="yes"?>
<Relationships xmlns="http://schemas.openxmlformats.org/package/2006/relationships"><Relationship Id="rId1" Type="http://schemas.microsoft.com/office/2006/relationships/activeXControlBinary" Target="activeX90.bin"/></Relationships>
</file>

<file path=xl/activeX/_rels/activeX91.xml.rels><?xml version="1.0" encoding="UTF-8" standalone="yes"?>
<Relationships xmlns="http://schemas.openxmlformats.org/package/2006/relationships"><Relationship Id="rId1" Type="http://schemas.microsoft.com/office/2006/relationships/activeXControlBinary" Target="activeX91.bin"/></Relationships>
</file>

<file path=xl/activeX/_rels/activeX92.xml.rels><?xml version="1.0" encoding="UTF-8" standalone="yes"?>
<Relationships xmlns="http://schemas.openxmlformats.org/package/2006/relationships"><Relationship Id="rId1" Type="http://schemas.microsoft.com/office/2006/relationships/activeXControlBinary" Target="activeX92.bin"/></Relationships>
</file>

<file path=xl/activeX/_rels/activeX93.xml.rels><?xml version="1.0" encoding="UTF-8" standalone="yes"?>
<Relationships xmlns="http://schemas.openxmlformats.org/package/2006/relationships"><Relationship Id="rId1" Type="http://schemas.microsoft.com/office/2006/relationships/activeXControlBinary" Target="activeX93.bin"/></Relationships>
</file>

<file path=xl/activeX/_rels/activeX94.xml.rels><?xml version="1.0" encoding="UTF-8" standalone="yes"?>
<Relationships xmlns="http://schemas.openxmlformats.org/package/2006/relationships"><Relationship Id="rId1" Type="http://schemas.microsoft.com/office/2006/relationships/activeXControlBinary" Target="activeX94.bin"/></Relationships>
</file>

<file path=xl/activeX/_rels/activeX95.xml.rels><?xml version="1.0" encoding="UTF-8" standalone="yes"?>
<Relationships xmlns="http://schemas.openxmlformats.org/package/2006/relationships"><Relationship Id="rId1" Type="http://schemas.microsoft.com/office/2006/relationships/activeXControlBinary" Target="activeX95.bin"/></Relationships>
</file>

<file path=xl/activeX/_rels/activeX96.xml.rels><?xml version="1.0" encoding="UTF-8" standalone="yes"?>
<Relationships xmlns="http://schemas.openxmlformats.org/package/2006/relationships"><Relationship Id="rId1" Type="http://schemas.microsoft.com/office/2006/relationships/activeXControlBinary" Target="activeX96.bin"/></Relationships>
</file>

<file path=xl/activeX/_rels/activeX97.xml.rels><?xml version="1.0" encoding="UTF-8" standalone="yes"?>
<Relationships xmlns="http://schemas.openxmlformats.org/package/2006/relationships"><Relationship Id="rId1" Type="http://schemas.microsoft.com/office/2006/relationships/activeXControlBinary" Target="activeX97.bin"/></Relationships>
</file>

<file path=xl/activeX/_rels/activeX98.xml.rels><?xml version="1.0" encoding="UTF-8" standalone="yes"?>
<Relationships xmlns="http://schemas.openxmlformats.org/package/2006/relationships"><Relationship Id="rId1" Type="http://schemas.microsoft.com/office/2006/relationships/activeXControlBinary" Target="activeX98.bin"/></Relationships>
</file>

<file path=xl/activeX/_rels/activeX99.xml.rels><?xml version="1.0" encoding="UTF-8" standalone="yes"?>
<Relationships xmlns="http://schemas.openxmlformats.org/package/2006/relationships"><Relationship Id="rId1" Type="http://schemas.microsoft.com/office/2006/relationships/activeXControlBinary" Target="activeX99.bin"/></Relationships>
</file>

<file path=xl/activeX/activeX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vmlDrawing3.vml.rels><?xml version="1.0" encoding="UTF-8" standalone="yes"?>
<Relationships xmlns="http://schemas.openxmlformats.org/package/2006/relationships"><Relationship Id="rId8" Type="http://schemas.openxmlformats.org/officeDocument/2006/relationships/image" Target="../media/image4.emf"/><Relationship Id="rId3" Type="http://schemas.openxmlformats.org/officeDocument/2006/relationships/image" Target="../media/image9.emf"/><Relationship Id="rId7" Type="http://schemas.openxmlformats.org/officeDocument/2006/relationships/image" Target="../media/image5.emf"/><Relationship Id="rId2" Type="http://schemas.openxmlformats.org/officeDocument/2006/relationships/image" Target="../media/image10.emf"/><Relationship Id="rId1" Type="http://schemas.openxmlformats.org/officeDocument/2006/relationships/image" Target="../media/image11.emf"/><Relationship Id="rId6" Type="http://schemas.openxmlformats.org/officeDocument/2006/relationships/image" Target="../media/image6.emf"/><Relationship Id="rId11" Type="http://schemas.openxmlformats.org/officeDocument/2006/relationships/image" Target="../media/image1.emf"/><Relationship Id="rId5" Type="http://schemas.openxmlformats.org/officeDocument/2006/relationships/image" Target="../media/image7.emf"/><Relationship Id="rId10" Type="http://schemas.openxmlformats.org/officeDocument/2006/relationships/image" Target="../media/image2.emf"/><Relationship Id="rId4" Type="http://schemas.openxmlformats.org/officeDocument/2006/relationships/image" Target="../media/image8.emf"/><Relationship Id="rId9" Type="http://schemas.openxmlformats.org/officeDocument/2006/relationships/image" Target="../media/image3.emf"/></Relationships>
</file>

<file path=xl/drawings/_rels/vmlDrawing4.vml.rels><?xml version="1.0" encoding="UTF-8" standalone="yes"?>
<Relationships xmlns="http://schemas.openxmlformats.org/package/2006/relationships"><Relationship Id="rId13" Type="http://schemas.openxmlformats.org/officeDocument/2006/relationships/image" Target="../media/image64.emf"/><Relationship Id="rId18" Type="http://schemas.openxmlformats.org/officeDocument/2006/relationships/image" Target="../media/image59.emf"/><Relationship Id="rId26" Type="http://schemas.openxmlformats.org/officeDocument/2006/relationships/image" Target="../media/image52.emf"/><Relationship Id="rId39" Type="http://schemas.openxmlformats.org/officeDocument/2006/relationships/image" Target="../media/image41.emf"/><Relationship Id="rId21" Type="http://schemas.openxmlformats.org/officeDocument/2006/relationships/image" Target="../media/image56.emf"/><Relationship Id="rId34" Type="http://schemas.openxmlformats.org/officeDocument/2006/relationships/image" Target="../media/image44.emf"/><Relationship Id="rId42" Type="http://schemas.openxmlformats.org/officeDocument/2006/relationships/image" Target="../media/image15.emf"/><Relationship Id="rId47" Type="http://schemas.openxmlformats.org/officeDocument/2006/relationships/image" Target="../media/image14.emf"/><Relationship Id="rId50" Type="http://schemas.openxmlformats.org/officeDocument/2006/relationships/image" Target="../media/image18.emf"/><Relationship Id="rId55" Type="http://schemas.openxmlformats.org/officeDocument/2006/relationships/image" Target="../media/image30.emf"/><Relationship Id="rId63" Type="http://schemas.openxmlformats.org/officeDocument/2006/relationships/image" Target="../media/image25.emf"/><Relationship Id="rId7" Type="http://schemas.openxmlformats.org/officeDocument/2006/relationships/image" Target="../media/image70.emf"/><Relationship Id="rId2" Type="http://schemas.openxmlformats.org/officeDocument/2006/relationships/image" Target="../media/image74.emf"/><Relationship Id="rId16" Type="http://schemas.openxmlformats.org/officeDocument/2006/relationships/image" Target="../media/image61.emf"/><Relationship Id="rId29" Type="http://schemas.openxmlformats.org/officeDocument/2006/relationships/image" Target="../media/image49.emf"/><Relationship Id="rId11" Type="http://schemas.openxmlformats.org/officeDocument/2006/relationships/image" Target="../media/image66.emf"/><Relationship Id="rId24" Type="http://schemas.openxmlformats.org/officeDocument/2006/relationships/image" Target="../media/image54.emf"/><Relationship Id="rId32" Type="http://schemas.openxmlformats.org/officeDocument/2006/relationships/image" Target="../media/image46.emf"/><Relationship Id="rId37" Type="http://schemas.openxmlformats.org/officeDocument/2006/relationships/image" Target="../media/image43.emf"/><Relationship Id="rId40" Type="http://schemas.openxmlformats.org/officeDocument/2006/relationships/image" Target="../media/image40.emf"/><Relationship Id="rId45" Type="http://schemas.openxmlformats.org/officeDocument/2006/relationships/image" Target="../media/image37.emf"/><Relationship Id="rId53" Type="http://schemas.openxmlformats.org/officeDocument/2006/relationships/image" Target="../media/image32.emf"/><Relationship Id="rId58" Type="http://schemas.openxmlformats.org/officeDocument/2006/relationships/image" Target="../media/image21.emf"/><Relationship Id="rId5" Type="http://schemas.openxmlformats.org/officeDocument/2006/relationships/image" Target="../media/image72.emf"/><Relationship Id="rId61" Type="http://schemas.openxmlformats.org/officeDocument/2006/relationships/image" Target="../media/image27.emf"/><Relationship Id="rId19" Type="http://schemas.openxmlformats.org/officeDocument/2006/relationships/image" Target="../media/image58.emf"/><Relationship Id="rId14" Type="http://schemas.openxmlformats.org/officeDocument/2006/relationships/image" Target="../media/image63.emf"/><Relationship Id="rId22" Type="http://schemas.openxmlformats.org/officeDocument/2006/relationships/image" Target="../media/image22.emf"/><Relationship Id="rId27" Type="http://schemas.openxmlformats.org/officeDocument/2006/relationships/image" Target="../media/image51.emf"/><Relationship Id="rId30" Type="http://schemas.openxmlformats.org/officeDocument/2006/relationships/image" Target="../media/image48.emf"/><Relationship Id="rId35" Type="http://schemas.openxmlformats.org/officeDocument/2006/relationships/image" Target="../media/image12.emf"/><Relationship Id="rId43" Type="http://schemas.openxmlformats.org/officeDocument/2006/relationships/image" Target="../media/image39.emf"/><Relationship Id="rId48" Type="http://schemas.openxmlformats.org/officeDocument/2006/relationships/image" Target="../media/image35.emf"/><Relationship Id="rId56" Type="http://schemas.openxmlformats.org/officeDocument/2006/relationships/image" Target="../media/image29.emf"/><Relationship Id="rId64" Type="http://schemas.openxmlformats.org/officeDocument/2006/relationships/image" Target="../media/image24.emf"/><Relationship Id="rId8" Type="http://schemas.openxmlformats.org/officeDocument/2006/relationships/image" Target="../media/image69.emf"/><Relationship Id="rId51" Type="http://schemas.openxmlformats.org/officeDocument/2006/relationships/image" Target="../media/image17.emf"/><Relationship Id="rId3" Type="http://schemas.openxmlformats.org/officeDocument/2006/relationships/image" Target="../media/image73.emf"/><Relationship Id="rId12" Type="http://schemas.openxmlformats.org/officeDocument/2006/relationships/image" Target="../media/image65.emf"/><Relationship Id="rId17" Type="http://schemas.openxmlformats.org/officeDocument/2006/relationships/image" Target="../media/image60.emf"/><Relationship Id="rId25" Type="http://schemas.openxmlformats.org/officeDocument/2006/relationships/image" Target="../media/image53.emf"/><Relationship Id="rId33" Type="http://schemas.openxmlformats.org/officeDocument/2006/relationships/image" Target="../media/image45.emf"/><Relationship Id="rId38" Type="http://schemas.openxmlformats.org/officeDocument/2006/relationships/image" Target="../media/image42.emf"/><Relationship Id="rId46" Type="http://schemas.openxmlformats.org/officeDocument/2006/relationships/image" Target="../media/image36.emf"/><Relationship Id="rId59" Type="http://schemas.openxmlformats.org/officeDocument/2006/relationships/image" Target="../media/image20.emf"/><Relationship Id="rId20" Type="http://schemas.openxmlformats.org/officeDocument/2006/relationships/image" Target="../media/image57.emf"/><Relationship Id="rId41" Type="http://schemas.openxmlformats.org/officeDocument/2006/relationships/image" Target="../media/image16.emf"/><Relationship Id="rId54" Type="http://schemas.openxmlformats.org/officeDocument/2006/relationships/image" Target="../media/image31.emf"/><Relationship Id="rId62" Type="http://schemas.openxmlformats.org/officeDocument/2006/relationships/image" Target="../media/image26.emf"/><Relationship Id="rId1" Type="http://schemas.openxmlformats.org/officeDocument/2006/relationships/image" Target="../media/image75.emf"/><Relationship Id="rId6" Type="http://schemas.openxmlformats.org/officeDocument/2006/relationships/image" Target="../media/image71.emf"/><Relationship Id="rId15" Type="http://schemas.openxmlformats.org/officeDocument/2006/relationships/image" Target="../media/image62.emf"/><Relationship Id="rId23" Type="http://schemas.openxmlformats.org/officeDocument/2006/relationships/image" Target="../media/image55.emf"/><Relationship Id="rId28" Type="http://schemas.openxmlformats.org/officeDocument/2006/relationships/image" Target="../media/image50.emf"/><Relationship Id="rId36" Type="http://schemas.openxmlformats.org/officeDocument/2006/relationships/image" Target="../media/image13.emf"/><Relationship Id="rId49" Type="http://schemas.openxmlformats.org/officeDocument/2006/relationships/image" Target="../media/image34.emf"/><Relationship Id="rId57" Type="http://schemas.openxmlformats.org/officeDocument/2006/relationships/image" Target="../media/image28.emf"/><Relationship Id="rId10" Type="http://schemas.openxmlformats.org/officeDocument/2006/relationships/image" Target="../media/image67.emf"/><Relationship Id="rId31" Type="http://schemas.openxmlformats.org/officeDocument/2006/relationships/image" Target="../media/image47.emf"/><Relationship Id="rId44" Type="http://schemas.openxmlformats.org/officeDocument/2006/relationships/image" Target="../media/image38.emf"/><Relationship Id="rId52" Type="http://schemas.openxmlformats.org/officeDocument/2006/relationships/image" Target="../media/image33.emf"/><Relationship Id="rId60" Type="http://schemas.openxmlformats.org/officeDocument/2006/relationships/image" Target="../media/image19.emf"/><Relationship Id="rId4" Type="http://schemas.openxmlformats.org/officeDocument/2006/relationships/image" Target="../media/image23.emf"/><Relationship Id="rId9" Type="http://schemas.openxmlformats.org/officeDocument/2006/relationships/image" Target="../media/image6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9525</xdr:rowOff>
        </xdr:from>
        <xdr:to>
          <xdr:col>3</xdr:col>
          <xdr:colOff>57150</xdr:colOff>
          <xdr:row>4</xdr:row>
          <xdr:rowOff>38100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0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Начать расчет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</xdr:row>
          <xdr:rowOff>0</xdr:rowOff>
        </xdr:from>
        <xdr:to>
          <xdr:col>2</xdr:col>
          <xdr:colOff>219075</xdr:colOff>
          <xdr:row>3</xdr:row>
          <xdr:rowOff>209550</xdr:rowOff>
        </xdr:to>
        <xdr:sp macro="" textlink="">
          <xdr:nvSpPr>
            <xdr:cNvPr id="11265" name="ImageBelBaz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3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</xdr:row>
          <xdr:rowOff>0</xdr:rowOff>
        </xdr:from>
        <xdr:to>
          <xdr:col>6</xdr:col>
          <xdr:colOff>0</xdr:colOff>
          <xdr:row>3</xdr:row>
          <xdr:rowOff>209550</xdr:rowOff>
        </xdr:to>
        <xdr:sp macro="" textlink="">
          <xdr:nvSpPr>
            <xdr:cNvPr id="11266" name="ImageSvetloSer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3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5</xdr:row>
          <xdr:rowOff>0</xdr:rowOff>
        </xdr:from>
        <xdr:to>
          <xdr:col>6</xdr:col>
          <xdr:colOff>0</xdr:colOff>
          <xdr:row>7</xdr:row>
          <xdr:rowOff>209550</xdr:rowOff>
        </xdr:to>
        <xdr:sp macro="" textlink="">
          <xdr:nvSpPr>
            <xdr:cNvPr id="11267" name="ImageDubKendalKonyak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3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</xdr:row>
          <xdr:rowOff>0</xdr:rowOff>
        </xdr:from>
        <xdr:to>
          <xdr:col>2</xdr:col>
          <xdr:colOff>219075</xdr:colOff>
          <xdr:row>7</xdr:row>
          <xdr:rowOff>209550</xdr:rowOff>
        </xdr:to>
        <xdr:sp macro="" textlink="">
          <xdr:nvSpPr>
            <xdr:cNvPr id="11268" name="ImageBetonChickago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0000000-0008-0000-03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5</xdr:row>
          <xdr:rowOff>0</xdr:rowOff>
        </xdr:from>
        <xdr:to>
          <xdr:col>9</xdr:col>
          <xdr:colOff>0</xdr:colOff>
          <xdr:row>7</xdr:row>
          <xdr:rowOff>209550</xdr:rowOff>
        </xdr:to>
        <xdr:sp macro="" textlink="">
          <xdr:nvSpPr>
            <xdr:cNvPr id="11269" name="ImageDybKendalNat" hidden="1">
              <a:extLst>
                <a:ext uri="{63B3BB69-23CF-44E3-9099-C40C66FF867C}">
                  <a14:compatExt spid="_x0000_s11269"/>
                </a:ext>
                <a:ext uri="{FF2B5EF4-FFF2-40B4-BE49-F238E27FC236}">
                  <a16:creationId xmlns:a16="http://schemas.microsoft.com/office/drawing/2014/main" id="{00000000-0008-0000-0300-00000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9</xdr:row>
          <xdr:rowOff>0</xdr:rowOff>
        </xdr:from>
        <xdr:to>
          <xdr:col>2</xdr:col>
          <xdr:colOff>219075</xdr:colOff>
          <xdr:row>11</xdr:row>
          <xdr:rowOff>219075</xdr:rowOff>
        </xdr:to>
        <xdr:sp macro="" textlink="">
          <xdr:nvSpPr>
            <xdr:cNvPr id="11270" name="ImageDubSolsberri" hidden="1">
              <a:extLst>
                <a:ext uri="{63B3BB69-23CF-44E3-9099-C40C66FF867C}">
                  <a14:compatExt spid="_x0000_s11270"/>
                </a:ext>
                <a:ext uri="{FF2B5EF4-FFF2-40B4-BE49-F238E27FC236}">
                  <a16:creationId xmlns:a16="http://schemas.microsoft.com/office/drawing/2014/main" id="{00000000-0008-0000-0300-000006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9</xdr:row>
          <xdr:rowOff>0</xdr:rowOff>
        </xdr:from>
        <xdr:to>
          <xdr:col>6</xdr:col>
          <xdr:colOff>0</xdr:colOff>
          <xdr:row>11</xdr:row>
          <xdr:rowOff>219075</xdr:rowOff>
        </xdr:to>
        <xdr:sp macro="" textlink="">
          <xdr:nvSpPr>
            <xdr:cNvPr id="11271" name="ImageMarengo" hidden="1">
              <a:extLst>
                <a:ext uri="{63B3BB69-23CF-44E3-9099-C40C66FF867C}">
                  <a14:compatExt spid="_x0000_s11271"/>
                </a:ext>
                <a:ext uri="{FF2B5EF4-FFF2-40B4-BE49-F238E27FC236}">
                  <a16:creationId xmlns:a16="http://schemas.microsoft.com/office/drawing/2014/main" id="{00000000-0008-0000-0300-000007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9</xdr:row>
          <xdr:rowOff>0</xdr:rowOff>
        </xdr:from>
        <xdr:to>
          <xdr:col>9</xdr:col>
          <xdr:colOff>0</xdr:colOff>
          <xdr:row>11</xdr:row>
          <xdr:rowOff>219075</xdr:rowOff>
        </xdr:to>
        <xdr:sp macro="" textlink="">
          <xdr:nvSpPr>
            <xdr:cNvPr id="11272" name="ImageMusson" hidden="1">
              <a:extLst>
                <a:ext uri="{63B3BB69-23CF-44E3-9099-C40C66FF867C}">
                  <a14:compatExt spid="_x0000_s11272"/>
                </a:ext>
                <a:ext uri="{FF2B5EF4-FFF2-40B4-BE49-F238E27FC236}">
                  <a16:creationId xmlns:a16="http://schemas.microsoft.com/office/drawing/2014/main" id="{00000000-0008-0000-0300-000008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13</xdr:row>
          <xdr:rowOff>0</xdr:rowOff>
        </xdr:from>
        <xdr:to>
          <xdr:col>2</xdr:col>
          <xdr:colOff>219075</xdr:colOff>
          <xdr:row>15</xdr:row>
          <xdr:rowOff>209550</xdr:rowOff>
        </xdr:to>
        <xdr:sp macro="" textlink="">
          <xdr:nvSpPr>
            <xdr:cNvPr id="11273" name="ImageOnixSer" hidden="1">
              <a:extLst>
                <a:ext uri="{63B3BB69-23CF-44E3-9099-C40C66FF867C}">
                  <a14:compatExt spid="_x0000_s11273"/>
                </a:ext>
                <a:ext uri="{FF2B5EF4-FFF2-40B4-BE49-F238E27FC236}">
                  <a16:creationId xmlns:a16="http://schemas.microsoft.com/office/drawing/2014/main" id="{00000000-0008-0000-0300-000009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13</xdr:row>
          <xdr:rowOff>0</xdr:rowOff>
        </xdr:from>
        <xdr:to>
          <xdr:col>6</xdr:col>
          <xdr:colOff>0</xdr:colOff>
          <xdr:row>15</xdr:row>
          <xdr:rowOff>209550</xdr:rowOff>
        </xdr:to>
        <xdr:sp macro="" textlink="">
          <xdr:nvSpPr>
            <xdr:cNvPr id="11274" name="ImageSerGal" hidden="1">
              <a:extLst>
                <a:ext uri="{63B3BB69-23CF-44E3-9099-C40C66FF867C}">
                  <a14:compatExt spid="_x0000_s11274"/>
                </a:ext>
                <a:ext uri="{FF2B5EF4-FFF2-40B4-BE49-F238E27FC236}">
                  <a16:creationId xmlns:a16="http://schemas.microsoft.com/office/drawing/2014/main" id="{00000000-0008-0000-0300-00000A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13</xdr:row>
          <xdr:rowOff>0</xdr:rowOff>
        </xdr:from>
        <xdr:to>
          <xdr:col>9</xdr:col>
          <xdr:colOff>0</xdr:colOff>
          <xdr:row>15</xdr:row>
          <xdr:rowOff>209550</xdr:rowOff>
        </xdr:to>
        <xdr:sp macro="" textlink="">
          <xdr:nvSpPr>
            <xdr:cNvPr id="11275" name="ImageBelPrem" hidden="1">
              <a:extLst>
                <a:ext uri="{63B3BB69-23CF-44E3-9099-C40C66FF867C}">
                  <a14:compatExt spid="_x0000_s11275"/>
                </a:ext>
                <a:ext uri="{FF2B5EF4-FFF2-40B4-BE49-F238E27FC236}">
                  <a16:creationId xmlns:a16="http://schemas.microsoft.com/office/drawing/2014/main" id="{00000000-0008-0000-0300-00000B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0</xdr:rowOff>
        </xdr:from>
        <xdr:to>
          <xdr:col>2</xdr:col>
          <xdr:colOff>0</xdr:colOff>
          <xdr:row>1</xdr:row>
          <xdr:rowOff>0</xdr:rowOff>
        </xdr:to>
        <xdr:sp macro="" textlink="">
          <xdr:nvSpPr>
            <xdr:cNvPr id="5122" name="ENO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4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</xdr:row>
          <xdr:rowOff>0</xdr:rowOff>
        </xdr:from>
        <xdr:to>
          <xdr:col>2</xdr:col>
          <xdr:colOff>0</xdr:colOff>
          <xdr:row>2</xdr:row>
          <xdr:rowOff>0</xdr:rowOff>
        </xdr:to>
        <xdr:sp macro="" textlink="">
          <xdr:nvSpPr>
            <xdr:cNvPr id="5123" name="EMN1D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4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</xdr:row>
          <xdr:rowOff>0</xdr:rowOff>
        </xdr:from>
        <xdr:to>
          <xdr:col>2</xdr:col>
          <xdr:colOff>0</xdr:colOff>
          <xdr:row>3</xdr:row>
          <xdr:rowOff>0</xdr:rowOff>
        </xdr:to>
        <xdr:sp macro="" textlink="">
          <xdr:nvSpPr>
            <xdr:cNvPr id="5124" name="EMN2D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4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</xdr:row>
          <xdr:rowOff>0</xdr:rowOff>
        </xdr:from>
        <xdr:to>
          <xdr:col>2</xdr:col>
          <xdr:colOff>0</xdr:colOff>
          <xdr:row>4</xdr:row>
          <xdr:rowOff>0</xdr:rowOff>
        </xdr:to>
        <xdr:sp macro="" textlink="">
          <xdr:nvSpPr>
            <xdr:cNvPr id="5125" name="EMN1K_150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4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</xdr:row>
          <xdr:rowOff>0</xdr:rowOff>
        </xdr:from>
        <xdr:to>
          <xdr:col>2</xdr:col>
          <xdr:colOff>0</xdr:colOff>
          <xdr:row>6</xdr:row>
          <xdr:rowOff>0</xdr:rowOff>
        </xdr:to>
        <xdr:sp macro="" textlink="">
          <xdr:nvSpPr>
            <xdr:cNvPr id="5126" name="EWN1D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4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</xdr:row>
          <xdr:rowOff>0</xdr:rowOff>
        </xdr:from>
        <xdr:to>
          <xdr:col>2</xdr:col>
          <xdr:colOff>0</xdr:colOff>
          <xdr:row>7</xdr:row>
          <xdr:rowOff>0</xdr:rowOff>
        </xdr:to>
        <xdr:sp macro="" textlink="">
          <xdr:nvSpPr>
            <xdr:cNvPr id="5127" name="EWN2D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4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</xdr:row>
          <xdr:rowOff>0</xdr:rowOff>
        </xdr:from>
        <xdr:to>
          <xdr:col>2</xdr:col>
          <xdr:colOff>0</xdr:colOff>
          <xdr:row>8</xdr:row>
          <xdr:rowOff>0</xdr:rowOff>
        </xdr:to>
        <xdr:sp macro="" textlink="">
          <xdr:nvSpPr>
            <xdr:cNvPr id="5128" name="EUN1D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4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9</xdr:row>
          <xdr:rowOff>0</xdr:rowOff>
        </xdr:from>
        <xdr:to>
          <xdr:col>2</xdr:col>
          <xdr:colOff>0</xdr:colOff>
          <xdr:row>10</xdr:row>
          <xdr:rowOff>0</xdr:rowOff>
        </xdr:to>
        <xdr:sp macro="" textlink="">
          <xdr:nvSpPr>
            <xdr:cNvPr id="5129" name="EWU1D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4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13</xdr:row>
          <xdr:rowOff>0</xdr:rowOff>
        </xdr:from>
        <xdr:to>
          <xdr:col>2</xdr:col>
          <xdr:colOff>0</xdr:colOff>
          <xdr:row>14</xdr:row>
          <xdr:rowOff>0</xdr:rowOff>
        </xdr:to>
        <xdr:sp macro="" textlink="">
          <xdr:nvSpPr>
            <xdr:cNvPr id="5132" name="EMN1B1D" hidden="1">
              <a:extLst>
                <a:ext uri="{63B3BB69-23CF-44E3-9099-C40C66FF867C}">
                  <a14:compatExt spid="_x0000_s5132"/>
                </a:ext>
                <a:ext uri="{FF2B5EF4-FFF2-40B4-BE49-F238E27FC236}">
                  <a16:creationId xmlns:a16="http://schemas.microsoft.com/office/drawing/2014/main" id="{00000000-0008-0000-0400-00000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14</xdr:row>
          <xdr:rowOff>0</xdr:rowOff>
        </xdr:from>
        <xdr:to>
          <xdr:col>2</xdr:col>
          <xdr:colOff>0</xdr:colOff>
          <xdr:row>15</xdr:row>
          <xdr:rowOff>0</xdr:rowOff>
        </xdr:to>
        <xdr:sp macro="" textlink="">
          <xdr:nvSpPr>
            <xdr:cNvPr id="5133" name="EMN1B2D" hidden="1">
              <a:extLst>
                <a:ext uri="{63B3BB69-23CF-44E3-9099-C40C66FF867C}">
                  <a14:compatExt spid="_x0000_s5133"/>
                </a:ext>
                <a:ext uri="{FF2B5EF4-FFF2-40B4-BE49-F238E27FC236}">
                  <a16:creationId xmlns:a16="http://schemas.microsoft.com/office/drawing/2014/main" id="{00000000-0008-0000-0400-00000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15</xdr:row>
          <xdr:rowOff>0</xdr:rowOff>
        </xdr:from>
        <xdr:to>
          <xdr:col>2</xdr:col>
          <xdr:colOff>0</xdr:colOff>
          <xdr:row>16</xdr:row>
          <xdr:rowOff>0</xdr:rowOff>
        </xdr:to>
        <xdr:sp macro="" textlink="">
          <xdr:nvSpPr>
            <xdr:cNvPr id="5134" name="EMN4B" hidden="1">
              <a:extLst>
                <a:ext uri="{63B3BB69-23CF-44E3-9099-C40C66FF867C}">
                  <a14:compatExt spid="_x0000_s5134"/>
                </a:ext>
                <a:ext uri="{FF2B5EF4-FFF2-40B4-BE49-F238E27FC236}">
                  <a16:creationId xmlns:a16="http://schemas.microsoft.com/office/drawing/2014/main" id="{00000000-0008-0000-0400-00000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16</xdr:row>
          <xdr:rowOff>0</xdr:rowOff>
        </xdr:from>
        <xdr:to>
          <xdr:col>2</xdr:col>
          <xdr:colOff>0</xdr:colOff>
          <xdr:row>17</xdr:row>
          <xdr:rowOff>0</xdr:rowOff>
        </xdr:to>
        <xdr:sp macro="" textlink="">
          <xdr:nvSpPr>
            <xdr:cNvPr id="5135" name="EMN3B" hidden="1">
              <a:extLst>
                <a:ext uri="{63B3BB69-23CF-44E3-9099-C40C66FF867C}">
                  <a14:compatExt spid="_x0000_s5135"/>
                </a:ext>
                <a:ext uri="{FF2B5EF4-FFF2-40B4-BE49-F238E27FC236}">
                  <a16:creationId xmlns:a16="http://schemas.microsoft.com/office/drawing/2014/main" id="{00000000-0008-0000-0400-00000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17</xdr:row>
          <xdr:rowOff>0</xdr:rowOff>
        </xdr:from>
        <xdr:to>
          <xdr:col>2</xdr:col>
          <xdr:colOff>0</xdr:colOff>
          <xdr:row>18</xdr:row>
          <xdr:rowOff>0</xdr:rowOff>
        </xdr:to>
        <xdr:sp macro="" textlink="">
          <xdr:nvSpPr>
            <xdr:cNvPr id="5136" name="EMN2B" hidden="1">
              <a:extLst>
                <a:ext uri="{63B3BB69-23CF-44E3-9099-C40C66FF867C}">
                  <a14:compatExt spid="_x0000_s5136"/>
                </a:ext>
                <a:ext uri="{FF2B5EF4-FFF2-40B4-BE49-F238E27FC236}">
                  <a16:creationId xmlns:a16="http://schemas.microsoft.com/office/drawing/2014/main" id="{00000000-0008-0000-0400-00001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18</xdr:row>
          <xdr:rowOff>0</xdr:rowOff>
        </xdr:from>
        <xdr:to>
          <xdr:col>2</xdr:col>
          <xdr:colOff>0</xdr:colOff>
          <xdr:row>19</xdr:row>
          <xdr:rowOff>0</xdr:rowOff>
        </xdr:to>
        <xdr:sp macro="" textlink="">
          <xdr:nvSpPr>
            <xdr:cNvPr id="5137" name="ETN1B" hidden="1">
              <a:extLst>
                <a:ext uri="{63B3BB69-23CF-44E3-9099-C40C66FF867C}">
                  <a14:compatExt spid="_x0000_s5137"/>
                </a:ext>
                <a:ext uri="{FF2B5EF4-FFF2-40B4-BE49-F238E27FC236}">
                  <a16:creationId xmlns:a16="http://schemas.microsoft.com/office/drawing/2014/main" id="{00000000-0008-0000-0400-00001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19</xdr:row>
          <xdr:rowOff>0</xdr:rowOff>
        </xdr:from>
        <xdr:to>
          <xdr:col>2</xdr:col>
          <xdr:colOff>0</xdr:colOff>
          <xdr:row>20</xdr:row>
          <xdr:rowOff>0</xdr:rowOff>
        </xdr:to>
        <xdr:sp macro="" textlink="">
          <xdr:nvSpPr>
            <xdr:cNvPr id="5138" name="ESNX1D" hidden="1">
              <a:extLst>
                <a:ext uri="{63B3BB69-23CF-44E3-9099-C40C66FF867C}">
                  <a14:compatExt spid="_x0000_s5138"/>
                </a:ext>
                <a:ext uri="{FF2B5EF4-FFF2-40B4-BE49-F238E27FC236}">
                  <a16:creationId xmlns:a16="http://schemas.microsoft.com/office/drawing/2014/main" id="{00000000-0008-0000-0400-00001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20</xdr:row>
          <xdr:rowOff>0</xdr:rowOff>
        </xdr:from>
        <xdr:to>
          <xdr:col>2</xdr:col>
          <xdr:colOff>0</xdr:colOff>
          <xdr:row>20</xdr:row>
          <xdr:rowOff>1952625</xdr:rowOff>
        </xdr:to>
        <xdr:sp macro="" textlink="">
          <xdr:nvSpPr>
            <xdr:cNvPr id="5139" name="ERN" hidden="1">
              <a:extLst>
                <a:ext uri="{63B3BB69-23CF-44E3-9099-C40C66FF867C}">
                  <a14:compatExt spid="_x0000_s5139"/>
                </a:ext>
                <a:ext uri="{FF2B5EF4-FFF2-40B4-BE49-F238E27FC236}">
                  <a16:creationId xmlns:a16="http://schemas.microsoft.com/office/drawing/2014/main" id="{00000000-0008-0000-0400-00001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20</xdr:row>
          <xdr:rowOff>1924050</xdr:rowOff>
        </xdr:from>
        <xdr:to>
          <xdr:col>2</xdr:col>
          <xdr:colOff>0</xdr:colOff>
          <xdr:row>22</xdr:row>
          <xdr:rowOff>0</xdr:rowOff>
        </xdr:to>
        <xdr:sp macro="" textlink="">
          <xdr:nvSpPr>
            <xdr:cNvPr id="5140" name="ERN1D" hidden="1">
              <a:extLst>
                <a:ext uri="{63B3BB69-23CF-44E3-9099-C40C66FF867C}">
                  <a14:compatExt spid="_x0000_s5140"/>
                </a:ext>
                <a:ext uri="{FF2B5EF4-FFF2-40B4-BE49-F238E27FC236}">
                  <a16:creationId xmlns:a16="http://schemas.microsoft.com/office/drawing/2014/main" id="{00000000-0008-0000-0400-00001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22</xdr:row>
          <xdr:rowOff>0</xdr:rowOff>
        </xdr:from>
        <xdr:to>
          <xdr:col>2</xdr:col>
          <xdr:colOff>0</xdr:colOff>
          <xdr:row>23</xdr:row>
          <xdr:rowOff>0</xdr:rowOff>
        </xdr:to>
        <xdr:sp macro="" textlink="">
          <xdr:nvSpPr>
            <xdr:cNvPr id="5141" name="ENG1D" hidden="1">
              <a:extLst>
                <a:ext uri="{63B3BB69-23CF-44E3-9099-C40C66FF867C}">
                  <a14:compatExt spid="_x0000_s5141"/>
                </a:ext>
                <a:ext uri="{FF2B5EF4-FFF2-40B4-BE49-F238E27FC236}">
                  <a16:creationId xmlns:a16="http://schemas.microsoft.com/office/drawing/2014/main" id="{00000000-0008-0000-0400-00001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23</xdr:row>
          <xdr:rowOff>0</xdr:rowOff>
        </xdr:from>
        <xdr:to>
          <xdr:col>2</xdr:col>
          <xdr:colOff>0</xdr:colOff>
          <xdr:row>24</xdr:row>
          <xdr:rowOff>0</xdr:rowOff>
        </xdr:to>
        <xdr:sp macro="" textlink="">
          <xdr:nvSpPr>
            <xdr:cNvPr id="5142" name="ENG2D" hidden="1">
              <a:extLst>
                <a:ext uri="{63B3BB69-23CF-44E3-9099-C40C66FF867C}">
                  <a14:compatExt spid="_x0000_s5142"/>
                </a:ext>
                <a:ext uri="{FF2B5EF4-FFF2-40B4-BE49-F238E27FC236}">
                  <a16:creationId xmlns:a16="http://schemas.microsoft.com/office/drawing/2014/main" id="{00000000-0008-0000-0400-00001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24</xdr:row>
          <xdr:rowOff>0</xdr:rowOff>
        </xdr:from>
        <xdr:to>
          <xdr:col>2</xdr:col>
          <xdr:colOff>0</xdr:colOff>
          <xdr:row>25</xdr:row>
          <xdr:rowOff>0</xdr:rowOff>
        </xdr:to>
        <xdr:sp macro="" textlink="">
          <xdr:nvSpPr>
            <xdr:cNvPr id="5143" name="ENG2B" hidden="1">
              <a:extLst>
                <a:ext uri="{63B3BB69-23CF-44E3-9099-C40C66FF867C}">
                  <a14:compatExt spid="_x0000_s5143"/>
                </a:ext>
                <a:ext uri="{FF2B5EF4-FFF2-40B4-BE49-F238E27FC236}">
                  <a16:creationId xmlns:a16="http://schemas.microsoft.com/office/drawing/2014/main" id="{00000000-0008-0000-0400-00001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25</xdr:row>
          <xdr:rowOff>0</xdr:rowOff>
        </xdr:from>
        <xdr:to>
          <xdr:col>2</xdr:col>
          <xdr:colOff>0</xdr:colOff>
          <xdr:row>26</xdr:row>
          <xdr:rowOff>0</xdr:rowOff>
        </xdr:to>
        <xdr:sp macro="" textlink="">
          <xdr:nvSpPr>
            <xdr:cNvPr id="5144" name="ENG3B" hidden="1">
              <a:extLst>
                <a:ext uri="{63B3BB69-23CF-44E3-9099-C40C66FF867C}">
                  <a14:compatExt spid="_x0000_s5144"/>
                </a:ext>
                <a:ext uri="{FF2B5EF4-FFF2-40B4-BE49-F238E27FC236}">
                  <a16:creationId xmlns:a16="http://schemas.microsoft.com/office/drawing/2014/main" id="{00000000-0008-0000-0400-00001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26</xdr:row>
          <xdr:rowOff>0</xdr:rowOff>
        </xdr:from>
        <xdr:to>
          <xdr:col>2</xdr:col>
          <xdr:colOff>0</xdr:colOff>
          <xdr:row>27</xdr:row>
          <xdr:rowOff>0</xdr:rowOff>
        </xdr:to>
        <xdr:sp macro="" textlink="">
          <xdr:nvSpPr>
            <xdr:cNvPr id="5145" name="ENG1K_150" hidden="1">
              <a:extLst>
                <a:ext uri="{63B3BB69-23CF-44E3-9099-C40C66FF867C}">
                  <a14:compatExt spid="_x0000_s5145"/>
                </a:ext>
                <a:ext uri="{FF2B5EF4-FFF2-40B4-BE49-F238E27FC236}">
                  <a16:creationId xmlns:a16="http://schemas.microsoft.com/office/drawing/2014/main" id="{00000000-0008-0000-0400-00001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28</xdr:row>
          <xdr:rowOff>0</xdr:rowOff>
        </xdr:from>
        <xdr:to>
          <xdr:col>2</xdr:col>
          <xdr:colOff>0</xdr:colOff>
          <xdr:row>29</xdr:row>
          <xdr:rowOff>0</xdr:rowOff>
        </xdr:to>
        <xdr:sp macro="" textlink="">
          <xdr:nvSpPr>
            <xdr:cNvPr id="5146" name="EWG1D" hidden="1">
              <a:extLst>
                <a:ext uri="{63B3BB69-23CF-44E3-9099-C40C66FF867C}">
                  <a14:compatExt spid="_x0000_s5146"/>
                </a:ext>
                <a:ext uri="{FF2B5EF4-FFF2-40B4-BE49-F238E27FC236}">
                  <a16:creationId xmlns:a16="http://schemas.microsoft.com/office/drawing/2014/main" id="{00000000-0008-0000-0400-00001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29</xdr:row>
          <xdr:rowOff>0</xdr:rowOff>
        </xdr:from>
        <xdr:to>
          <xdr:col>2</xdr:col>
          <xdr:colOff>0</xdr:colOff>
          <xdr:row>30</xdr:row>
          <xdr:rowOff>0</xdr:rowOff>
        </xdr:to>
        <xdr:sp macro="" textlink="">
          <xdr:nvSpPr>
            <xdr:cNvPr id="5147" name="EWG2D" hidden="1">
              <a:extLst>
                <a:ext uri="{63B3BB69-23CF-44E3-9099-C40C66FF867C}">
                  <a14:compatExt spid="_x0000_s5147"/>
                </a:ext>
                <a:ext uri="{FF2B5EF4-FFF2-40B4-BE49-F238E27FC236}">
                  <a16:creationId xmlns:a16="http://schemas.microsoft.com/office/drawing/2014/main" id="{00000000-0008-0000-0400-00001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30</xdr:row>
          <xdr:rowOff>0</xdr:rowOff>
        </xdr:from>
        <xdr:to>
          <xdr:col>2</xdr:col>
          <xdr:colOff>0</xdr:colOff>
          <xdr:row>31</xdr:row>
          <xdr:rowOff>0</xdr:rowOff>
        </xdr:to>
        <xdr:sp macro="" textlink="">
          <xdr:nvSpPr>
            <xdr:cNvPr id="5148" name="EUG1D" hidden="1">
              <a:extLst>
                <a:ext uri="{63B3BB69-23CF-44E3-9099-C40C66FF867C}">
                  <a14:compatExt spid="_x0000_s5148"/>
                </a:ext>
                <a:ext uri="{FF2B5EF4-FFF2-40B4-BE49-F238E27FC236}">
                  <a16:creationId xmlns:a16="http://schemas.microsoft.com/office/drawing/2014/main" id="{00000000-0008-0000-0400-00001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32</xdr:row>
          <xdr:rowOff>0</xdr:rowOff>
        </xdr:from>
        <xdr:to>
          <xdr:col>2</xdr:col>
          <xdr:colOff>0</xdr:colOff>
          <xdr:row>33</xdr:row>
          <xdr:rowOff>0</xdr:rowOff>
        </xdr:to>
        <xdr:sp macro="" textlink="">
          <xdr:nvSpPr>
            <xdr:cNvPr id="5149" name="EZ1F" hidden="1">
              <a:extLst>
                <a:ext uri="{63B3BB69-23CF-44E3-9099-C40C66FF867C}">
                  <a14:compatExt spid="_x0000_s5149"/>
                </a:ext>
                <a:ext uri="{FF2B5EF4-FFF2-40B4-BE49-F238E27FC236}">
                  <a16:creationId xmlns:a16="http://schemas.microsoft.com/office/drawing/2014/main" id="{00000000-0008-0000-0400-00001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33</xdr:row>
          <xdr:rowOff>0</xdr:rowOff>
        </xdr:from>
        <xdr:to>
          <xdr:col>2</xdr:col>
          <xdr:colOff>0</xdr:colOff>
          <xdr:row>34</xdr:row>
          <xdr:rowOff>0</xdr:rowOff>
        </xdr:to>
        <xdr:sp macro="" textlink="">
          <xdr:nvSpPr>
            <xdr:cNvPr id="5150" name="EVO" hidden="1">
              <a:extLst>
                <a:ext uri="{63B3BB69-23CF-44E3-9099-C40C66FF867C}">
                  <a14:compatExt spid="_x0000_s5150"/>
                </a:ext>
                <a:ext uri="{FF2B5EF4-FFF2-40B4-BE49-F238E27FC236}">
                  <a16:creationId xmlns:a16="http://schemas.microsoft.com/office/drawing/2014/main" id="{00000000-0008-0000-0400-00001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34</xdr:row>
          <xdr:rowOff>0</xdr:rowOff>
        </xdr:from>
        <xdr:to>
          <xdr:col>2</xdr:col>
          <xdr:colOff>0</xdr:colOff>
          <xdr:row>35</xdr:row>
          <xdr:rowOff>0</xdr:rowOff>
        </xdr:to>
        <xdr:sp macro="" textlink="">
          <xdr:nvSpPr>
            <xdr:cNvPr id="5151" name="EMV1D" hidden="1">
              <a:extLst>
                <a:ext uri="{63B3BB69-23CF-44E3-9099-C40C66FF867C}">
                  <a14:compatExt spid="_x0000_s5151"/>
                </a:ext>
                <a:ext uri="{FF2B5EF4-FFF2-40B4-BE49-F238E27FC236}">
                  <a16:creationId xmlns:a16="http://schemas.microsoft.com/office/drawing/2014/main" id="{00000000-0008-0000-0400-00001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35</xdr:row>
          <xdr:rowOff>0</xdr:rowOff>
        </xdr:from>
        <xdr:to>
          <xdr:col>2</xdr:col>
          <xdr:colOff>0</xdr:colOff>
          <xdr:row>36</xdr:row>
          <xdr:rowOff>0</xdr:rowOff>
        </xdr:to>
        <xdr:sp macro="" textlink="">
          <xdr:nvSpPr>
            <xdr:cNvPr id="5152" name="EMV1DN" hidden="1">
              <a:extLst>
                <a:ext uri="{63B3BB69-23CF-44E3-9099-C40C66FF867C}">
                  <a14:compatExt spid="_x0000_s5152"/>
                </a:ext>
                <a:ext uri="{FF2B5EF4-FFF2-40B4-BE49-F238E27FC236}">
                  <a16:creationId xmlns:a16="http://schemas.microsoft.com/office/drawing/2014/main" id="{00000000-0008-0000-0400-00002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36</xdr:row>
          <xdr:rowOff>0</xdr:rowOff>
        </xdr:from>
        <xdr:to>
          <xdr:col>2</xdr:col>
          <xdr:colOff>0</xdr:colOff>
          <xdr:row>37</xdr:row>
          <xdr:rowOff>0</xdr:rowOff>
        </xdr:to>
        <xdr:sp macro="" textlink="">
          <xdr:nvSpPr>
            <xdr:cNvPr id="5153" name="EMV1V" hidden="1">
              <a:extLst>
                <a:ext uri="{63B3BB69-23CF-44E3-9099-C40C66FF867C}">
                  <a14:compatExt spid="_x0000_s5153"/>
                </a:ext>
                <a:ext uri="{FF2B5EF4-FFF2-40B4-BE49-F238E27FC236}">
                  <a16:creationId xmlns:a16="http://schemas.microsoft.com/office/drawing/2014/main" id="{00000000-0008-0000-0400-00002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38</xdr:row>
          <xdr:rowOff>0</xdr:rowOff>
        </xdr:from>
        <xdr:to>
          <xdr:col>2</xdr:col>
          <xdr:colOff>0</xdr:colOff>
          <xdr:row>39</xdr:row>
          <xdr:rowOff>0</xdr:rowOff>
        </xdr:to>
        <xdr:sp macro="" textlink="">
          <xdr:nvSpPr>
            <xdr:cNvPr id="5154" name="EMV1VN" hidden="1">
              <a:extLst>
                <a:ext uri="{63B3BB69-23CF-44E3-9099-C40C66FF867C}">
                  <a14:compatExt spid="_x0000_s5154"/>
                </a:ext>
                <a:ext uri="{FF2B5EF4-FFF2-40B4-BE49-F238E27FC236}">
                  <a16:creationId xmlns:a16="http://schemas.microsoft.com/office/drawing/2014/main" id="{00000000-0008-0000-0400-00002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39</xdr:row>
          <xdr:rowOff>0</xdr:rowOff>
        </xdr:from>
        <xdr:to>
          <xdr:col>2</xdr:col>
          <xdr:colOff>0</xdr:colOff>
          <xdr:row>40</xdr:row>
          <xdr:rowOff>0</xdr:rowOff>
        </xdr:to>
        <xdr:sp macro="" textlink="">
          <xdr:nvSpPr>
            <xdr:cNvPr id="5155" name="EMV2D" hidden="1">
              <a:extLst>
                <a:ext uri="{63B3BB69-23CF-44E3-9099-C40C66FF867C}">
                  <a14:compatExt spid="_x0000_s5155"/>
                </a:ext>
                <a:ext uri="{FF2B5EF4-FFF2-40B4-BE49-F238E27FC236}">
                  <a16:creationId xmlns:a16="http://schemas.microsoft.com/office/drawing/2014/main" id="{00000000-0008-0000-0400-00002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40</xdr:row>
          <xdr:rowOff>0</xdr:rowOff>
        </xdr:from>
        <xdr:to>
          <xdr:col>2</xdr:col>
          <xdr:colOff>0</xdr:colOff>
          <xdr:row>41</xdr:row>
          <xdr:rowOff>0</xdr:rowOff>
        </xdr:to>
        <xdr:sp macro="" textlink="">
          <xdr:nvSpPr>
            <xdr:cNvPr id="5156" name="EMV2V" hidden="1">
              <a:extLst>
                <a:ext uri="{63B3BB69-23CF-44E3-9099-C40C66FF867C}">
                  <a14:compatExt spid="_x0000_s5156"/>
                </a:ext>
                <a:ext uri="{FF2B5EF4-FFF2-40B4-BE49-F238E27FC236}">
                  <a16:creationId xmlns:a16="http://schemas.microsoft.com/office/drawing/2014/main" id="{00000000-0008-0000-0400-00002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41</xdr:row>
          <xdr:rowOff>0</xdr:rowOff>
        </xdr:from>
        <xdr:to>
          <xdr:col>2</xdr:col>
          <xdr:colOff>0</xdr:colOff>
          <xdr:row>42</xdr:row>
          <xdr:rowOff>0</xdr:rowOff>
        </xdr:to>
        <xdr:sp macro="" textlink="">
          <xdr:nvSpPr>
            <xdr:cNvPr id="5157" name="EVU1D" hidden="1">
              <a:extLst>
                <a:ext uri="{63B3BB69-23CF-44E3-9099-C40C66FF867C}">
                  <a14:compatExt spid="_x0000_s5157"/>
                </a:ext>
                <a:ext uri="{FF2B5EF4-FFF2-40B4-BE49-F238E27FC236}">
                  <a16:creationId xmlns:a16="http://schemas.microsoft.com/office/drawing/2014/main" id="{00000000-0008-0000-0400-00002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42</xdr:row>
          <xdr:rowOff>0</xdr:rowOff>
        </xdr:from>
        <xdr:to>
          <xdr:col>2</xdr:col>
          <xdr:colOff>0</xdr:colOff>
          <xdr:row>43</xdr:row>
          <xdr:rowOff>0</xdr:rowOff>
        </xdr:to>
        <xdr:sp macro="" textlink="">
          <xdr:nvSpPr>
            <xdr:cNvPr id="5158" name="EHV1D_720" hidden="1">
              <a:extLst>
                <a:ext uri="{63B3BB69-23CF-44E3-9099-C40C66FF867C}">
                  <a14:compatExt spid="_x0000_s5158"/>
                </a:ext>
                <a:ext uri="{FF2B5EF4-FFF2-40B4-BE49-F238E27FC236}">
                  <a16:creationId xmlns:a16="http://schemas.microsoft.com/office/drawing/2014/main" id="{00000000-0008-0000-0400-00002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44</xdr:row>
          <xdr:rowOff>0</xdr:rowOff>
        </xdr:from>
        <xdr:to>
          <xdr:col>2</xdr:col>
          <xdr:colOff>0</xdr:colOff>
          <xdr:row>45</xdr:row>
          <xdr:rowOff>-1</xdr:rowOff>
        </xdr:to>
        <xdr:sp macro="" textlink="">
          <xdr:nvSpPr>
            <xdr:cNvPr id="5159" name="EHV2D_720" hidden="1">
              <a:extLst>
                <a:ext uri="{63B3BB69-23CF-44E3-9099-C40C66FF867C}">
                  <a14:compatExt spid="_x0000_s5159"/>
                </a:ext>
                <a:ext uri="{FF2B5EF4-FFF2-40B4-BE49-F238E27FC236}">
                  <a16:creationId xmlns:a16="http://schemas.microsoft.com/office/drawing/2014/main" id="{00000000-0008-0000-0400-00002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46</xdr:row>
          <xdr:rowOff>0</xdr:rowOff>
        </xdr:from>
        <xdr:to>
          <xdr:col>2</xdr:col>
          <xdr:colOff>0</xdr:colOff>
          <xdr:row>47</xdr:row>
          <xdr:rowOff>1</xdr:rowOff>
        </xdr:to>
        <xdr:sp macro="" textlink="">
          <xdr:nvSpPr>
            <xdr:cNvPr id="5160" name="EDV1D" hidden="1">
              <a:extLst>
                <a:ext uri="{63B3BB69-23CF-44E3-9099-C40C66FF867C}">
                  <a14:compatExt spid="_x0000_s5160"/>
                </a:ext>
                <a:ext uri="{FF2B5EF4-FFF2-40B4-BE49-F238E27FC236}">
                  <a16:creationId xmlns:a16="http://schemas.microsoft.com/office/drawing/2014/main" id="{00000000-0008-0000-0400-00002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47</xdr:row>
          <xdr:rowOff>0</xdr:rowOff>
        </xdr:from>
        <xdr:to>
          <xdr:col>2</xdr:col>
          <xdr:colOff>0</xdr:colOff>
          <xdr:row>47</xdr:row>
          <xdr:rowOff>2151529</xdr:rowOff>
        </xdr:to>
        <xdr:sp macro="" textlink="">
          <xdr:nvSpPr>
            <xdr:cNvPr id="5161" name="EWV1D_450" hidden="1">
              <a:extLst>
                <a:ext uri="{63B3BB69-23CF-44E3-9099-C40C66FF867C}">
                  <a14:compatExt spid="_x0000_s5161"/>
                </a:ext>
                <a:ext uri="{FF2B5EF4-FFF2-40B4-BE49-F238E27FC236}">
                  <a16:creationId xmlns:a16="http://schemas.microsoft.com/office/drawing/2014/main" id="{00000000-0008-0000-0400-00002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49</xdr:row>
          <xdr:rowOff>0</xdr:rowOff>
        </xdr:from>
        <xdr:to>
          <xdr:col>2</xdr:col>
          <xdr:colOff>0</xdr:colOff>
          <xdr:row>50</xdr:row>
          <xdr:rowOff>0</xdr:rowOff>
        </xdr:to>
        <xdr:sp macro="" textlink="">
          <xdr:nvSpPr>
            <xdr:cNvPr id="5162" name="EWV2D_600" hidden="1">
              <a:extLst>
                <a:ext uri="{63B3BB69-23CF-44E3-9099-C40C66FF867C}">
                  <a14:compatExt spid="_x0000_s5162"/>
                </a:ext>
                <a:ext uri="{FF2B5EF4-FFF2-40B4-BE49-F238E27FC236}">
                  <a16:creationId xmlns:a16="http://schemas.microsoft.com/office/drawing/2014/main" id="{00000000-0008-0000-0400-00002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52</xdr:row>
          <xdr:rowOff>0</xdr:rowOff>
        </xdr:from>
        <xdr:to>
          <xdr:col>2</xdr:col>
          <xdr:colOff>0</xdr:colOff>
          <xdr:row>52</xdr:row>
          <xdr:rowOff>2151529</xdr:rowOff>
        </xdr:to>
        <xdr:sp macro="" textlink="">
          <xdr:nvSpPr>
            <xdr:cNvPr id="5163" name="EWV2V_450" hidden="1">
              <a:extLst>
                <a:ext uri="{63B3BB69-23CF-44E3-9099-C40C66FF867C}">
                  <a14:compatExt spid="_x0000_s5163"/>
                </a:ext>
                <a:ext uri="{FF2B5EF4-FFF2-40B4-BE49-F238E27FC236}">
                  <a16:creationId xmlns:a16="http://schemas.microsoft.com/office/drawing/2014/main" id="{00000000-0008-0000-0400-00002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54</xdr:row>
          <xdr:rowOff>0</xdr:rowOff>
        </xdr:from>
        <xdr:to>
          <xdr:col>2</xdr:col>
          <xdr:colOff>0</xdr:colOff>
          <xdr:row>55</xdr:row>
          <xdr:rowOff>0</xdr:rowOff>
        </xdr:to>
        <xdr:sp macro="" textlink="">
          <xdr:nvSpPr>
            <xdr:cNvPr id="5164" name="EWV1V_450" hidden="1">
              <a:extLst>
                <a:ext uri="{63B3BB69-23CF-44E3-9099-C40C66FF867C}">
                  <a14:compatExt spid="_x0000_s5164"/>
                </a:ext>
                <a:ext uri="{FF2B5EF4-FFF2-40B4-BE49-F238E27FC236}">
                  <a16:creationId xmlns:a16="http://schemas.microsoft.com/office/drawing/2014/main" id="{00000000-0008-0000-0400-00002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57</xdr:row>
          <xdr:rowOff>0</xdr:rowOff>
        </xdr:from>
        <xdr:to>
          <xdr:col>2</xdr:col>
          <xdr:colOff>0</xdr:colOff>
          <xdr:row>57</xdr:row>
          <xdr:rowOff>2151529</xdr:rowOff>
        </xdr:to>
        <xdr:sp macro="" textlink="">
          <xdr:nvSpPr>
            <xdr:cNvPr id="5166" name="ERV1D_600" hidden="1">
              <a:extLst>
                <a:ext uri="{63B3BB69-23CF-44E3-9099-C40C66FF867C}">
                  <a14:compatExt spid="_x0000_s5166"/>
                </a:ext>
                <a:ext uri="{FF2B5EF4-FFF2-40B4-BE49-F238E27FC236}">
                  <a16:creationId xmlns:a16="http://schemas.microsoft.com/office/drawing/2014/main" id="{00000000-0008-0000-0400-00002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60</xdr:row>
          <xdr:rowOff>0</xdr:rowOff>
        </xdr:from>
        <xdr:to>
          <xdr:col>2</xdr:col>
          <xdr:colOff>0</xdr:colOff>
          <xdr:row>61</xdr:row>
          <xdr:rowOff>0</xdr:rowOff>
        </xdr:to>
        <xdr:sp macro="" textlink="">
          <xdr:nvSpPr>
            <xdr:cNvPr id="5167" name="EVG1D" hidden="1">
              <a:extLst>
                <a:ext uri="{63B3BB69-23CF-44E3-9099-C40C66FF867C}">
                  <a14:compatExt spid="_x0000_s5167"/>
                </a:ext>
                <a:ext uri="{FF2B5EF4-FFF2-40B4-BE49-F238E27FC236}">
                  <a16:creationId xmlns:a16="http://schemas.microsoft.com/office/drawing/2014/main" id="{00000000-0008-0000-0400-00002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61</xdr:row>
          <xdr:rowOff>0</xdr:rowOff>
        </xdr:from>
        <xdr:to>
          <xdr:col>2</xdr:col>
          <xdr:colOff>0</xdr:colOff>
          <xdr:row>62</xdr:row>
          <xdr:rowOff>0</xdr:rowOff>
        </xdr:to>
        <xdr:sp macro="" textlink="">
          <xdr:nvSpPr>
            <xdr:cNvPr id="5168" name="EVG2D" hidden="1">
              <a:extLst>
                <a:ext uri="{63B3BB69-23CF-44E3-9099-C40C66FF867C}">
                  <a14:compatExt spid="_x0000_s5168"/>
                </a:ext>
                <a:ext uri="{FF2B5EF4-FFF2-40B4-BE49-F238E27FC236}">
                  <a16:creationId xmlns:a16="http://schemas.microsoft.com/office/drawing/2014/main" id="{00000000-0008-0000-0400-00003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62</xdr:row>
          <xdr:rowOff>0</xdr:rowOff>
        </xdr:from>
        <xdr:to>
          <xdr:col>2</xdr:col>
          <xdr:colOff>0</xdr:colOff>
          <xdr:row>63</xdr:row>
          <xdr:rowOff>0</xdr:rowOff>
        </xdr:to>
        <xdr:sp macro="" textlink="">
          <xdr:nvSpPr>
            <xdr:cNvPr id="5169" name="EVG2V" hidden="1">
              <a:extLst>
                <a:ext uri="{63B3BB69-23CF-44E3-9099-C40C66FF867C}">
                  <a14:compatExt spid="_x0000_s5169"/>
                </a:ext>
                <a:ext uri="{FF2B5EF4-FFF2-40B4-BE49-F238E27FC236}">
                  <a16:creationId xmlns:a16="http://schemas.microsoft.com/office/drawing/2014/main" id="{00000000-0008-0000-0400-00003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63</xdr:row>
          <xdr:rowOff>0</xdr:rowOff>
        </xdr:from>
        <xdr:to>
          <xdr:col>2</xdr:col>
          <xdr:colOff>0</xdr:colOff>
          <xdr:row>64</xdr:row>
          <xdr:rowOff>1</xdr:rowOff>
        </xdr:to>
        <xdr:sp macro="" textlink="">
          <xdr:nvSpPr>
            <xdr:cNvPr id="5170" name="EUVG1D" hidden="1">
              <a:extLst>
                <a:ext uri="{63B3BB69-23CF-44E3-9099-C40C66FF867C}">
                  <a14:compatExt spid="_x0000_s5170"/>
                </a:ext>
                <a:ext uri="{FF2B5EF4-FFF2-40B4-BE49-F238E27FC236}">
                  <a16:creationId xmlns:a16="http://schemas.microsoft.com/office/drawing/2014/main" id="{00000000-0008-0000-0400-00003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65</xdr:row>
          <xdr:rowOff>0</xdr:rowOff>
        </xdr:from>
        <xdr:to>
          <xdr:col>2</xdr:col>
          <xdr:colOff>0</xdr:colOff>
          <xdr:row>66</xdr:row>
          <xdr:rowOff>1</xdr:rowOff>
        </xdr:to>
        <xdr:sp macro="" textlink="">
          <xdr:nvSpPr>
            <xdr:cNvPr id="5172" name="ESVX1D_960" hidden="1">
              <a:extLst>
                <a:ext uri="{63B3BB69-23CF-44E3-9099-C40C66FF867C}">
                  <a14:compatExt spid="_x0000_s5172"/>
                </a:ext>
                <a:ext uri="{FF2B5EF4-FFF2-40B4-BE49-F238E27FC236}">
                  <a16:creationId xmlns:a16="http://schemas.microsoft.com/office/drawing/2014/main" id="{00000000-0008-0000-0400-00003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66</xdr:row>
          <xdr:rowOff>0</xdr:rowOff>
        </xdr:from>
        <xdr:to>
          <xdr:col>2</xdr:col>
          <xdr:colOff>0</xdr:colOff>
          <xdr:row>67</xdr:row>
          <xdr:rowOff>-1</xdr:rowOff>
        </xdr:to>
        <xdr:sp macro="" textlink="">
          <xdr:nvSpPr>
            <xdr:cNvPr id="5173" name="EP1D" hidden="1">
              <a:extLst>
                <a:ext uri="{63B3BB69-23CF-44E3-9099-C40C66FF867C}">
                  <a14:compatExt spid="_x0000_s5173"/>
                </a:ext>
                <a:ext uri="{FF2B5EF4-FFF2-40B4-BE49-F238E27FC236}">
                  <a16:creationId xmlns:a16="http://schemas.microsoft.com/office/drawing/2014/main" id="{00000000-0008-0000-0400-00003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67</xdr:row>
          <xdr:rowOff>0</xdr:rowOff>
        </xdr:from>
        <xdr:to>
          <xdr:col>2</xdr:col>
          <xdr:colOff>0</xdr:colOff>
          <xdr:row>68</xdr:row>
          <xdr:rowOff>0</xdr:rowOff>
        </xdr:to>
        <xdr:sp macro="" textlink="">
          <xdr:nvSpPr>
            <xdr:cNvPr id="5174" name="EPG1D" hidden="1">
              <a:extLst>
                <a:ext uri="{63B3BB69-23CF-44E3-9099-C40C66FF867C}">
                  <a14:compatExt spid="_x0000_s5174"/>
                </a:ext>
                <a:ext uri="{FF2B5EF4-FFF2-40B4-BE49-F238E27FC236}">
                  <a16:creationId xmlns:a16="http://schemas.microsoft.com/office/drawing/2014/main" id="{00000000-0008-0000-0400-00003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68</xdr:row>
          <xdr:rowOff>0</xdr:rowOff>
        </xdr:from>
        <xdr:to>
          <xdr:col>2</xdr:col>
          <xdr:colOff>0</xdr:colOff>
          <xdr:row>69</xdr:row>
          <xdr:rowOff>1</xdr:rowOff>
        </xdr:to>
        <xdr:sp macro="" textlink="">
          <xdr:nvSpPr>
            <xdr:cNvPr id="5175" name="EPT1D_455" hidden="1">
              <a:extLst>
                <a:ext uri="{63B3BB69-23CF-44E3-9099-C40C66FF867C}">
                  <a14:compatExt spid="_x0000_s5175"/>
                </a:ext>
                <a:ext uri="{FF2B5EF4-FFF2-40B4-BE49-F238E27FC236}">
                  <a16:creationId xmlns:a16="http://schemas.microsoft.com/office/drawing/2014/main" id="{00000000-0008-0000-0400-00003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70</xdr:row>
          <xdr:rowOff>0</xdr:rowOff>
        </xdr:from>
        <xdr:to>
          <xdr:col>2</xdr:col>
          <xdr:colOff>0</xdr:colOff>
          <xdr:row>71</xdr:row>
          <xdr:rowOff>0</xdr:rowOff>
        </xdr:to>
        <xdr:sp macro="" textlink="">
          <xdr:nvSpPr>
            <xdr:cNvPr id="5176" name="EPT1B_380" hidden="1">
              <a:extLst>
                <a:ext uri="{63B3BB69-23CF-44E3-9099-C40C66FF867C}">
                  <a14:compatExt spid="_x0000_s5176"/>
                </a:ext>
                <a:ext uri="{FF2B5EF4-FFF2-40B4-BE49-F238E27FC236}">
                  <a16:creationId xmlns:a16="http://schemas.microsoft.com/office/drawing/2014/main" id="{00000000-0008-0000-0400-00003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73</xdr:row>
          <xdr:rowOff>0</xdr:rowOff>
        </xdr:from>
        <xdr:to>
          <xdr:col>2</xdr:col>
          <xdr:colOff>0</xdr:colOff>
          <xdr:row>74</xdr:row>
          <xdr:rowOff>1</xdr:rowOff>
        </xdr:to>
        <xdr:sp macro="" textlink="">
          <xdr:nvSpPr>
            <xdr:cNvPr id="5177" name="EP2D" hidden="1">
              <a:extLst>
                <a:ext uri="{63B3BB69-23CF-44E3-9099-C40C66FF867C}">
                  <a14:compatExt spid="_x0000_s5177"/>
                </a:ext>
                <a:ext uri="{FF2B5EF4-FFF2-40B4-BE49-F238E27FC236}">
                  <a16:creationId xmlns:a16="http://schemas.microsoft.com/office/drawing/2014/main" id="{00000000-0008-0000-0400-00003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74</xdr:row>
          <xdr:rowOff>0</xdr:rowOff>
        </xdr:from>
        <xdr:to>
          <xdr:col>2</xdr:col>
          <xdr:colOff>0</xdr:colOff>
          <xdr:row>74</xdr:row>
          <xdr:rowOff>2151529</xdr:rowOff>
        </xdr:to>
        <xdr:sp macro="" textlink="">
          <xdr:nvSpPr>
            <xdr:cNvPr id="5178" name="EPG2D_EPG2DM" hidden="1">
              <a:extLst>
                <a:ext uri="{63B3BB69-23CF-44E3-9099-C40C66FF867C}">
                  <a14:compatExt spid="_x0000_s5178"/>
                </a:ext>
                <a:ext uri="{FF2B5EF4-FFF2-40B4-BE49-F238E27FC236}">
                  <a16:creationId xmlns:a16="http://schemas.microsoft.com/office/drawing/2014/main" id="{00000000-0008-0000-0400-00003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75</xdr:row>
          <xdr:rowOff>0</xdr:rowOff>
        </xdr:from>
        <xdr:to>
          <xdr:col>2</xdr:col>
          <xdr:colOff>0</xdr:colOff>
          <xdr:row>76</xdr:row>
          <xdr:rowOff>0</xdr:rowOff>
        </xdr:to>
        <xdr:sp macro="" textlink="">
          <xdr:nvSpPr>
            <xdr:cNvPr id="5179" name="EPS2D" hidden="1">
              <a:extLst>
                <a:ext uri="{63B3BB69-23CF-44E3-9099-C40C66FF867C}">
                  <a14:compatExt spid="_x0000_s5179"/>
                </a:ext>
                <a:ext uri="{FF2B5EF4-FFF2-40B4-BE49-F238E27FC236}">
                  <a16:creationId xmlns:a16="http://schemas.microsoft.com/office/drawing/2014/main" id="{00000000-0008-0000-0400-00003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76</xdr:row>
          <xdr:rowOff>0</xdr:rowOff>
        </xdr:from>
        <xdr:to>
          <xdr:col>2</xdr:col>
          <xdr:colOff>0</xdr:colOff>
          <xdr:row>77</xdr:row>
          <xdr:rowOff>0</xdr:rowOff>
        </xdr:to>
        <xdr:sp macro="" textlink="">
          <xdr:nvSpPr>
            <xdr:cNvPr id="5180" name="EPSG2D" hidden="1">
              <a:extLst>
                <a:ext uri="{63B3BB69-23CF-44E3-9099-C40C66FF867C}">
                  <a14:compatExt spid="_x0000_s5180"/>
                </a:ext>
                <a:ext uri="{FF2B5EF4-FFF2-40B4-BE49-F238E27FC236}">
                  <a16:creationId xmlns:a16="http://schemas.microsoft.com/office/drawing/2014/main" id="{00000000-0008-0000-0400-00003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77</xdr:row>
          <xdr:rowOff>0</xdr:rowOff>
        </xdr:from>
        <xdr:to>
          <xdr:col>2</xdr:col>
          <xdr:colOff>0</xdr:colOff>
          <xdr:row>77</xdr:row>
          <xdr:rowOff>1952625</xdr:rowOff>
        </xdr:to>
        <xdr:sp macro="" textlink="">
          <xdr:nvSpPr>
            <xdr:cNvPr id="5181" name="EP3B1D" hidden="1">
              <a:extLst>
                <a:ext uri="{63B3BB69-23CF-44E3-9099-C40C66FF867C}">
                  <a14:compatExt spid="_x0000_s5181"/>
                </a:ext>
                <a:ext uri="{FF2B5EF4-FFF2-40B4-BE49-F238E27FC236}">
                  <a16:creationId xmlns:a16="http://schemas.microsoft.com/office/drawing/2014/main" id="{00000000-0008-0000-0400-00003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78</xdr:row>
          <xdr:rowOff>0</xdr:rowOff>
        </xdr:from>
        <xdr:to>
          <xdr:col>2</xdr:col>
          <xdr:colOff>0</xdr:colOff>
          <xdr:row>79</xdr:row>
          <xdr:rowOff>0</xdr:rowOff>
        </xdr:to>
        <xdr:sp macro="" textlink="">
          <xdr:nvSpPr>
            <xdr:cNvPr id="5182" name="EP2B1D" hidden="1">
              <a:extLst>
                <a:ext uri="{63B3BB69-23CF-44E3-9099-C40C66FF867C}">
                  <a14:compatExt spid="_x0000_s5182"/>
                </a:ext>
                <a:ext uri="{FF2B5EF4-FFF2-40B4-BE49-F238E27FC236}">
                  <a16:creationId xmlns:a16="http://schemas.microsoft.com/office/drawing/2014/main" id="{00000000-0008-0000-0400-00003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79</xdr:row>
          <xdr:rowOff>0</xdr:rowOff>
        </xdr:from>
        <xdr:to>
          <xdr:col>2</xdr:col>
          <xdr:colOff>0</xdr:colOff>
          <xdr:row>80</xdr:row>
          <xdr:rowOff>0</xdr:rowOff>
        </xdr:to>
        <xdr:sp macro="" textlink="">
          <xdr:nvSpPr>
            <xdr:cNvPr id="5183" name="EPT2D_455" hidden="1">
              <a:extLst>
                <a:ext uri="{63B3BB69-23CF-44E3-9099-C40C66FF867C}">
                  <a14:compatExt spid="_x0000_s5183"/>
                </a:ext>
                <a:ext uri="{FF2B5EF4-FFF2-40B4-BE49-F238E27FC236}">
                  <a16:creationId xmlns:a16="http://schemas.microsoft.com/office/drawing/2014/main" id="{00000000-0008-0000-0400-00003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81</xdr:row>
          <xdr:rowOff>0</xdr:rowOff>
        </xdr:from>
        <xdr:to>
          <xdr:col>2</xdr:col>
          <xdr:colOff>0</xdr:colOff>
          <xdr:row>82</xdr:row>
          <xdr:rowOff>0</xdr:rowOff>
        </xdr:to>
        <xdr:sp macro="" textlink="">
          <xdr:nvSpPr>
            <xdr:cNvPr id="5184" name="EPTG2D_455" hidden="1">
              <a:extLst>
                <a:ext uri="{63B3BB69-23CF-44E3-9099-C40C66FF867C}">
                  <a14:compatExt spid="_x0000_s5184"/>
                </a:ext>
                <a:ext uri="{FF2B5EF4-FFF2-40B4-BE49-F238E27FC236}">
                  <a16:creationId xmlns:a16="http://schemas.microsoft.com/office/drawing/2014/main" id="{00000000-0008-0000-0400-00004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83</xdr:row>
          <xdr:rowOff>0</xdr:rowOff>
        </xdr:from>
        <xdr:to>
          <xdr:col>2</xdr:col>
          <xdr:colOff>0</xdr:colOff>
          <xdr:row>83</xdr:row>
          <xdr:rowOff>2133600</xdr:rowOff>
        </xdr:to>
        <xdr:sp macro="" textlink="">
          <xdr:nvSpPr>
            <xdr:cNvPr id="5185" name="EPT2B1D_382" hidden="1">
              <a:extLst>
                <a:ext uri="{63B3BB69-23CF-44E3-9099-C40C66FF867C}">
                  <a14:compatExt spid="_x0000_s5185"/>
                </a:ext>
                <a:ext uri="{FF2B5EF4-FFF2-40B4-BE49-F238E27FC236}">
                  <a16:creationId xmlns:a16="http://schemas.microsoft.com/office/drawing/2014/main" id="{00000000-0008-0000-0400-00004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86</xdr:row>
          <xdr:rowOff>0</xdr:rowOff>
        </xdr:from>
        <xdr:to>
          <xdr:col>2</xdr:col>
          <xdr:colOff>0</xdr:colOff>
          <xdr:row>86</xdr:row>
          <xdr:rowOff>2151529</xdr:rowOff>
        </xdr:to>
        <xdr:sp macro="" textlink="">
          <xdr:nvSpPr>
            <xdr:cNvPr id="5186" name="EPTP1D" hidden="1">
              <a:extLst>
                <a:ext uri="{63B3BB69-23CF-44E3-9099-C40C66FF867C}">
                  <a14:compatExt spid="_x0000_s5186"/>
                </a:ext>
                <a:ext uri="{FF2B5EF4-FFF2-40B4-BE49-F238E27FC236}">
                  <a16:creationId xmlns:a16="http://schemas.microsoft.com/office/drawing/2014/main" id="{00000000-0008-0000-0400-00004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87</xdr:row>
          <xdr:rowOff>0</xdr:rowOff>
        </xdr:from>
        <xdr:to>
          <xdr:col>2</xdr:col>
          <xdr:colOff>0</xdr:colOff>
          <xdr:row>88</xdr:row>
          <xdr:rowOff>0</xdr:rowOff>
        </xdr:to>
        <xdr:sp macro="" textlink="">
          <xdr:nvSpPr>
            <xdr:cNvPr id="5187" name="EPT1B1D" hidden="1">
              <a:extLst>
                <a:ext uri="{63B3BB69-23CF-44E3-9099-C40C66FF867C}">
                  <a14:compatExt spid="_x0000_s5187"/>
                </a:ext>
                <a:ext uri="{FF2B5EF4-FFF2-40B4-BE49-F238E27FC236}">
                  <a16:creationId xmlns:a16="http://schemas.microsoft.com/office/drawing/2014/main" id="{00000000-0008-0000-0400-00004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88</xdr:row>
          <xdr:rowOff>0</xdr:rowOff>
        </xdr:from>
        <xdr:to>
          <xdr:col>2</xdr:col>
          <xdr:colOff>0</xdr:colOff>
          <xdr:row>89</xdr:row>
          <xdr:rowOff>0</xdr:rowOff>
        </xdr:to>
        <xdr:sp macro="" textlink="">
          <xdr:nvSpPr>
            <xdr:cNvPr id="5188" name="EPTG1B1D" hidden="1">
              <a:extLst>
                <a:ext uri="{63B3BB69-23CF-44E3-9099-C40C66FF867C}">
                  <a14:compatExt spid="_x0000_s5188"/>
                </a:ext>
                <a:ext uri="{FF2B5EF4-FFF2-40B4-BE49-F238E27FC236}">
                  <a16:creationId xmlns:a16="http://schemas.microsoft.com/office/drawing/2014/main" id="{00000000-0008-0000-0400-00004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89</xdr:row>
          <xdr:rowOff>0</xdr:rowOff>
        </xdr:from>
        <xdr:to>
          <xdr:col>2</xdr:col>
          <xdr:colOff>0</xdr:colOff>
          <xdr:row>90</xdr:row>
          <xdr:rowOff>0</xdr:rowOff>
        </xdr:to>
        <xdr:sp macro="" textlink="">
          <xdr:nvSpPr>
            <xdr:cNvPr id="5189" name="EPSP2D" hidden="1">
              <a:extLst>
                <a:ext uri="{63B3BB69-23CF-44E3-9099-C40C66FF867C}">
                  <a14:compatExt spid="_x0000_s5189"/>
                </a:ext>
                <a:ext uri="{FF2B5EF4-FFF2-40B4-BE49-F238E27FC236}">
                  <a16:creationId xmlns:a16="http://schemas.microsoft.com/office/drawing/2014/main" id="{00000000-0008-0000-0400-00004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</xdr:row>
          <xdr:rowOff>0</xdr:rowOff>
        </xdr:from>
        <xdr:to>
          <xdr:col>2</xdr:col>
          <xdr:colOff>0</xdr:colOff>
          <xdr:row>9</xdr:row>
          <xdr:rowOff>0</xdr:rowOff>
        </xdr:to>
        <xdr:sp macro="" textlink="">
          <xdr:nvSpPr>
            <xdr:cNvPr id="5190" name="EUN1D_150" hidden="1">
              <a:extLst>
                <a:ext uri="{63B3BB69-23CF-44E3-9099-C40C66FF867C}">
                  <a14:compatExt spid="_x0000_s5190"/>
                </a:ext>
                <a:ext uri="{FF2B5EF4-FFF2-40B4-BE49-F238E27FC236}">
                  <a16:creationId xmlns:a16="http://schemas.microsoft.com/office/drawing/2014/main" id="{00000000-0008-0000-0400-00004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10</xdr:row>
          <xdr:rowOff>0</xdr:rowOff>
        </xdr:from>
        <xdr:to>
          <xdr:col>2</xdr:col>
          <xdr:colOff>0</xdr:colOff>
          <xdr:row>11</xdr:row>
          <xdr:rowOff>0</xdr:rowOff>
        </xdr:to>
        <xdr:sp macro="" textlink="">
          <xdr:nvSpPr>
            <xdr:cNvPr id="5191" name="EWU1D_150" hidden="1">
              <a:extLst>
                <a:ext uri="{63B3BB69-23CF-44E3-9099-C40C66FF867C}">
                  <a14:compatExt spid="_x0000_s5191"/>
                </a:ext>
                <a:ext uri="{FF2B5EF4-FFF2-40B4-BE49-F238E27FC236}">
                  <a16:creationId xmlns:a16="http://schemas.microsoft.com/office/drawing/2014/main" id="{00000000-0008-0000-0400-00004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31</xdr:row>
          <xdr:rowOff>0</xdr:rowOff>
        </xdr:from>
        <xdr:to>
          <xdr:col>2</xdr:col>
          <xdr:colOff>0</xdr:colOff>
          <xdr:row>32</xdr:row>
          <xdr:rowOff>0</xdr:rowOff>
        </xdr:to>
        <xdr:sp macro="" textlink="">
          <xdr:nvSpPr>
            <xdr:cNvPr id="5192" name="EUG1D_150" hidden="1">
              <a:extLst>
                <a:ext uri="{63B3BB69-23CF-44E3-9099-C40C66FF867C}">
                  <a14:compatExt spid="_x0000_s5192"/>
                </a:ext>
                <a:ext uri="{FF2B5EF4-FFF2-40B4-BE49-F238E27FC236}">
                  <a16:creationId xmlns:a16="http://schemas.microsoft.com/office/drawing/2014/main" id="{00000000-0008-0000-0400-00004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</xdr:row>
          <xdr:rowOff>0</xdr:rowOff>
        </xdr:from>
        <xdr:to>
          <xdr:col>2</xdr:col>
          <xdr:colOff>0</xdr:colOff>
          <xdr:row>5</xdr:row>
          <xdr:rowOff>0</xdr:rowOff>
        </xdr:to>
        <xdr:sp macro="" textlink="">
          <xdr:nvSpPr>
            <xdr:cNvPr id="5193" name="EMN1K_450" hidden="1">
              <a:extLst>
                <a:ext uri="{63B3BB69-23CF-44E3-9099-C40C66FF867C}">
                  <a14:compatExt spid="_x0000_s5193"/>
                </a:ext>
                <a:ext uri="{FF2B5EF4-FFF2-40B4-BE49-F238E27FC236}">
                  <a16:creationId xmlns:a16="http://schemas.microsoft.com/office/drawing/2014/main" id="{00000000-0008-0000-0400-00004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27</xdr:row>
          <xdr:rowOff>0</xdr:rowOff>
        </xdr:from>
        <xdr:to>
          <xdr:col>2</xdr:col>
          <xdr:colOff>0</xdr:colOff>
          <xdr:row>28</xdr:row>
          <xdr:rowOff>0</xdr:rowOff>
        </xdr:to>
        <xdr:sp macro="" textlink="">
          <xdr:nvSpPr>
            <xdr:cNvPr id="5194" name="ENG1K_450" hidden="1">
              <a:extLst>
                <a:ext uri="{63B3BB69-23CF-44E3-9099-C40C66FF867C}">
                  <a14:compatExt spid="_x0000_s5194"/>
                </a:ext>
                <a:ext uri="{FF2B5EF4-FFF2-40B4-BE49-F238E27FC236}">
                  <a16:creationId xmlns:a16="http://schemas.microsoft.com/office/drawing/2014/main" id="{00000000-0008-0000-0400-00004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37</xdr:row>
          <xdr:rowOff>0</xdr:rowOff>
        </xdr:from>
        <xdr:to>
          <xdr:col>2</xdr:col>
          <xdr:colOff>0</xdr:colOff>
          <xdr:row>38</xdr:row>
          <xdr:rowOff>0</xdr:rowOff>
        </xdr:to>
        <xdr:sp macro="" textlink="">
          <xdr:nvSpPr>
            <xdr:cNvPr id="5195" name="EMV1V_600" hidden="1">
              <a:extLst>
                <a:ext uri="{63B3BB69-23CF-44E3-9099-C40C66FF867C}">
                  <a14:compatExt spid="_x0000_s5195"/>
                </a:ext>
                <a:ext uri="{FF2B5EF4-FFF2-40B4-BE49-F238E27FC236}">
                  <a16:creationId xmlns:a16="http://schemas.microsoft.com/office/drawing/2014/main" id="{00000000-0008-0000-0400-00004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48</xdr:row>
          <xdr:rowOff>0</xdr:rowOff>
        </xdr:from>
        <xdr:to>
          <xdr:col>2</xdr:col>
          <xdr:colOff>0</xdr:colOff>
          <xdr:row>49</xdr:row>
          <xdr:rowOff>0</xdr:rowOff>
        </xdr:to>
        <xdr:sp macro="" textlink="">
          <xdr:nvSpPr>
            <xdr:cNvPr id="5196" name="EWV1D_600" hidden="1">
              <a:extLst>
                <a:ext uri="{63B3BB69-23CF-44E3-9099-C40C66FF867C}">
                  <a14:compatExt spid="_x0000_s5196"/>
                </a:ext>
                <a:ext uri="{FF2B5EF4-FFF2-40B4-BE49-F238E27FC236}">
                  <a16:creationId xmlns:a16="http://schemas.microsoft.com/office/drawing/2014/main" id="{00000000-0008-0000-0400-00004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50</xdr:row>
          <xdr:rowOff>0</xdr:rowOff>
        </xdr:from>
        <xdr:to>
          <xdr:col>2</xdr:col>
          <xdr:colOff>0</xdr:colOff>
          <xdr:row>51</xdr:row>
          <xdr:rowOff>0</xdr:rowOff>
        </xdr:to>
        <xdr:sp macro="" textlink="">
          <xdr:nvSpPr>
            <xdr:cNvPr id="5197" name="EWV2D_800" hidden="1">
              <a:extLst>
                <a:ext uri="{63B3BB69-23CF-44E3-9099-C40C66FF867C}">
                  <a14:compatExt spid="_x0000_s5197"/>
                </a:ext>
                <a:ext uri="{FF2B5EF4-FFF2-40B4-BE49-F238E27FC236}">
                  <a16:creationId xmlns:a16="http://schemas.microsoft.com/office/drawing/2014/main" id="{00000000-0008-0000-0400-00004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51</xdr:row>
          <xdr:rowOff>0</xdr:rowOff>
        </xdr:from>
        <xdr:to>
          <xdr:col>2</xdr:col>
          <xdr:colOff>0</xdr:colOff>
          <xdr:row>52</xdr:row>
          <xdr:rowOff>1</xdr:rowOff>
        </xdr:to>
        <xdr:sp macro="" textlink="">
          <xdr:nvSpPr>
            <xdr:cNvPr id="5198" name="EWV2D_900" hidden="1">
              <a:extLst>
                <a:ext uri="{63B3BB69-23CF-44E3-9099-C40C66FF867C}">
                  <a14:compatExt spid="_x0000_s5198"/>
                </a:ext>
                <a:ext uri="{FF2B5EF4-FFF2-40B4-BE49-F238E27FC236}">
                  <a16:creationId xmlns:a16="http://schemas.microsoft.com/office/drawing/2014/main" id="{00000000-0008-0000-0400-00004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55</xdr:row>
          <xdr:rowOff>0</xdr:rowOff>
        </xdr:from>
        <xdr:to>
          <xdr:col>2</xdr:col>
          <xdr:colOff>0</xdr:colOff>
          <xdr:row>56</xdr:row>
          <xdr:rowOff>0</xdr:rowOff>
        </xdr:to>
        <xdr:sp macro="" textlink="">
          <xdr:nvSpPr>
            <xdr:cNvPr id="5200" name="EWV1V_600" hidden="1">
              <a:extLst>
                <a:ext uri="{63B3BB69-23CF-44E3-9099-C40C66FF867C}">
                  <a14:compatExt spid="_x0000_s5200"/>
                </a:ext>
                <a:ext uri="{FF2B5EF4-FFF2-40B4-BE49-F238E27FC236}">
                  <a16:creationId xmlns:a16="http://schemas.microsoft.com/office/drawing/2014/main" id="{00000000-0008-0000-0400-00005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80</xdr:row>
          <xdr:rowOff>0</xdr:rowOff>
        </xdr:from>
        <xdr:to>
          <xdr:col>2</xdr:col>
          <xdr:colOff>0</xdr:colOff>
          <xdr:row>81</xdr:row>
          <xdr:rowOff>0</xdr:rowOff>
        </xdr:to>
        <xdr:sp macro="" textlink="">
          <xdr:nvSpPr>
            <xdr:cNvPr id="5201" name="EPT2D_595" hidden="1">
              <a:extLst>
                <a:ext uri="{63B3BB69-23CF-44E3-9099-C40C66FF867C}">
                  <a14:compatExt spid="_x0000_s5201"/>
                </a:ext>
                <a:ext uri="{FF2B5EF4-FFF2-40B4-BE49-F238E27FC236}">
                  <a16:creationId xmlns:a16="http://schemas.microsoft.com/office/drawing/2014/main" id="{00000000-0008-0000-0400-00005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82</xdr:row>
          <xdr:rowOff>0</xdr:rowOff>
        </xdr:from>
        <xdr:to>
          <xdr:col>2</xdr:col>
          <xdr:colOff>0</xdr:colOff>
          <xdr:row>83</xdr:row>
          <xdr:rowOff>0</xdr:rowOff>
        </xdr:to>
        <xdr:sp macro="" textlink="">
          <xdr:nvSpPr>
            <xdr:cNvPr id="5202" name="EPTG2D_595" hidden="1">
              <a:extLst>
                <a:ext uri="{63B3BB69-23CF-44E3-9099-C40C66FF867C}">
                  <a14:compatExt spid="_x0000_s5202"/>
                </a:ext>
                <a:ext uri="{FF2B5EF4-FFF2-40B4-BE49-F238E27FC236}">
                  <a16:creationId xmlns:a16="http://schemas.microsoft.com/office/drawing/2014/main" id="{00000000-0008-0000-0400-00005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84</xdr:row>
          <xdr:rowOff>0</xdr:rowOff>
        </xdr:from>
        <xdr:to>
          <xdr:col>2</xdr:col>
          <xdr:colOff>0</xdr:colOff>
          <xdr:row>84</xdr:row>
          <xdr:rowOff>2133600</xdr:rowOff>
        </xdr:to>
        <xdr:sp macro="" textlink="">
          <xdr:nvSpPr>
            <xdr:cNvPr id="5203" name="EPT2B1D_455" hidden="1">
              <a:extLst>
                <a:ext uri="{63B3BB69-23CF-44E3-9099-C40C66FF867C}">
                  <a14:compatExt spid="_x0000_s5203"/>
                </a:ext>
                <a:ext uri="{FF2B5EF4-FFF2-40B4-BE49-F238E27FC236}">
                  <a16:creationId xmlns:a16="http://schemas.microsoft.com/office/drawing/2014/main" id="{00000000-0008-0000-0400-00005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85</xdr:row>
          <xdr:rowOff>0</xdr:rowOff>
        </xdr:from>
        <xdr:to>
          <xdr:col>2</xdr:col>
          <xdr:colOff>0</xdr:colOff>
          <xdr:row>85</xdr:row>
          <xdr:rowOff>2133600</xdr:rowOff>
        </xdr:to>
        <xdr:sp macro="" textlink="">
          <xdr:nvSpPr>
            <xdr:cNvPr id="5204" name="EPT2B1D_595" hidden="1">
              <a:extLst>
                <a:ext uri="{63B3BB69-23CF-44E3-9099-C40C66FF867C}">
                  <a14:compatExt spid="_x0000_s5204"/>
                </a:ext>
                <a:ext uri="{FF2B5EF4-FFF2-40B4-BE49-F238E27FC236}">
                  <a16:creationId xmlns:a16="http://schemas.microsoft.com/office/drawing/2014/main" id="{00000000-0008-0000-0400-00005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69</xdr:row>
          <xdr:rowOff>0</xdr:rowOff>
        </xdr:from>
        <xdr:to>
          <xdr:col>2</xdr:col>
          <xdr:colOff>0</xdr:colOff>
          <xdr:row>69</xdr:row>
          <xdr:rowOff>2151529</xdr:rowOff>
        </xdr:to>
        <xdr:sp macro="" textlink="">
          <xdr:nvSpPr>
            <xdr:cNvPr id="5205" name="EPT1D_595" hidden="1">
              <a:extLst>
                <a:ext uri="{63B3BB69-23CF-44E3-9099-C40C66FF867C}">
                  <a14:compatExt spid="_x0000_s5205"/>
                </a:ext>
                <a:ext uri="{FF2B5EF4-FFF2-40B4-BE49-F238E27FC236}">
                  <a16:creationId xmlns:a16="http://schemas.microsoft.com/office/drawing/2014/main" id="{93023DF9-E358-418B-A249-4242BF3B2DB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71</xdr:row>
          <xdr:rowOff>0</xdr:rowOff>
        </xdr:from>
        <xdr:to>
          <xdr:col>2</xdr:col>
          <xdr:colOff>0</xdr:colOff>
          <xdr:row>71</xdr:row>
          <xdr:rowOff>2151529</xdr:rowOff>
        </xdr:to>
        <xdr:sp macro="" textlink="">
          <xdr:nvSpPr>
            <xdr:cNvPr id="5206" name="EPT1B_455" hidden="1">
              <a:extLst>
                <a:ext uri="{63B3BB69-23CF-44E3-9099-C40C66FF867C}">
                  <a14:compatExt spid="_x0000_s5206"/>
                </a:ext>
                <a:ext uri="{FF2B5EF4-FFF2-40B4-BE49-F238E27FC236}">
                  <a16:creationId xmlns:a16="http://schemas.microsoft.com/office/drawing/2014/main" id="{2F132A82-4D48-4481-BDF7-17D7983FB52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72</xdr:row>
          <xdr:rowOff>0</xdr:rowOff>
        </xdr:from>
        <xdr:to>
          <xdr:col>2</xdr:col>
          <xdr:colOff>0</xdr:colOff>
          <xdr:row>73</xdr:row>
          <xdr:rowOff>0</xdr:rowOff>
        </xdr:to>
        <xdr:sp macro="" textlink="">
          <xdr:nvSpPr>
            <xdr:cNvPr id="5207" name="EPT1B_584" hidden="1">
              <a:extLst>
                <a:ext uri="{63B3BB69-23CF-44E3-9099-C40C66FF867C}">
                  <a14:compatExt spid="_x0000_s5207"/>
                </a:ext>
                <a:ext uri="{FF2B5EF4-FFF2-40B4-BE49-F238E27FC236}">
                  <a16:creationId xmlns:a16="http://schemas.microsoft.com/office/drawing/2014/main" id="{6DFBB0EF-F765-4BE0-A329-2320199C570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53</xdr:row>
          <xdr:rowOff>0</xdr:rowOff>
        </xdr:from>
        <xdr:to>
          <xdr:col>2</xdr:col>
          <xdr:colOff>0</xdr:colOff>
          <xdr:row>54</xdr:row>
          <xdr:rowOff>0</xdr:rowOff>
        </xdr:to>
        <xdr:sp macro="" textlink="">
          <xdr:nvSpPr>
            <xdr:cNvPr id="5208" name="EWV1V_900" hidden="1">
              <a:extLst>
                <a:ext uri="{63B3BB69-23CF-44E3-9099-C40C66FF867C}">
                  <a14:compatExt spid="_x0000_s5208"/>
                </a:ext>
                <a:ext uri="{FF2B5EF4-FFF2-40B4-BE49-F238E27FC236}">
                  <a16:creationId xmlns:a16="http://schemas.microsoft.com/office/drawing/2014/main" id="{60781483-4D8A-4ADE-B367-F9CFCC049B6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56</xdr:row>
          <xdr:rowOff>0</xdr:rowOff>
        </xdr:from>
        <xdr:to>
          <xdr:col>2</xdr:col>
          <xdr:colOff>0</xdr:colOff>
          <xdr:row>57</xdr:row>
          <xdr:rowOff>1</xdr:rowOff>
        </xdr:to>
        <xdr:sp macro="" textlink="">
          <xdr:nvSpPr>
            <xdr:cNvPr id="5209" name="ERV1D_480" hidden="1">
              <a:extLst>
                <a:ext uri="{63B3BB69-23CF-44E3-9099-C40C66FF867C}">
                  <a14:compatExt spid="_x0000_s5209"/>
                </a:ext>
                <a:ext uri="{FF2B5EF4-FFF2-40B4-BE49-F238E27FC236}">
                  <a16:creationId xmlns:a16="http://schemas.microsoft.com/office/drawing/2014/main" id="{8C579AFC-9744-4E25-B3F7-E70CDEEDC26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58</xdr:row>
          <xdr:rowOff>0</xdr:rowOff>
        </xdr:from>
        <xdr:to>
          <xdr:col>2</xdr:col>
          <xdr:colOff>0</xdr:colOff>
          <xdr:row>59</xdr:row>
          <xdr:rowOff>0</xdr:rowOff>
        </xdr:to>
        <xdr:sp macro="" textlink="">
          <xdr:nvSpPr>
            <xdr:cNvPr id="5210" name="ERV1D_720" hidden="1">
              <a:extLst>
                <a:ext uri="{63B3BB69-23CF-44E3-9099-C40C66FF867C}">
                  <a14:compatExt spid="_x0000_s5210"/>
                </a:ext>
                <a:ext uri="{FF2B5EF4-FFF2-40B4-BE49-F238E27FC236}">
                  <a16:creationId xmlns:a16="http://schemas.microsoft.com/office/drawing/2014/main" id="{144D1DDB-BD98-42A8-928B-9A2C05B69B2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59</xdr:row>
          <xdr:rowOff>0</xdr:rowOff>
        </xdr:from>
        <xdr:to>
          <xdr:col>2</xdr:col>
          <xdr:colOff>0</xdr:colOff>
          <xdr:row>60</xdr:row>
          <xdr:rowOff>0</xdr:rowOff>
        </xdr:to>
        <xdr:sp macro="" textlink="">
          <xdr:nvSpPr>
            <xdr:cNvPr id="5211" name="ERV1D_960" hidden="1">
              <a:extLst>
                <a:ext uri="{63B3BB69-23CF-44E3-9099-C40C66FF867C}">
                  <a14:compatExt spid="_x0000_s5211"/>
                </a:ext>
                <a:ext uri="{FF2B5EF4-FFF2-40B4-BE49-F238E27FC236}">
                  <a16:creationId xmlns:a16="http://schemas.microsoft.com/office/drawing/2014/main" id="{9E74CE61-66F1-4B07-A853-99089BDC21C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64</xdr:row>
          <xdr:rowOff>0</xdr:rowOff>
        </xdr:from>
        <xdr:to>
          <xdr:col>2</xdr:col>
          <xdr:colOff>0</xdr:colOff>
          <xdr:row>64</xdr:row>
          <xdr:rowOff>2151529</xdr:rowOff>
        </xdr:to>
        <xdr:sp macro="" textlink="">
          <xdr:nvSpPr>
            <xdr:cNvPr id="5212" name="ESVX1D_720" hidden="1">
              <a:extLst>
                <a:ext uri="{63B3BB69-23CF-44E3-9099-C40C66FF867C}">
                  <a14:compatExt spid="_x0000_s5212"/>
                </a:ext>
                <a:ext uri="{FF2B5EF4-FFF2-40B4-BE49-F238E27FC236}">
                  <a16:creationId xmlns:a16="http://schemas.microsoft.com/office/drawing/2014/main" id="{40B9B55E-B14F-44A7-9A94-44F8BC9BEBE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45</xdr:row>
          <xdr:rowOff>0</xdr:rowOff>
        </xdr:from>
        <xdr:to>
          <xdr:col>2</xdr:col>
          <xdr:colOff>0</xdr:colOff>
          <xdr:row>46</xdr:row>
          <xdr:rowOff>1</xdr:rowOff>
        </xdr:to>
        <xdr:sp macro="" textlink="">
          <xdr:nvSpPr>
            <xdr:cNvPr id="5213" name="EHV2D_960" hidden="1">
              <a:extLst>
                <a:ext uri="{63B3BB69-23CF-44E3-9099-C40C66FF867C}">
                  <a14:compatExt spid="_x0000_s5213"/>
                </a:ext>
                <a:ext uri="{FF2B5EF4-FFF2-40B4-BE49-F238E27FC236}">
                  <a16:creationId xmlns:a16="http://schemas.microsoft.com/office/drawing/2014/main" id="{8BE98E44-6F60-41D6-B763-C8594A35390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43</xdr:row>
          <xdr:rowOff>0</xdr:rowOff>
        </xdr:from>
        <xdr:to>
          <xdr:col>2</xdr:col>
          <xdr:colOff>0</xdr:colOff>
          <xdr:row>44</xdr:row>
          <xdr:rowOff>0</xdr:rowOff>
        </xdr:to>
        <xdr:sp macro="" textlink="">
          <xdr:nvSpPr>
            <xdr:cNvPr id="5214" name="EHV1D_960" hidden="1">
              <a:extLst>
                <a:ext uri="{63B3BB69-23CF-44E3-9099-C40C66FF867C}">
                  <a14:compatExt spid="_x0000_s5214"/>
                </a:ext>
                <a:ext uri="{FF2B5EF4-FFF2-40B4-BE49-F238E27FC236}">
                  <a16:creationId xmlns:a16="http://schemas.microsoft.com/office/drawing/2014/main" id="{2AE1A0B3-D9EC-47E1-B5CE-04471056D49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Users\egorova\AppData\Local\Microsoft\Windows\Temporary%20Internet%20Files\Content.Outlook\UYAE0B7Y\&#1041;&#1102;&#1076;&#1078;&#1077;&#1090;&#1099;%20&#1062;&#1060;&#1054;%203&#1082;&#1074;%202013&#1075;_&#1087;&#1083;&#1072;&#1085;_&#1092;&#1072;&#1082;&#1090;%20&#1086;&#1088;&#1080;&#1075;&#1080;&#1085;&#1072;&#1083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&#1088;&#1072;&#1089;&#1095;&#1105;&#1090;%20&#1050;&#1052;%20&#1073;&#1072;&#1079;&#1086;&#1074;&#1099;&#1081;%20final%20(1)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&#1088;&#1072;&#1089;&#1095;&#1105;&#1090;%20&#1050;&#1052;%20&#1073;&#1072;&#1079;&#1086;&#1074;&#1099;&#1081;%20final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ТО"/>
      <sheetName val="Энергетики"/>
      <sheetName val="фэо"/>
      <sheetName val="админ."/>
      <sheetName val="АХЧ"/>
      <sheetName val="ОИТ"/>
      <sheetName val="ИАО"/>
      <sheetName val="ОПоставок"/>
      <sheetName val="трансп."/>
      <sheetName val="ГД"/>
      <sheetName val="Юрид.отдел"/>
      <sheetName val="ОР"/>
      <sheetName val="СП и С"/>
      <sheetName val="СРП"/>
      <sheetName val="Нсб"/>
      <sheetName val="М"/>
      <sheetName val="Спб"/>
      <sheetName val="Екб"/>
      <sheetName val="Крас-р"/>
      <sheetName val="производство"/>
    </sheetNames>
    <sheetDataSet>
      <sheetData sheetId="0" refreshError="1"/>
      <sheetData sheetId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трудозатраты на фасад DMI"/>
      <sheetName val="трудозатраты на фасад МОДЕРН"/>
      <sheetName val="трудозатраты на фасад П90"/>
      <sheetName val="расчет с разн.рент с наклад (2"/>
      <sheetName val="общий расчёт из БЗ для СКП"/>
      <sheetName val="тарифные ставки"/>
      <sheetName val="Базовые цены"/>
      <sheetName val="Таблица с признаками"/>
      <sheetName val="исх"/>
      <sheetName val="сравнение цен ЛДСП"/>
      <sheetName val="4 нижние в прайс"/>
      <sheetName val="4 верхние в прайс"/>
      <sheetName val="4 пеналы в прайс"/>
      <sheetName val="3 расчёт нижних"/>
      <sheetName val="3 расчёт верхних"/>
      <sheetName val="3 расчёт пеналов"/>
      <sheetName val="2 все модули и цены"/>
      <sheetName val="полки"/>
      <sheetName val="комплекты фурнитуры"/>
      <sheetName val="КФ наполнение"/>
      <sheetName val="КФ НСТ"/>
      <sheetName val="КФ прочее"/>
      <sheetName val="КФ петель и подъемников"/>
      <sheetName val="КФ корпуса"/>
      <sheetName val="КФ ящиков"/>
      <sheetName val="1 верхние"/>
      <sheetName val="EVO"/>
      <sheetName val="EMV1D"/>
      <sheetName val="EWV1D"/>
      <sheetName val="ERV"/>
      <sheetName val="EUV1D"/>
      <sheetName val="EHV1D"/>
      <sheetName val="EHV2D"/>
      <sheetName val="EDV1D"/>
      <sheetName val="EMV1K"/>
      <sheetName val="Лист6"/>
      <sheetName val="ESVX1D"/>
      <sheetName val="1 нижние"/>
      <sheetName val="ENO"/>
      <sheetName val="EWN1D"/>
      <sheetName val="EUN1D"/>
      <sheetName val="EDN1D"/>
      <sheetName val="EWD1D"/>
      <sheetName val="EMN1B1D"/>
      <sheetName val="EMN4B"/>
      <sheetName val="EMN3B"/>
      <sheetName val="EMN2B"/>
      <sheetName val="ETN1B"/>
      <sheetName val="ESNX1D"/>
      <sheetName val="ERN1D"/>
      <sheetName val="EZ1F"/>
      <sheetName val="EWU1F1D"/>
      <sheetName val="EMN2B1I"/>
      <sheetName val="1 пеналы"/>
      <sheetName val="ESV1D"/>
      <sheetName val="EP1D"/>
      <sheetName val="EPT2B"/>
      <sheetName val="EP2D"/>
      <sheetName val="EPS2D "/>
      <sheetName val="EP3B1D"/>
      <sheetName val="EP2B1D"/>
      <sheetName val="EPT2D"/>
      <sheetName val="EPT2B1D"/>
      <sheetName val="EPTP1D"/>
      <sheetName val="EPT1B1D"/>
      <sheetName val="EPP2D"/>
      <sheetName val="EPSP2D"/>
      <sheetName val="EDRN1D "/>
      <sheetName val="ESN1D"/>
      <sheetName val="ETN2B"/>
      <sheetName val="ETN1F1B"/>
      <sheetName val="EWN1F1D_2D"/>
      <sheetName val="EUN1K"/>
      <sheetName val="расчёт коэфф изменеия цены"/>
      <sheetName val="Лист1"/>
      <sheetName val="Лист3"/>
      <sheetName val="Лист4"/>
      <sheetName val="Лист2"/>
      <sheetName val="Лист5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75">
          <cell r="G75">
            <v>267.34583333333342</v>
          </cell>
        </row>
        <row r="76">
          <cell r="G76">
            <v>373.12000000000006</v>
          </cell>
        </row>
        <row r="148">
          <cell r="G148">
            <v>4179.0833333333339</v>
          </cell>
        </row>
        <row r="149">
          <cell r="G149">
            <v>4009.2514124293798</v>
          </cell>
        </row>
        <row r="150">
          <cell r="H150">
            <v>539.90112994350284</v>
          </cell>
        </row>
        <row r="173">
          <cell r="G173">
            <v>3144.916666666667</v>
          </cell>
        </row>
        <row r="174">
          <cell r="G174">
            <v>3895.6833333333334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>
        <row r="7">
          <cell r="E7">
            <v>2060</v>
          </cell>
        </row>
        <row r="8">
          <cell r="E8">
            <v>2060</v>
          </cell>
        </row>
        <row r="9">
          <cell r="E9">
            <v>2060</v>
          </cell>
        </row>
        <row r="10">
          <cell r="E10">
            <v>2224.8000000000002</v>
          </cell>
        </row>
        <row r="11">
          <cell r="E11">
            <v>2224.8000000000002</v>
          </cell>
        </row>
        <row r="12">
          <cell r="E12">
            <v>2060</v>
          </cell>
        </row>
        <row r="13">
          <cell r="E13">
            <v>2224.8000000000002</v>
          </cell>
        </row>
        <row r="14">
          <cell r="E14">
            <v>2224.8000000000002</v>
          </cell>
        </row>
        <row r="15">
          <cell r="E15">
            <v>2224.8000000000002</v>
          </cell>
        </row>
        <row r="16">
          <cell r="E16">
            <v>2100</v>
          </cell>
        </row>
        <row r="17">
          <cell r="E17">
            <v>2100</v>
          </cell>
        </row>
        <row r="18">
          <cell r="E18">
            <v>3070</v>
          </cell>
        </row>
        <row r="20">
          <cell r="E20">
            <v>3315.6000000000004</v>
          </cell>
        </row>
        <row r="22">
          <cell r="E22">
            <v>2850</v>
          </cell>
        </row>
        <row r="24">
          <cell r="E24">
            <v>2480</v>
          </cell>
        </row>
        <row r="25">
          <cell r="E25">
            <v>2740</v>
          </cell>
        </row>
        <row r="26">
          <cell r="E26">
            <v>2300</v>
          </cell>
        </row>
        <row r="27">
          <cell r="E27">
            <v>2300</v>
          </cell>
        </row>
        <row r="28">
          <cell r="E28">
            <v>3030</v>
          </cell>
        </row>
        <row r="29">
          <cell r="E29">
            <v>2700</v>
          </cell>
        </row>
        <row r="30">
          <cell r="E30">
            <v>2916</v>
          </cell>
        </row>
        <row r="31">
          <cell r="E31">
            <v>2580</v>
          </cell>
        </row>
        <row r="32">
          <cell r="E32">
            <v>2786.4</v>
          </cell>
        </row>
        <row r="33">
          <cell r="E33">
            <v>2510</v>
          </cell>
        </row>
        <row r="34">
          <cell r="E34">
            <v>2450</v>
          </cell>
        </row>
        <row r="35">
          <cell r="E35">
            <v>2000</v>
          </cell>
        </row>
        <row r="36">
          <cell r="E36">
            <v>2000</v>
          </cell>
        </row>
        <row r="37">
          <cell r="E37">
            <v>1640</v>
          </cell>
        </row>
        <row r="47">
          <cell r="E47">
            <v>1510</v>
          </cell>
        </row>
        <row r="48">
          <cell r="E48">
            <v>1510</v>
          </cell>
        </row>
        <row r="49">
          <cell r="E49">
            <v>1510</v>
          </cell>
        </row>
        <row r="50">
          <cell r="E50">
            <v>1510</v>
          </cell>
        </row>
        <row r="51">
          <cell r="E51">
            <v>1510</v>
          </cell>
        </row>
        <row r="52">
          <cell r="E52">
            <v>1510</v>
          </cell>
        </row>
        <row r="53">
          <cell r="E53">
            <v>1510</v>
          </cell>
        </row>
        <row r="54">
          <cell r="E54">
            <v>1510</v>
          </cell>
        </row>
        <row r="56">
          <cell r="E56">
            <v>1460</v>
          </cell>
        </row>
        <row r="57">
          <cell r="E57">
            <v>1460</v>
          </cell>
        </row>
        <row r="58">
          <cell r="E58">
            <v>1460</v>
          </cell>
        </row>
        <row r="59">
          <cell r="E59">
            <v>1770</v>
          </cell>
        </row>
        <row r="60">
          <cell r="E60">
            <v>1770</v>
          </cell>
        </row>
        <row r="61">
          <cell r="E61">
            <v>2580</v>
          </cell>
        </row>
        <row r="62">
          <cell r="E62">
            <v>2580</v>
          </cell>
        </row>
        <row r="63">
          <cell r="E63">
            <v>2540</v>
          </cell>
        </row>
        <row r="64">
          <cell r="E64">
            <v>2540</v>
          </cell>
        </row>
        <row r="65">
          <cell r="E65">
            <v>2530</v>
          </cell>
        </row>
        <row r="66">
          <cell r="E66">
            <v>1840</v>
          </cell>
        </row>
        <row r="69">
          <cell r="E69">
            <v>4820</v>
          </cell>
        </row>
        <row r="70">
          <cell r="E70">
            <v>5205.6000000000004</v>
          </cell>
        </row>
        <row r="72">
          <cell r="E72">
            <v>4820</v>
          </cell>
        </row>
        <row r="73">
          <cell r="E73">
            <v>5170</v>
          </cell>
        </row>
        <row r="74">
          <cell r="E74">
            <v>5170</v>
          </cell>
        </row>
        <row r="75">
          <cell r="E75">
            <v>5170</v>
          </cell>
        </row>
        <row r="76">
          <cell r="E76">
            <v>6460</v>
          </cell>
        </row>
        <row r="77">
          <cell r="E77">
            <v>6976.8</v>
          </cell>
        </row>
        <row r="79">
          <cell r="E79">
            <v>5290</v>
          </cell>
        </row>
        <row r="80">
          <cell r="E80">
            <v>5713.2000000000007</v>
          </cell>
        </row>
        <row r="82">
          <cell r="E82">
            <v>8650</v>
          </cell>
        </row>
        <row r="83">
          <cell r="E83">
            <v>8100</v>
          </cell>
        </row>
        <row r="84">
          <cell r="E84">
            <v>6800</v>
          </cell>
        </row>
        <row r="85">
          <cell r="E85">
            <v>7344.0000000000009</v>
          </cell>
        </row>
        <row r="87">
          <cell r="E87">
            <v>8020</v>
          </cell>
        </row>
        <row r="88">
          <cell r="E88">
            <v>6990</v>
          </cell>
        </row>
        <row r="89">
          <cell r="E89">
            <v>6910</v>
          </cell>
        </row>
        <row r="90">
          <cell r="E90">
            <v>7462.8</v>
          </cell>
        </row>
        <row r="92">
          <cell r="E92">
            <v>6990</v>
          </cell>
        </row>
        <row r="93">
          <cell r="E93">
            <v>6310</v>
          </cell>
        </row>
      </sheetData>
      <sheetData sheetId="17"/>
      <sheetData sheetId="18">
        <row r="10">
          <cell r="B10" t="str">
            <v>КФ крепежа корпуса 1</v>
          </cell>
          <cell r="C10"/>
          <cell r="D10"/>
          <cell r="E10"/>
          <cell r="F10"/>
          <cell r="G10">
            <v>181.07261333333338</v>
          </cell>
          <cell r="H10">
            <v>3.7781149999999997</v>
          </cell>
          <cell r="I10">
            <v>0.98230989999999996</v>
          </cell>
          <cell r="J10">
            <v>185.83303823333338</v>
          </cell>
          <cell r="K10">
            <v>47.078879466666677</v>
          </cell>
          <cell r="L10"/>
          <cell r="M10"/>
          <cell r="N10">
            <v>232.91191770000006</v>
          </cell>
          <cell r="O10">
            <v>0.8</v>
          </cell>
          <cell r="P10">
            <v>544.14186519813131</v>
          </cell>
          <cell r="Q10">
            <v>540</v>
          </cell>
          <cell r="R10">
            <v>500</v>
          </cell>
          <cell r="S10">
            <v>8.0000000000000071E-2</v>
          </cell>
        </row>
        <row r="11">
          <cell r="B11" t="str">
            <v>КФ крепежа корпуса 2</v>
          </cell>
          <cell r="C11"/>
          <cell r="D11"/>
          <cell r="E11"/>
          <cell r="F11"/>
          <cell r="G11">
            <v>151.44594666666671</v>
          </cell>
          <cell r="H11">
            <v>3.7781149999999997</v>
          </cell>
          <cell r="I11">
            <v>0.98230989999999996</v>
          </cell>
          <cell r="J11">
            <v>156.20637156666672</v>
          </cell>
          <cell r="K11">
            <v>39.37594613333335</v>
          </cell>
          <cell r="L11"/>
          <cell r="M11"/>
          <cell r="N11">
            <v>195.58231770000006</v>
          </cell>
          <cell r="O11">
            <v>0.8</v>
          </cell>
          <cell r="P11">
            <v>456.93036322053143</v>
          </cell>
          <cell r="Q11">
            <v>460</v>
          </cell>
          <cell r="R11">
            <v>420</v>
          </cell>
          <cell r="S11">
            <v>9.5238095238095344E-2</v>
          </cell>
        </row>
        <row r="12">
          <cell r="B12" t="str">
            <v>КФ крепежа корпуса 3</v>
          </cell>
          <cell r="C12"/>
          <cell r="D12"/>
          <cell r="E12"/>
          <cell r="F12"/>
          <cell r="G12">
            <v>184.34368333333339</v>
          </cell>
          <cell r="H12">
            <v>3.7781149999999997</v>
          </cell>
          <cell r="I12">
            <v>0.98230989999999996</v>
          </cell>
          <cell r="J12">
            <v>189.10410823333339</v>
          </cell>
          <cell r="K12">
            <v>47.929357666666682</v>
          </cell>
          <cell r="L12"/>
          <cell r="M12"/>
          <cell r="N12">
            <v>237.03346590000007</v>
          </cell>
          <cell r="O12">
            <v>0.8</v>
          </cell>
          <cell r="P12">
            <v>553.77085690967056</v>
          </cell>
          <cell r="Q12">
            <v>550</v>
          </cell>
          <cell r="R12">
            <v>510</v>
          </cell>
          <cell r="S12">
            <v>7.8431372549019551E-2</v>
          </cell>
        </row>
        <row r="13">
          <cell r="B13" t="str">
            <v>КФ крепежа корпуса 4</v>
          </cell>
          <cell r="C13"/>
          <cell r="D13"/>
          <cell r="E13"/>
          <cell r="F13"/>
          <cell r="G13">
            <v>269.82428000000004</v>
          </cell>
          <cell r="H13">
            <v>3.7781149999999997</v>
          </cell>
          <cell r="I13">
            <v>0.98230989999999996</v>
          </cell>
          <cell r="J13">
            <v>274.58470490000008</v>
          </cell>
          <cell r="K13">
            <v>70.154312800000014</v>
          </cell>
          <cell r="L13"/>
          <cell r="M13"/>
          <cell r="N13">
            <v>344.73901770000009</v>
          </cell>
          <cell r="O13">
            <v>0.8</v>
          </cell>
          <cell r="P13">
            <v>805.39859853573159</v>
          </cell>
          <cell r="Q13">
            <v>810</v>
          </cell>
          <cell r="R13">
            <v>740</v>
          </cell>
          <cell r="S13">
            <v>9.4594594594594517E-2</v>
          </cell>
        </row>
        <row r="14">
          <cell r="B14" t="str">
            <v>КФ крепежа корпуса 5</v>
          </cell>
          <cell r="C14"/>
          <cell r="D14"/>
          <cell r="E14"/>
          <cell r="F14"/>
          <cell r="G14">
            <v>233.5151133333334</v>
          </cell>
          <cell r="H14">
            <v>3.7781149999999997</v>
          </cell>
          <cell r="I14">
            <v>0.98230989999999996</v>
          </cell>
          <cell r="J14">
            <v>238.27553823333338</v>
          </cell>
          <cell r="K14">
            <v>60.713929466666684</v>
          </cell>
          <cell r="L14"/>
          <cell r="M14"/>
          <cell r="N14">
            <v>298.98946770000009</v>
          </cell>
          <cell r="O14">
            <v>0.8</v>
          </cell>
          <cell r="P14">
            <v>698.51593785093144</v>
          </cell>
          <cell r="Q14">
            <v>700</v>
          </cell>
          <cell r="R14">
            <v>650</v>
          </cell>
          <cell r="S14">
            <v>7.6923076923076872E-2</v>
          </cell>
        </row>
        <row r="15">
          <cell r="B15" t="str">
            <v>КФ крепежа корпуса 6</v>
          </cell>
          <cell r="C15"/>
          <cell r="D15"/>
          <cell r="E15"/>
          <cell r="F15"/>
          <cell r="G15">
            <v>249.18094666666673</v>
          </cell>
          <cell r="H15">
            <v>3.7781149999999997</v>
          </cell>
          <cell r="I15">
            <v>0.98230989999999996</v>
          </cell>
          <cell r="J15">
            <v>253.94137156666673</v>
          </cell>
          <cell r="K15">
            <v>64.787046133333348</v>
          </cell>
          <cell r="L15"/>
          <cell r="M15"/>
          <cell r="N15">
            <v>318.72841770000008</v>
          </cell>
          <cell r="O15">
            <v>0.8</v>
          </cell>
          <cell r="P15">
            <v>744.63117822213144</v>
          </cell>
          <cell r="Q15">
            <v>740</v>
          </cell>
          <cell r="R15">
            <v>690</v>
          </cell>
          <cell r="S15">
            <v>7.2463768115942129E-2</v>
          </cell>
        </row>
        <row r="16">
          <cell r="B16" t="str">
            <v>КФ крепежа корпуса 7</v>
          </cell>
          <cell r="C16"/>
          <cell r="D16"/>
          <cell r="E16"/>
          <cell r="F16"/>
          <cell r="G16">
            <v>315.93463000000008</v>
          </cell>
          <cell r="H16">
            <v>3.7781149999999997</v>
          </cell>
          <cell r="I16">
            <v>0.98230989999999996</v>
          </cell>
          <cell r="J16">
            <v>320.69505490000012</v>
          </cell>
          <cell r="K16">
            <v>82.143003800000031</v>
          </cell>
          <cell r="L16"/>
          <cell r="M16"/>
          <cell r="N16">
            <v>402.83805870000015</v>
          </cell>
          <cell r="O16">
            <v>0.8</v>
          </cell>
          <cell r="P16">
            <v>941.1328316662275</v>
          </cell>
          <cell r="Q16">
            <v>940</v>
          </cell>
          <cell r="R16">
            <v>870</v>
          </cell>
          <cell r="S16">
            <v>8.0459770114942541E-2</v>
          </cell>
        </row>
        <row r="17">
          <cell r="B17" t="str">
            <v>КФ крепежа корпуса 8</v>
          </cell>
          <cell r="C17"/>
          <cell r="D17"/>
          <cell r="E17"/>
          <cell r="F17"/>
          <cell r="G17">
            <v>250.13915666666671</v>
          </cell>
          <cell r="H17">
            <v>3.7781149999999997</v>
          </cell>
          <cell r="I17">
            <v>0.98230989999999996</v>
          </cell>
          <cell r="J17">
            <v>254.89958156666668</v>
          </cell>
          <cell r="K17">
            <v>65.036180733333353</v>
          </cell>
          <cell r="L17"/>
          <cell r="M17"/>
          <cell r="N17">
            <v>319.93576230000002</v>
          </cell>
          <cell r="O17">
            <v>0.8</v>
          </cell>
          <cell r="P17">
            <v>747.45184428794892</v>
          </cell>
          <cell r="Q17">
            <v>750</v>
          </cell>
          <cell r="R17">
            <v>690</v>
          </cell>
          <cell r="S17">
            <v>8.6956521739130377E-2</v>
          </cell>
        </row>
        <row r="18">
          <cell r="B18" t="str">
            <v>КФ крепежа корпуса 9</v>
          </cell>
          <cell r="C18"/>
          <cell r="D18"/>
          <cell r="E18"/>
          <cell r="F18"/>
          <cell r="G18">
            <v>215.67535000000007</v>
          </cell>
          <cell r="H18">
            <v>3.7781149999999997</v>
          </cell>
          <cell r="I18">
            <v>0.98230989999999996</v>
          </cell>
          <cell r="J18">
            <v>220.43577490000004</v>
          </cell>
          <cell r="K18">
            <v>56.075591000000017</v>
          </cell>
          <cell r="L18"/>
          <cell r="M18"/>
          <cell r="N18">
            <v>276.51136590000004</v>
          </cell>
          <cell r="O18">
            <v>0.8</v>
          </cell>
          <cell r="P18">
            <v>646.00133765207056</v>
          </cell>
          <cell r="Q18">
            <v>650</v>
          </cell>
          <cell r="R18">
            <v>600</v>
          </cell>
          <cell r="S18">
            <v>8.3333333333333259E-2</v>
          </cell>
        </row>
        <row r="19">
          <cell r="B19" t="str">
            <v>КФ крепежа корпуса 10</v>
          </cell>
          <cell r="C19"/>
          <cell r="D19"/>
          <cell r="E19"/>
          <cell r="F19"/>
          <cell r="G19">
            <v>283.03689333333341</v>
          </cell>
          <cell r="H19">
            <v>3.7781149999999997</v>
          </cell>
          <cell r="I19">
            <v>0.98230989999999996</v>
          </cell>
          <cell r="J19">
            <v>287.79731823333344</v>
          </cell>
          <cell r="K19">
            <v>73.589592266666685</v>
          </cell>
          <cell r="L19"/>
          <cell r="M19"/>
          <cell r="N19">
            <v>361.38691050000011</v>
          </cell>
          <cell r="O19">
            <v>0.8</v>
          </cell>
          <cell r="P19">
            <v>844.29233797708832</v>
          </cell>
          <cell r="Q19">
            <v>840</v>
          </cell>
          <cell r="R19">
            <v>780</v>
          </cell>
          <cell r="S19">
            <v>7.6923076923076872E-2</v>
          </cell>
        </row>
        <row r="20">
          <cell r="B20" t="str">
            <v>КФ крепежа корпуса 11</v>
          </cell>
          <cell r="C20"/>
          <cell r="D20"/>
          <cell r="E20"/>
          <cell r="F20"/>
          <cell r="G20">
            <v>246.86808666666673</v>
          </cell>
          <cell r="H20">
            <v>3.7781149999999997</v>
          </cell>
          <cell r="I20">
            <v>0.98230989999999996</v>
          </cell>
          <cell r="J20">
            <v>251.62851156666673</v>
          </cell>
          <cell r="K20">
            <v>64.185702533333355</v>
          </cell>
          <cell r="L20"/>
          <cell r="M20"/>
          <cell r="N20">
            <v>315.81421410000007</v>
          </cell>
          <cell r="O20">
            <v>0.8</v>
          </cell>
          <cell r="P20">
            <v>737.82285257640979</v>
          </cell>
          <cell r="Q20">
            <v>740</v>
          </cell>
          <cell r="R20">
            <v>680</v>
          </cell>
          <cell r="S20">
            <v>8.8235294117646967E-2</v>
          </cell>
        </row>
        <row r="21">
          <cell r="B21" t="str">
            <v>КФ крепежа корпуса 12</v>
          </cell>
          <cell r="C21"/>
          <cell r="D21"/>
          <cell r="E21"/>
          <cell r="F21"/>
          <cell r="G21">
            <v>312.66356000000013</v>
          </cell>
          <cell r="H21">
            <v>3.7781149999999997</v>
          </cell>
          <cell r="I21">
            <v>0.98230989999999996</v>
          </cell>
          <cell r="J21">
            <v>317.42398490000016</v>
          </cell>
          <cell r="K21">
            <v>81.292525600000033</v>
          </cell>
          <cell r="L21"/>
          <cell r="M21"/>
          <cell r="N21">
            <v>398.7165105000002</v>
          </cell>
          <cell r="O21">
            <v>0.8</v>
          </cell>
          <cell r="P21">
            <v>931.5038399546886</v>
          </cell>
          <cell r="Q21">
            <v>930</v>
          </cell>
          <cell r="R21">
            <v>860</v>
          </cell>
          <cell r="S21">
            <v>8.1395348837209225E-2</v>
          </cell>
        </row>
        <row r="22">
          <cell r="B22" t="str">
            <v>КФ крепежа корпуса 13</v>
          </cell>
          <cell r="C22"/>
          <cell r="D22"/>
          <cell r="E22"/>
          <cell r="F22"/>
          <cell r="G22">
            <v>378.45903333333348</v>
          </cell>
          <cell r="H22">
            <v>3.7781149999999997</v>
          </cell>
          <cell r="I22">
            <v>0.98230989999999996</v>
          </cell>
          <cell r="J22">
            <v>383.21945823333351</v>
          </cell>
          <cell r="K22">
            <v>98.399348666666711</v>
          </cell>
          <cell r="L22"/>
          <cell r="M22"/>
          <cell r="N22">
            <v>481.61880690000021</v>
          </cell>
          <cell r="O22">
            <v>0.8</v>
          </cell>
          <cell r="P22">
            <v>1125.1848273329672</v>
          </cell>
          <cell r="Q22">
            <v>1130</v>
          </cell>
          <cell r="R22">
            <v>1040</v>
          </cell>
          <cell r="S22">
            <v>8.6538461538461453E-2</v>
          </cell>
        </row>
        <row r="23">
          <cell r="B23" t="str">
            <v>КФ крепежа корпуса 14</v>
          </cell>
          <cell r="C23"/>
          <cell r="D23"/>
          <cell r="E23"/>
          <cell r="F23"/>
          <cell r="G23">
            <v>110.78547333333337</v>
          </cell>
          <cell r="H23">
            <v>3.7781149999999997</v>
          </cell>
          <cell r="I23">
            <v>0.98230989999999996</v>
          </cell>
          <cell r="J23">
            <v>115.54589823333338</v>
          </cell>
          <cell r="K23">
            <v>28.804223066666676</v>
          </cell>
          <cell r="L23"/>
          <cell r="M23"/>
          <cell r="N23">
            <v>144.35012130000004</v>
          </cell>
          <cell r="O23">
            <v>0.8</v>
          </cell>
          <cell r="P23">
            <v>337.23883698785295</v>
          </cell>
          <cell r="Q23">
            <v>340</v>
          </cell>
          <cell r="R23">
            <v>310</v>
          </cell>
          <cell r="S23">
            <v>9.6774193548387011E-2</v>
          </cell>
        </row>
        <row r="24">
          <cell r="B24" t="str">
            <v>КФ крепежа корпуса 15</v>
          </cell>
          <cell r="C24"/>
          <cell r="D24"/>
          <cell r="E24"/>
          <cell r="F24"/>
          <cell r="G24">
            <v>251.76796333333337</v>
          </cell>
          <cell r="H24">
            <v>3.7781149999999997</v>
          </cell>
          <cell r="I24">
            <v>0.98230989999999996</v>
          </cell>
          <cell r="J24">
            <v>256.52838823333337</v>
          </cell>
          <cell r="K24">
            <v>65.45967046666668</v>
          </cell>
          <cell r="L24"/>
          <cell r="M24"/>
          <cell r="N24">
            <v>321.98805870000007</v>
          </cell>
          <cell r="O24">
            <v>0.8</v>
          </cell>
          <cell r="P24">
            <v>752.24653406622735</v>
          </cell>
          <cell r="Q24">
            <v>750</v>
          </cell>
          <cell r="R24">
            <v>700</v>
          </cell>
          <cell r="S24">
            <v>7.1428571428571397E-2</v>
          </cell>
        </row>
        <row r="25">
          <cell r="B25" t="str">
            <v>КФ крепежа корпуса 16</v>
          </cell>
          <cell r="C25"/>
          <cell r="D25"/>
          <cell r="E25"/>
          <cell r="F25"/>
          <cell r="G25">
            <v>197.66714000000005</v>
          </cell>
          <cell r="H25">
            <v>3.7781149999999997</v>
          </cell>
          <cell r="I25">
            <v>0.98230989999999996</v>
          </cell>
          <cell r="J25">
            <v>202.42756490000002</v>
          </cell>
          <cell r="K25">
            <v>51.393456400000012</v>
          </cell>
          <cell r="L25"/>
          <cell r="M25"/>
          <cell r="N25">
            <v>253.82102130000004</v>
          </cell>
          <cell r="O25">
            <v>0.8</v>
          </cell>
          <cell r="P25">
            <v>592.99088393825298</v>
          </cell>
          <cell r="Q25">
            <v>590</v>
          </cell>
          <cell r="R25">
            <v>550</v>
          </cell>
          <cell r="S25">
            <v>7.2727272727272751E-2</v>
          </cell>
        </row>
        <row r="26">
          <cell r="B26" t="str">
            <v>КФ опора пластиковая 120</v>
          </cell>
          <cell r="C26"/>
          <cell r="D26"/>
          <cell r="E26"/>
          <cell r="F26"/>
          <cell r="G26">
            <v>75.918500000000009</v>
          </cell>
          <cell r="H26">
            <v>3.7781149999999997</v>
          </cell>
          <cell r="I26">
            <v>0.98230989999999996</v>
          </cell>
          <cell r="J26">
            <v>80.678924900000013</v>
          </cell>
          <cell r="K26">
            <v>19.738810000000004</v>
          </cell>
          <cell r="L26"/>
          <cell r="M26"/>
          <cell r="N26">
            <v>100.41773490000001</v>
          </cell>
          <cell r="O26">
            <v>0.8</v>
          </cell>
          <cell r="P26">
            <v>234.60153566653446</v>
          </cell>
          <cell r="Q26">
            <v>270</v>
          </cell>
          <cell r="R26">
            <v>250</v>
          </cell>
          <cell r="S26">
            <v>8.0000000000000071E-2</v>
          </cell>
        </row>
        <row r="27">
          <cell r="B27" t="str">
            <v>КФ опора пластиковая 150</v>
          </cell>
          <cell r="C27"/>
          <cell r="D27"/>
          <cell r="E27"/>
          <cell r="F27"/>
          <cell r="G27">
            <v>89.481000000000009</v>
          </cell>
          <cell r="H27">
            <v>3.7781149999999997</v>
          </cell>
          <cell r="I27">
            <v>0.98230989999999996</v>
          </cell>
          <cell r="J27">
            <v>94.241424900000013</v>
          </cell>
          <cell r="K27">
            <v>23.265060000000002</v>
          </cell>
          <cell r="L27"/>
          <cell r="M27"/>
          <cell r="N27">
            <v>117.50648490000002</v>
          </cell>
          <cell r="O27">
            <v>0.8</v>
          </cell>
          <cell r="P27">
            <v>274.52523038653447</v>
          </cell>
          <cell r="Q27">
            <v>270</v>
          </cell>
          <cell r="R27">
            <v>250</v>
          </cell>
          <cell r="S27">
            <v>8.0000000000000071E-2</v>
          </cell>
        </row>
        <row r="29">
          <cell r="Q29">
            <v>4750</v>
          </cell>
        </row>
        <row r="30">
          <cell r="Q30">
            <v>5810</v>
          </cell>
        </row>
        <row r="32">
          <cell r="Q32">
            <v>480</v>
          </cell>
        </row>
        <row r="33">
          <cell r="Q33">
            <v>940</v>
          </cell>
        </row>
        <row r="34">
          <cell r="Q34">
            <v>370</v>
          </cell>
        </row>
        <row r="35">
          <cell r="Q35">
            <v>170</v>
          </cell>
        </row>
        <row r="36">
          <cell r="Q36">
            <v>5040</v>
          </cell>
        </row>
        <row r="37">
          <cell r="Q37">
            <v>4130</v>
          </cell>
        </row>
        <row r="38">
          <cell r="Q38">
            <v>6440</v>
          </cell>
        </row>
        <row r="39">
          <cell r="Q39">
            <v>7970</v>
          </cell>
        </row>
        <row r="41">
          <cell r="Q41">
            <v>4920</v>
          </cell>
        </row>
        <row r="42">
          <cell r="Q42">
            <v>5530</v>
          </cell>
        </row>
        <row r="43">
          <cell r="Q43">
            <v>6130</v>
          </cell>
        </row>
        <row r="44">
          <cell r="Q44">
            <v>1590</v>
          </cell>
        </row>
        <row r="48">
          <cell r="Q48">
            <v>11560</v>
          </cell>
        </row>
        <row r="49">
          <cell r="Q49">
            <v>11370</v>
          </cell>
        </row>
        <row r="50">
          <cell r="Q50">
            <v>11370</v>
          </cell>
        </row>
        <row r="51">
          <cell r="R51">
            <v>1000</v>
          </cell>
        </row>
        <row r="52">
          <cell r="R52">
            <v>1000</v>
          </cell>
        </row>
        <row r="59">
          <cell r="B59" t="str">
            <v>КФ петля полунакладная угловая 45/95 град. с крестообр. Планкой</v>
          </cell>
          <cell r="C59"/>
          <cell r="D59"/>
          <cell r="E59"/>
          <cell r="F59"/>
          <cell r="G59">
            <v>354.16678298611112</v>
          </cell>
          <cell r="H59">
            <v>3.7781149999999997</v>
          </cell>
          <cell r="I59">
            <v>0.98230989999999996</v>
          </cell>
          <cell r="J59">
            <v>358.92720788611115</v>
          </cell>
          <cell r="K59">
            <v>92.083363576388891</v>
          </cell>
          <cell r="L59"/>
          <cell r="M59"/>
          <cell r="N59">
            <v>451.01057146250002</v>
          </cell>
          <cell r="O59">
            <v>0.4</v>
          </cell>
          <cell r="P59">
            <v>819.52589727765144</v>
          </cell>
          <cell r="Q59">
            <v>820</v>
          </cell>
          <cell r="R59">
            <v>760</v>
          </cell>
          <cell r="S59">
            <v>7.8947368421052655E-2</v>
          </cell>
        </row>
        <row r="60">
          <cell r="B60" t="str">
            <v>KFP-SB-GT45</v>
          </cell>
          <cell r="C60"/>
          <cell r="D60"/>
          <cell r="E60"/>
          <cell r="F60"/>
          <cell r="G60">
            <v>757.5920000000001</v>
          </cell>
          <cell r="H60">
            <v>3.7781149999999997</v>
          </cell>
          <cell r="I60">
            <v>0.98230989999999996</v>
          </cell>
          <cell r="J60">
            <v>762.35242490000007</v>
          </cell>
          <cell r="K60">
            <v>196.97392000000002</v>
          </cell>
          <cell r="L60"/>
          <cell r="M60"/>
          <cell r="N60">
            <v>959.32634490000009</v>
          </cell>
          <cell r="O60"/>
          <cell r="P60">
            <v>1556.4110619657602</v>
          </cell>
          <cell r="Q60">
            <v>1560</v>
          </cell>
          <cell r="R60">
            <v>1440</v>
          </cell>
          <cell r="S60">
            <v>8.3333333333333259E-2</v>
          </cell>
        </row>
        <row r="61">
          <cell r="B61" t="str">
            <v>KFP-SB-N45</v>
          </cell>
          <cell r="C61"/>
          <cell r="D61"/>
          <cell r="E61"/>
          <cell r="F61"/>
          <cell r="G61">
            <v>61.917000000000002</v>
          </cell>
          <cell r="H61">
            <v>3.7781149999999997</v>
          </cell>
          <cell r="I61">
            <v>0.98230989999999996</v>
          </cell>
          <cell r="J61">
            <v>66.677424900000005</v>
          </cell>
          <cell r="K61">
            <v>16.098420000000001</v>
          </cell>
          <cell r="L61"/>
          <cell r="M61"/>
          <cell r="N61">
            <v>82.77584490000001</v>
          </cell>
          <cell r="O61">
            <v>0.8</v>
          </cell>
          <cell r="P61">
            <v>193.38556430269443</v>
          </cell>
          <cell r="Q61">
            <v>190</v>
          </cell>
          <cell r="R61">
            <v>180</v>
          </cell>
          <cell r="S61">
            <v>5.555555555555558E-2</v>
          </cell>
        </row>
        <row r="62">
          <cell r="B62" t="str">
            <v>КФ петли вклад. 95 гр. с крестообр. Планкой</v>
          </cell>
          <cell r="C62"/>
          <cell r="D62"/>
          <cell r="E62"/>
          <cell r="F62"/>
          <cell r="G62">
            <v>632.12366666666662</v>
          </cell>
          <cell r="H62">
            <v>3.7781149999999997</v>
          </cell>
          <cell r="I62">
            <v>0.98230989999999996</v>
          </cell>
          <cell r="J62">
            <v>636.8840915666666</v>
          </cell>
          <cell r="K62">
            <v>164.35215333333332</v>
          </cell>
          <cell r="L62"/>
          <cell r="M62"/>
          <cell r="N62">
            <v>801.23624489999997</v>
          </cell>
          <cell r="O62"/>
          <cell r="P62">
            <v>1299.9256837257601</v>
          </cell>
          <cell r="Q62">
            <v>1300</v>
          </cell>
          <cell r="R62">
            <v>1200</v>
          </cell>
          <cell r="S62">
            <v>8.3333333333333259E-2</v>
          </cell>
        </row>
        <row r="63">
          <cell r="B63" t="str">
            <v>KFP-SB-GT90</v>
          </cell>
          <cell r="C63"/>
          <cell r="D63"/>
          <cell r="E63"/>
          <cell r="F63"/>
          <cell r="G63">
            <v>741.0920000000001</v>
          </cell>
          <cell r="H63">
            <v>3.7781149999999997</v>
          </cell>
          <cell r="I63">
            <v>0.98230989999999996</v>
          </cell>
          <cell r="J63">
            <v>745.85242490000007</v>
          </cell>
          <cell r="K63">
            <v>192.68392000000003</v>
          </cell>
          <cell r="L63"/>
          <cell r="M63"/>
          <cell r="N63">
            <v>938.53634490000013</v>
          </cell>
          <cell r="O63"/>
          <cell r="P63">
            <v>1522.6813659657601</v>
          </cell>
          <cell r="Q63">
            <v>1300</v>
          </cell>
          <cell r="R63">
            <v>1410</v>
          </cell>
          <cell r="S63">
            <v>-7.8014184397163122E-2</v>
          </cell>
        </row>
        <row r="64">
          <cell r="B64" t="str">
            <v>KFP-SB-PY94</v>
          </cell>
          <cell r="C64"/>
          <cell r="D64"/>
          <cell r="E64"/>
          <cell r="F64"/>
          <cell r="G64">
            <v>158.99416666666667</v>
          </cell>
          <cell r="H64">
            <v>3.7781149999999997</v>
          </cell>
          <cell r="I64">
            <v>0.98230989999999996</v>
          </cell>
          <cell r="J64">
            <v>163.75459156666668</v>
          </cell>
          <cell r="K64">
            <v>41.338483333333336</v>
          </cell>
          <cell r="L64"/>
          <cell r="M64"/>
          <cell r="N64">
            <v>205.0930749</v>
          </cell>
          <cell r="O64">
            <v>0.8</v>
          </cell>
          <cell r="P64">
            <v>479.14992679357442</v>
          </cell>
          <cell r="Q64">
            <v>480</v>
          </cell>
          <cell r="R64">
            <v>440</v>
          </cell>
          <cell r="S64">
            <v>9.0909090909090828E-2</v>
          </cell>
        </row>
        <row r="65">
          <cell r="B65" t="str">
            <v>KFP-SB-P95</v>
          </cell>
          <cell r="C65"/>
          <cell r="D65"/>
          <cell r="E65"/>
          <cell r="F65"/>
          <cell r="G65">
            <v>63.992000000000004</v>
          </cell>
          <cell r="H65">
            <v>3.7781149999999997</v>
          </cell>
          <cell r="I65">
            <v>0.98230989999999996</v>
          </cell>
          <cell r="J65">
            <v>68.752424900000008</v>
          </cell>
          <cell r="K65">
            <v>16.637920000000001</v>
          </cell>
          <cell r="L65"/>
          <cell r="M65"/>
          <cell r="N65">
            <v>85.390344900000002</v>
          </cell>
          <cell r="O65">
            <v>0.8</v>
          </cell>
          <cell r="P65">
            <v>199.49370561469439</v>
          </cell>
          <cell r="Q65">
            <v>200</v>
          </cell>
          <cell r="R65">
            <v>180</v>
          </cell>
          <cell r="S65">
            <v>0.11111111111111116</v>
          </cell>
        </row>
        <row r="66">
          <cell r="B66" t="str">
            <v>КФ петли накл.110 гр. с крестообр. Планкой</v>
          </cell>
          <cell r="C66"/>
          <cell r="D66"/>
          <cell r="E66"/>
          <cell r="F66"/>
          <cell r="G66">
            <v>218.49386631944446</v>
          </cell>
          <cell r="H66">
            <v>3.7781149999999997</v>
          </cell>
          <cell r="I66">
            <v>0.98230989999999996</v>
          </cell>
          <cell r="J66">
            <v>223.25429121944447</v>
          </cell>
          <cell r="K66">
            <v>56.80840524305556</v>
          </cell>
          <cell r="L66"/>
          <cell r="M66"/>
          <cell r="N66">
            <v>280.06269646250001</v>
          </cell>
          <cell r="O66"/>
          <cell r="P66">
            <v>454.37371874076013</v>
          </cell>
          <cell r="Q66">
            <v>450</v>
          </cell>
          <cell r="R66">
            <v>420</v>
          </cell>
          <cell r="S66">
            <v>7.1428571428571397E-2</v>
          </cell>
        </row>
        <row r="67">
          <cell r="B67" t="str">
            <v>KFP-SB-GT110</v>
          </cell>
          <cell r="C67"/>
          <cell r="D67"/>
          <cell r="E67"/>
          <cell r="F67"/>
          <cell r="G67">
            <v>317.5920000000001</v>
          </cell>
          <cell r="H67">
            <v>3.7781149999999997</v>
          </cell>
          <cell r="I67">
            <v>0.98230989999999996</v>
          </cell>
          <cell r="J67">
            <v>322.35242490000013</v>
          </cell>
          <cell r="K67">
            <v>82.57392000000003</v>
          </cell>
          <cell r="L67"/>
          <cell r="M67"/>
          <cell r="N67">
            <v>404.92634490000017</v>
          </cell>
          <cell r="O67"/>
          <cell r="P67">
            <v>656.95250196576023</v>
          </cell>
          <cell r="Q67">
            <v>660</v>
          </cell>
          <cell r="R67">
            <v>610</v>
          </cell>
          <cell r="S67">
            <v>8.1967213114754189E-2</v>
          </cell>
        </row>
        <row r="68">
          <cell r="B68" t="str">
            <v>КФ петли SENS накл.110 гр. с крестообр. Планкой</v>
          </cell>
          <cell r="C68"/>
          <cell r="D68"/>
          <cell r="E68"/>
          <cell r="F68"/>
          <cell r="G68">
            <v>240.64200000000002</v>
          </cell>
          <cell r="H68">
            <v>3.7781149999999997</v>
          </cell>
          <cell r="I68">
            <v>0.98230989999999996</v>
          </cell>
          <cell r="J68">
            <v>245.4024249</v>
          </cell>
          <cell r="K68">
            <v>62.56692000000001</v>
          </cell>
          <cell r="L68"/>
          <cell r="M68"/>
          <cell r="N68">
            <v>307.96934490000001</v>
          </cell>
          <cell r="O68"/>
          <cell r="P68">
            <v>499.64946516576003</v>
          </cell>
          <cell r="Q68">
            <v>500</v>
          </cell>
          <cell r="R68">
            <v>340</v>
          </cell>
          <cell r="S68">
            <v>0.47058823529411775</v>
          </cell>
        </row>
        <row r="69">
          <cell r="B69" t="str">
            <v>KFP-SB-N110</v>
          </cell>
          <cell r="C69"/>
          <cell r="D69"/>
          <cell r="E69"/>
          <cell r="F69"/>
          <cell r="G69">
            <v>59.300333333333334</v>
          </cell>
          <cell r="H69">
            <v>3.7781149999999997</v>
          </cell>
          <cell r="I69">
            <v>0.98230989999999996</v>
          </cell>
          <cell r="J69">
            <v>64.060758233333331</v>
          </cell>
          <cell r="K69">
            <v>15.418086666666667</v>
          </cell>
          <cell r="L69"/>
          <cell r="M69"/>
          <cell r="N69">
            <v>79.478844899999999</v>
          </cell>
          <cell r="O69"/>
          <cell r="P69">
            <v>128.94647796575998</v>
          </cell>
          <cell r="Q69">
            <v>130</v>
          </cell>
          <cell r="R69">
            <v>120</v>
          </cell>
          <cell r="S69">
            <v>8.3333333333333259E-2</v>
          </cell>
        </row>
        <row r="70">
          <cell r="B70" t="str">
            <v>КФ Aventos HK-S 02_Gr</v>
          </cell>
          <cell r="C70"/>
          <cell r="D70"/>
          <cell r="E70"/>
          <cell r="F70"/>
          <cell r="G70">
            <v>1834.7240000000002</v>
          </cell>
          <cell r="H70">
            <v>3.7781149999999997</v>
          </cell>
          <cell r="I70">
            <v>0.98230989999999996</v>
          </cell>
          <cell r="J70">
            <v>1839.4844249000002</v>
          </cell>
          <cell r="K70">
            <v>477.02824000000004</v>
          </cell>
          <cell r="L70"/>
          <cell r="M70"/>
          <cell r="N70">
            <v>2316.5126649000003</v>
          </cell>
          <cell r="O70"/>
          <cell r="P70">
            <v>3758.3101475337612</v>
          </cell>
          <cell r="Q70">
            <v>6080</v>
          </cell>
          <cell r="R70">
            <v>3470</v>
          </cell>
          <cell r="S70">
            <v>0.75216138328530269</v>
          </cell>
        </row>
        <row r="71">
          <cell r="B71" t="str">
            <v>КФ Aventos HK-S 04_Gr</v>
          </cell>
          <cell r="C71"/>
          <cell r="D71"/>
          <cell r="E71"/>
          <cell r="F71"/>
          <cell r="G71">
            <v>1870.4906666666666</v>
          </cell>
          <cell r="H71">
            <v>3.7781149999999997</v>
          </cell>
          <cell r="I71">
            <v>0.98230989999999996</v>
          </cell>
          <cell r="J71">
            <v>1875.2510915666667</v>
          </cell>
          <cell r="K71">
            <v>486.32757333333331</v>
          </cell>
          <cell r="L71"/>
          <cell r="M71"/>
          <cell r="N71">
            <v>2361.5786649000001</v>
          </cell>
          <cell r="O71"/>
          <cell r="P71">
            <v>3831.4252259337604</v>
          </cell>
          <cell r="Q71">
            <v>6080</v>
          </cell>
          <cell r="R71">
            <v>3540</v>
          </cell>
          <cell r="S71">
            <v>0.71751412429378525</v>
          </cell>
        </row>
        <row r="72">
          <cell r="B72" t="str">
            <v>КФ Aventos HK 03_Gr</v>
          </cell>
          <cell r="C72"/>
          <cell r="D72"/>
          <cell r="E72"/>
          <cell r="F72"/>
          <cell r="G72">
            <v>2518.5752000000002</v>
          </cell>
          <cell r="H72">
            <v>3.7781149999999997</v>
          </cell>
          <cell r="I72">
            <v>0.98230989999999996</v>
          </cell>
          <cell r="J72">
            <v>2523.3356249000003</v>
          </cell>
          <cell r="K72">
            <v>654.82955200000004</v>
          </cell>
          <cell r="L72"/>
          <cell r="M72"/>
          <cell r="N72">
            <v>3178.1651769000005</v>
          </cell>
          <cell r="O72"/>
          <cell r="P72">
            <v>5156.2551830025604</v>
          </cell>
          <cell r="Q72">
            <v>5160</v>
          </cell>
          <cell r="R72">
            <v>4770</v>
          </cell>
          <cell r="S72">
            <v>8.1761006289308158E-2</v>
          </cell>
        </row>
        <row r="73">
          <cell r="B73" t="str">
            <v>KFP-SP-PPGK</v>
          </cell>
          <cell r="C73"/>
          <cell r="D73"/>
          <cell r="E73"/>
          <cell r="F73"/>
          <cell r="G73">
            <v>2972.7573333333339</v>
          </cell>
          <cell r="H73">
            <v>3.7781149999999997</v>
          </cell>
          <cell r="I73">
            <v>0.98230989999999996</v>
          </cell>
          <cell r="J73">
            <v>2977.517758233334</v>
          </cell>
          <cell r="K73">
            <v>772.91690666666682</v>
          </cell>
          <cell r="L73"/>
          <cell r="M73"/>
          <cell r="N73">
            <v>3750.4346649000008</v>
          </cell>
          <cell r="O73"/>
          <cell r="P73">
            <v>6084.7052003337612</v>
          </cell>
          <cell r="Q73">
            <v>6080</v>
          </cell>
          <cell r="R73">
            <v>3460</v>
          </cell>
          <cell r="S73">
            <v>0.75722543352601157</v>
          </cell>
        </row>
        <row r="74">
          <cell r="B74" t="str">
            <v>KFP-SP-PPGK_71</v>
          </cell>
          <cell r="C74"/>
          <cell r="D74"/>
          <cell r="E74"/>
          <cell r="F74"/>
          <cell r="G74">
            <v>3388.8213333333338</v>
          </cell>
          <cell r="H74">
            <v>3.7781149999999997</v>
          </cell>
          <cell r="I74">
            <v>0.98230989999999996</v>
          </cell>
          <cell r="J74">
            <v>3393.5817582333339</v>
          </cell>
          <cell r="K74">
            <v>881.09354666666684</v>
          </cell>
          <cell r="L74"/>
          <cell r="M74"/>
          <cell r="N74">
            <v>4274.6753049000008</v>
          </cell>
          <cell r="O74"/>
          <cell r="P74">
            <v>6935.2332146697609</v>
          </cell>
          <cell r="Q74">
            <v>6940</v>
          </cell>
          <cell r="R74">
            <v>6410</v>
          </cell>
          <cell r="S74">
            <v>8.2683307332293232E-2</v>
          </cell>
        </row>
        <row r="75">
          <cell r="B75" t="str">
            <v>KFP-SB-PPHF_G</v>
          </cell>
          <cell r="C75"/>
          <cell r="D75"/>
          <cell r="E75"/>
          <cell r="F75"/>
          <cell r="G75">
            <v>6838.2068333333327</v>
          </cell>
          <cell r="H75">
            <v>3.7781149999999997</v>
          </cell>
          <cell r="I75">
            <v>0.98230989999999996</v>
          </cell>
          <cell r="J75">
            <v>6842.9672582333324</v>
          </cell>
          <cell r="K75">
            <v>1777.9337766666665</v>
          </cell>
          <cell r="L75"/>
          <cell r="M75"/>
          <cell r="N75">
            <v>8620.9010348999982</v>
          </cell>
          <cell r="O75"/>
          <cell r="P75">
            <v>13986.549839021758</v>
          </cell>
          <cell r="Q75">
            <v>13990</v>
          </cell>
          <cell r="R75">
            <v>12930</v>
          </cell>
          <cell r="S75">
            <v>8.1979891724671239E-2</v>
          </cell>
        </row>
        <row r="76">
          <cell r="B76" t="str">
            <v>KFP-SP-PPA</v>
          </cell>
          <cell r="C76"/>
          <cell r="D76"/>
          <cell r="E76"/>
          <cell r="F76"/>
          <cell r="G76">
            <v>1115.3523333333333</v>
          </cell>
          <cell r="H76">
            <v>3.7781149999999997</v>
          </cell>
          <cell r="I76">
            <v>0.98230989999999996</v>
          </cell>
          <cell r="J76">
            <v>1120.1127582333334</v>
          </cell>
          <cell r="K76">
            <v>289.99160666666666</v>
          </cell>
          <cell r="L76"/>
          <cell r="M76"/>
          <cell r="N76">
            <v>1410.1043649000001</v>
          </cell>
          <cell r="O76"/>
          <cell r="P76">
            <v>2287.7533216137599</v>
          </cell>
          <cell r="Q76">
            <v>2290</v>
          </cell>
          <cell r="R76">
            <v>2120</v>
          </cell>
          <cell r="S76">
            <v>8.0188679245283057E-2</v>
          </cell>
        </row>
        <row r="79">
          <cell r="Q79">
            <v>210</v>
          </cell>
        </row>
        <row r="80">
          <cell r="Q80">
            <v>20</v>
          </cell>
        </row>
        <row r="85">
          <cell r="Q85">
            <v>30</v>
          </cell>
        </row>
        <row r="86">
          <cell r="Q86">
            <v>40</v>
          </cell>
        </row>
        <row r="87">
          <cell r="Q87">
            <v>390</v>
          </cell>
        </row>
        <row r="88">
          <cell r="Q88">
            <v>1110</v>
          </cell>
        </row>
        <row r="91">
          <cell r="Q91">
            <v>10</v>
          </cell>
        </row>
        <row r="92">
          <cell r="Q92">
            <v>290</v>
          </cell>
        </row>
        <row r="97">
          <cell r="Q97">
            <v>20</v>
          </cell>
        </row>
      </sheetData>
      <sheetData sheetId="19">
        <row r="42">
          <cell r="H42">
            <v>2403</v>
          </cell>
        </row>
        <row r="45">
          <cell r="H45">
            <v>2702.041666666667</v>
          </cell>
        </row>
        <row r="48">
          <cell r="H48">
            <v>2992.9666666666667</v>
          </cell>
        </row>
        <row r="54">
          <cell r="H54">
            <v>775.76666666666677</v>
          </cell>
        </row>
        <row r="57">
          <cell r="H57">
            <v>3093.2000000000003</v>
          </cell>
        </row>
        <row r="60">
          <cell r="H60">
            <v>3553.0000000000005</v>
          </cell>
        </row>
        <row r="63">
          <cell r="H63">
            <v>3814.8</v>
          </cell>
        </row>
        <row r="66">
          <cell r="H66">
            <v>5650.1280000000015</v>
          </cell>
        </row>
        <row r="69">
          <cell r="H69">
            <v>5559.9</v>
          </cell>
        </row>
        <row r="72">
          <cell r="H72">
            <v>2779.5113333333334</v>
          </cell>
        </row>
        <row r="80">
          <cell r="H80">
            <v>487.49058865970636</v>
          </cell>
        </row>
        <row r="86">
          <cell r="H86">
            <v>592.88412382610636</v>
          </cell>
        </row>
        <row r="92">
          <cell r="H92">
            <v>865.83758069786245</v>
          </cell>
        </row>
        <row r="99">
          <cell r="H99">
            <v>643.39778274101263</v>
          </cell>
        </row>
        <row r="107">
          <cell r="H107">
            <v>836.06333621509384</v>
          </cell>
        </row>
        <row r="114">
          <cell r="H114">
            <v>1041.4430292378108</v>
          </cell>
        </row>
        <row r="121">
          <cell r="H121">
            <v>1174.2787556580549</v>
          </cell>
        </row>
      </sheetData>
      <sheetData sheetId="20">
        <row r="25">
          <cell r="G25">
            <v>143.55000000000001</v>
          </cell>
        </row>
        <row r="31">
          <cell r="G31">
            <v>180.32</v>
          </cell>
        </row>
      </sheetData>
      <sheetData sheetId="21">
        <row r="41">
          <cell r="H41">
            <v>284.91833333333335</v>
          </cell>
        </row>
        <row r="46">
          <cell r="H46">
            <v>96.704999999999998</v>
          </cell>
        </row>
        <row r="48">
          <cell r="H48">
            <v>4.9500000000000011</v>
          </cell>
        </row>
        <row r="50">
          <cell r="H50">
            <v>6.1875000000000018</v>
          </cell>
        </row>
        <row r="52">
          <cell r="H52">
            <v>11.748000000000001</v>
          </cell>
        </row>
        <row r="54">
          <cell r="H54">
            <v>14.685000000000002</v>
          </cell>
        </row>
        <row r="58">
          <cell r="H58">
            <v>10.747</v>
          </cell>
        </row>
        <row r="64">
          <cell r="H64">
            <v>75.918500000000009</v>
          </cell>
        </row>
        <row r="70">
          <cell r="H70">
            <v>89.481000000000009</v>
          </cell>
        </row>
        <row r="74">
          <cell r="H74">
            <v>16.582500000000003</v>
          </cell>
        </row>
        <row r="78">
          <cell r="H78">
            <v>187.63066666666668</v>
          </cell>
        </row>
        <row r="80">
          <cell r="H80">
            <v>2.933333333333334</v>
          </cell>
        </row>
        <row r="86">
          <cell r="H86">
            <v>139.58816666666667</v>
          </cell>
        </row>
        <row r="97">
          <cell r="H97">
            <v>7.15</v>
          </cell>
        </row>
        <row r="100">
          <cell r="H100">
            <v>3.7400000000000007</v>
          </cell>
        </row>
      </sheetData>
      <sheetData sheetId="22">
        <row r="69">
          <cell r="I69">
            <v>354.16678298611112</v>
          </cell>
        </row>
        <row r="75">
          <cell r="I75">
            <v>757.5920000000001</v>
          </cell>
        </row>
        <row r="81">
          <cell r="I81">
            <v>61.917000000000002</v>
          </cell>
        </row>
        <row r="90">
          <cell r="I90">
            <v>632.12366666666662</v>
          </cell>
        </row>
        <row r="96">
          <cell r="I96">
            <v>741.0920000000001</v>
          </cell>
        </row>
        <row r="102">
          <cell r="I102">
            <v>158.99416666666667</v>
          </cell>
        </row>
        <row r="108">
          <cell r="I108">
            <v>63.992000000000004</v>
          </cell>
        </row>
        <row r="117">
          <cell r="I117">
            <v>218.49386631944446</v>
          </cell>
        </row>
        <row r="123">
          <cell r="I123">
            <v>317.5920000000001</v>
          </cell>
        </row>
        <row r="131">
          <cell r="I131">
            <v>240.64200000000002</v>
          </cell>
        </row>
        <row r="139">
          <cell r="I139">
            <v>59.300333333333334</v>
          </cell>
        </row>
        <row r="149">
          <cell r="I149">
            <v>1834.7240000000002</v>
          </cell>
        </row>
        <row r="158">
          <cell r="I158">
            <v>1870.4906666666666</v>
          </cell>
        </row>
        <row r="169">
          <cell r="I169">
            <v>2518.5752000000002</v>
          </cell>
        </row>
        <row r="176">
          <cell r="I176">
            <v>2972.7573333333339</v>
          </cell>
        </row>
        <row r="182">
          <cell r="I182">
            <v>3388.8213333333338</v>
          </cell>
        </row>
        <row r="195">
          <cell r="I195">
            <v>6838.2068333333327</v>
          </cell>
        </row>
        <row r="203">
          <cell r="I203">
            <v>1115.3523333333333</v>
          </cell>
        </row>
      </sheetData>
      <sheetData sheetId="23">
        <row r="29">
          <cell r="G29">
            <v>181.07261333333338</v>
          </cell>
        </row>
        <row r="37">
          <cell r="G37">
            <v>151.44594666666671</v>
          </cell>
        </row>
        <row r="46">
          <cell r="G46">
            <v>184.34368333333339</v>
          </cell>
        </row>
        <row r="57">
          <cell r="G57">
            <v>269.82428000000004</v>
          </cell>
        </row>
        <row r="66">
          <cell r="G66">
            <v>233.5151133333334</v>
          </cell>
        </row>
        <row r="75">
          <cell r="G75">
            <v>249.18094666666673</v>
          </cell>
        </row>
        <row r="83">
          <cell r="G83">
            <v>315.93463000000008</v>
          </cell>
        </row>
        <row r="92">
          <cell r="G92">
            <v>250.13915666666671</v>
          </cell>
        </row>
        <row r="101">
          <cell r="G101">
            <v>215.67535000000007</v>
          </cell>
        </row>
        <row r="108">
          <cell r="G108">
            <v>283.03689333333341</v>
          </cell>
        </row>
        <row r="117">
          <cell r="G117">
            <v>246.86808666666673</v>
          </cell>
        </row>
        <row r="126">
          <cell r="G126">
            <v>312.66356000000013</v>
          </cell>
        </row>
        <row r="136">
          <cell r="G136">
            <v>378.45903333333348</v>
          </cell>
        </row>
        <row r="146">
          <cell r="G146">
            <v>110.78547333333337</v>
          </cell>
        </row>
        <row r="155">
          <cell r="G155">
            <v>251.76796333333337</v>
          </cell>
        </row>
        <row r="166">
          <cell r="G166">
            <v>197.66714000000005</v>
          </cell>
        </row>
      </sheetData>
      <sheetData sheetId="24">
        <row r="34">
          <cell r="H34">
            <v>2320.6113333333337</v>
          </cell>
        </row>
        <row r="45">
          <cell r="H45">
            <v>2837.6406666666671</v>
          </cell>
        </row>
        <row r="53">
          <cell r="H53">
            <v>231.63266666666667</v>
          </cell>
        </row>
        <row r="60">
          <cell r="H60">
            <v>456.94100000000003</v>
          </cell>
        </row>
        <row r="66">
          <cell r="H66">
            <v>176.93625</v>
          </cell>
        </row>
        <row r="70">
          <cell r="H70">
            <v>79.905666666666676</v>
          </cell>
        </row>
        <row r="78">
          <cell r="H78">
            <v>2461.6643333333341</v>
          </cell>
        </row>
        <row r="84">
          <cell r="H84">
            <v>2018.8263333333341</v>
          </cell>
        </row>
      </sheetData>
      <sheetData sheetId="25">
        <row r="10">
          <cell r="S10">
            <v>1510</v>
          </cell>
        </row>
        <row r="31">
          <cell r="S31">
            <v>1460</v>
          </cell>
        </row>
        <row r="37">
          <cell r="S37">
            <v>1770</v>
          </cell>
        </row>
        <row r="39">
          <cell r="S39">
            <v>2580</v>
          </cell>
        </row>
        <row r="47">
          <cell r="S47">
            <v>2540</v>
          </cell>
        </row>
        <row r="52">
          <cell r="S52">
            <v>2530</v>
          </cell>
        </row>
        <row r="58">
          <cell r="S58">
            <v>1840</v>
          </cell>
        </row>
      </sheetData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>
        <row r="9">
          <cell r="S9">
            <v>2060</v>
          </cell>
        </row>
        <row r="16">
          <cell r="S16">
            <v>2100</v>
          </cell>
        </row>
        <row r="22">
          <cell r="S22">
            <v>3070</v>
          </cell>
        </row>
        <row r="28">
          <cell r="S28">
            <v>2480</v>
          </cell>
        </row>
        <row r="31">
          <cell r="S31">
            <v>2740</v>
          </cell>
        </row>
        <row r="34">
          <cell r="S34">
            <v>2300</v>
          </cell>
        </row>
        <row r="41">
          <cell r="S41">
            <v>3030</v>
          </cell>
        </row>
        <row r="47">
          <cell r="S47">
            <v>2700</v>
          </cell>
        </row>
        <row r="53">
          <cell r="S53">
            <v>2580</v>
          </cell>
        </row>
        <row r="59">
          <cell r="S59">
            <v>2510</v>
          </cell>
        </row>
        <row r="61">
          <cell r="S61">
            <v>2450</v>
          </cell>
        </row>
        <row r="64">
          <cell r="S64">
            <v>2000</v>
          </cell>
        </row>
        <row r="66">
          <cell r="S66">
            <v>1640</v>
          </cell>
        </row>
        <row r="69">
          <cell r="S69">
            <v>2850</v>
          </cell>
        </row>
      </sheetData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>
        <row r="13">
          <cell r="S13">
            <v>4820</v>
          </cell>
        </row>
        <row r="15">
          <cell r="S15">
            <v>5170</v>
          </cell>
        </row>
        <row r="20">
          <cell r="S20">
            <v>6460</v>
          </cell>
        </row>
        <row r="21">
          <cell r="S21">
            <v>5290</v>
          </cell>
        </row>
        <row r="23">
          <cell r="S23">
            <v>8650</v>
          </cell>
        </row>
        <row r="25">
          <cell r="S25">
            <v>8100</v>
          </cell>
        </row>
        <row r="26">
          <cell r="S26">
            <v>6800</v>
          </cell>
        </row>
        <row r="27">
          <cell r="S27">
            <v>8020</v>
          </cell>
        </row>
        <row r="28">
          <cell r="S28">
            <v>6990</v>
          </cell>
        </row>
        <row r="29">
          <cell r="S29">
            <v>6910</v>
          </cell>
        </row>
        <row r="35">
          <cell r="S35">
            <v>6990</v>
          </cell>
        </row>
        <row r="36">
          <cell r="S36">
            <v>6310</v>
          </cell>
        </row>
      </sheetData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трудозатраты на фасад DMI"/>
      <sheetName val="трудозатраты на фасад МОДЕРН"/>
      <sheetName val="трудозатраты на фасад П90"/>
      <sheetName val="расчет с разн.рент с наклад (2"/>
      <sheetName val="общий расчёт из БЗ для СКП"/>
      <sheetName val="тарифные ставки"/>
      <sheetName val="Базовые цены"/>
      <sheetName val="исх"/>
      <sheetName val="сравнение цен ЛДСП"/>
      <sheetName val="4 нижние в прайс"/>
      <sheetName val="4 верхние в прайс"/>
      <sheetName val="4 пеналы в прайс"/>
      <sheetName val="3 расчёт нижних"/>
      <sheetName val="3 расчёт верхних"/>
      <sheetName val="3 расчёт пеналов"/>
      <sheetName val="2 все модули и цены"/>
      <sheetName val="Таблица с признаками"/>
      <sheetName val="полки"/>
      <sheetName val="комплекты фурнитуры"/>
      <sheetName val="КФ наполнение"/>
      <sheetName val="КФ НСТ"/>
      <sheetName val="КФ прочее"/>
      <sheetName val="КФ петель и подъемников"/>
      <sheetName val="КФ корпуса"/>
      <sheetName val="КФ ящиков"/>
      <sheetName val="1 верхние"/>
      <sheetName val="EVO"/>
      <sheetName val="EMV1D"/>
      <sheetName val="EWV1D"/>
      <sheetName val="ERV"/>
      <sheetName val="EUV1D"/>
      <sheetName val="EHV1D"/>
      <sheetName val="EHV2D"/>
      <sheetName val="EDV1D"/>
      <sheetName val="EMV1K"/>
      <sheetName val="Лист6"/>
      <sheetName val="ESVX1D"/>
      <sheetName val="1 нижние"/>
      <sheetName val="ENO"/>
      <sheetName val="EWN1D"/>
      <sheetName val="EUN1D"/>
      <sheetName val="EDN1D"/>
      <sheetName val="EWD1D"/>
      <sheetName val="EMN1B1D"/>
      <sheetName val="EMN4B"/>
      <sheetName val="EMN3B"/>
      <sheetName val="EMN2B"/>
      <sheetName val="ETN1B"/>
      <sheetName val="ESNX1D"/>
      <sheetName val="ERN1D"/>
      <sheetName val="EZ1F"/>
      <sheetName val="EWU1F1D"/>
      <sheetName val="EMN2B1I"/>
      <sheetName val="1 пеналы"/>
      <sheetName val="ESV1D"/>
      <sheetName val="EP1D"/>
      <sheetName val="EPT2B"/>
      <sheetName val="EP2D"/>
      <sheetName val="EPS2D "/>
      <sheetName val="EP3B1D"/>
      <sheetName val="EP2B1D"/>
      <sheetName val="EPT2D"/>
      <sheetName val="EPT2B1D"/>
      <sheetName val="EPTP1D"/>
      <sheetName val="EPT1B1D"/>
      <sheetName val="EPP2D"/>
      <sheetName val="EPSP2D"/>
      <sheetName val="EDRN1D "/>
      <sheetName val="ESN1D"/>
      <sheetName val="ETN2B"/>
      <sheetName val="ETN1F1B"/>
      <sheetName val="EWN1F1D_2D"/>
      <sheetName val="EUN1K"/>
      <sheetName val="расчёт коэфф изменеия цены"/>
      <sheetName val="Лист1"/>
      <sheetName val="Лист3"/>
      <sheetName val="Лист4"/>
      <sheetName val="Лист2"/>
      <sheetName val="Лист5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>
        <row r="10">
          <cell r="B10" t="str">
            <v>КФ крепежа корпуса 1</v>
          </cell>
          <cell r="C10"/>
          <cell r="D10"/>
          <cell r="E10"/>
          <cell r="F10"/>
          <cell r="G10">
            <v>181.07261333333338</v>
          </cell>
          <cell r="H10">
            <v>3.7781149999999997</v>
          </cell>
          <cell r="I10">
            <v>0.98230989999999996</v>
          </cell>
          <cell r="J10">
            <v>185.83303823333338</v>
          </cell>
          <cell r="K10">
            <v>47.078879466666677</v>
          </cell>
          <cell r="L10"/>
          <cell r="M10"/>
          <cell r="N10">
            <v>232.91191770000006</v>
          </cell>
          <cell r="O10">
            <v>0.8</v>
          </cell>
          <cell r="P10">
            <v>544.14186519813131</v>
          </cell>
          <cell r="Q10">
            <v>540</v>
          </cell>
          <cell r="R10">
            <v>500</v>
          </cell>
          <cell r="S10">
            <v>8.0000000000000071E-2</v>
          </cell>
        </row>
        <row r="11">
          <cell r="B11" t="str">
            <v>КФ крепежа корпуса 2</v>
          </cell>
          <cell r="C11"/>
          <cell r="D11"/>
          <cell r="E11"/>
          <cell r="F11"/>
          <cell r="G11">
            <v>151.44594666666671</v>
          </cell>
          <cell r="H11">
            <v>3.7781149999999997</v>
          </cell>
          <cell r="I11">
            <v>0.98230989999999996</v>
          </cell>
          <cell r="J11">
            <v>156.20637156666672</v>
          </cell>
          <cell r="K11">
            <v>39.37594613333335</v>
          </cell>
          <cell r="L11"/>
          <cell r="M11"/>
          <cell r="N11">
            <v>195.58231770000006</v>
          </cell>
          <cell r="O11">
            <v>0.8</v>
          </cell>
          <cell r="P11">
            <v>456.93036322053143</v>
          </cell>
          <cell r="Q11">
            <v>460</v>
          </cell>
          <cell r="R11">
            <v>420</v>
          </cell>
          <cell r="S11">
            <v>9.5238095238095344E-2</v>
          </cell>
        </row>
        <row r="12">
          <cell r="B12" t="str">
            <v>КФ крепежа корпуса 3</v>
          </cell>
          <cell r="C12"/>
          <cell r="D12"/>
          <cell r="E12"/>
          <cell r="F12"/>
          <cell r="G12">
            <v>184.34368333333339</v>
          </cell>
          <cell r="H12">
            <v>3.7781149999999997</v>
          </cell>
          <cell r="I12">
            <v>0.98230989999999996</v>
          </cell>
          <cell r="J12">
            <v>189.10410823333339</v>
          </cell>
          <cell r="K12">
            <v>47.929357666666682</v>
          </cell>
          <cell r="L12"/>
          <cell r="M12"/>
          <cell r="N12">
            <v>237.03346590000007</v>
          </cell>
          <cell r="O12">
            <v>0.8</v>
          </cell>
          <cell r="P12">
            <v>553.77085690967056</v>
          </cell>
          <cell r="Q12">
            <v>550</v>
          </cell>
          <cell r="R12">
            <v>510</v>
          </cell>
          <cell r="S12">
            <v>7.8431372549019551E-2</v>
          </cell>
        </row>
        <row r="13">
          <cell r="B13" t="str">
            <v>КФ крепежа корпуса 4</v>
          </cell>
          <cell r="C13"/>
          <cell r="D13"/>
          <cell r="E13"/>
          <cell r="F13"/>
          <cell r="G13">
            <v>269.82428000000004</v>
          </cell>
          <cell r="H13">
            <v>3.7781149999999997</v>
          </cell>
          <cell r="I13">
            <v>0.98230989999999996</v>
          </cell>
          <cell r="J13">
            <v>274.58470490000008</v>
          </cell>
          <cell r="K13">
            <v>70.154312800000014</v>
          </cell>
          <cell r="L13"/>
          <cell r="M13"/>
          <cell r="N13">
            <v>344.73901770000009</v>
          </cell>
          <cell r="O13">
            <v>0.8</v>
          </cell>
          <cell r="P13">
            <v>805.39859853573159</v>
          </cell>
          <cell r="Q13">
            <v>810</v>
          </cell>
          <cell r="R13">
            <v>740</v>
          </cell>
          <cell r="S13">
            <v>9.4594594594594517E-2</v>
          </cell>
        </row>
        <row r="14">
          <cell r="B14" t="str">
            <v>КФ крепежа корпуса 5</v>
          </cell>
          <cell r="C14"/>
          <cell r="D14"/>
          <cell r="E14"/>
          <cell r="F14"/>
          <cell r="G14">
            <v>233.5151133333334</v>
          </cell>
          <cell r="H14">
            <v>3.7781149999999997</v>
          </cell>
          <cell r="I14">
            <v>0.98230989999999996</v>
          </cell>
          <cell r="J14">
            <v>238.27553823333338</v>
          </cell>
          <cell r="K14">
            <v>60.713929466666684</v>
          </cell>
          <cell r="L14"/>
          <cell r="M14"/>
          <cell r="N14">
            <v>298.98946770000009</v>
          </cell>
          <cell r="O14">
            <v>0.8</v>
          </cell>
          <cell r="P14">
            <v>698.51593785093144</v>
          </cell>
          <cell r="Q14">
            <v>700</v>
          </cell>
          <cell r="R14">
            <v>650</v>
          </cell>
          <cell r="S14">
            <v>7.6923076923076872E-2</v>
          </cell>
        </row>
        <row r="15">
          <cell r="B15" t="str">
            <v>КФ крепежа корпуса 6</v>
          </cell>
          <cell r="C15"/>
          <cell r="D15"/>
          <cell r="E15"/>
          <cell r="F15"/>
          <cell r="G15">
            <v>249.18094666666673</v>
          </cell>
          <cell r="H15">
            <v>3.7781149999999997</v>
          </cell>
          <cell r="I15">
            <v>0.98230989999999996</v>
          </cell>
          <cell r="J15">
            <v>253.94137156666673</v>
          </cell>
          <cell r="K15">
            <v>64.787046133333348</v>
          </cell>
          <cell r="L15"/>
          <cell r="M15"/>
          <cell r="N15">
            <v>318.72841770000008</v>
          </cell>
          <cell r="O15">
            <v>0.8</v>
          </cell>
          <cell r="P15">
            <v>744.63117822213144</v>
          </cell>
          <cell r="Q15">
            <v>740</v>
          </cell>
          <cell r="R15">
            <v>690</v>
          </cell>
          <cell r="S15">
            <v>7.2463768115942129E-2</v>
          </cell>
        </row>
        <row r="16">
          <cell r="B16" t="str">
            <v>КФ крепежа корпуса 7</v>
          </cell>
          <cell r="C16"/>
          <cell r="D16"/>
          <cell r="E16"/>
          <cell r="F16"/>
          <cell r="G16">
            <v>315.93463000000008</v>
          </cell>
          <cell r="H16">
            <v>3.7781149999999997</v>
          </cell>
          <cell r="I16">
            <v>0.98230989999999996</v>
          </cell>
          <cell r="J16">
            <v>320.69505490000012</v>
          </cell>
          <cell r="K16">
            <v>82.143003800000031</v>
          </cell>
          <cell r="L16"/>
          <cell r="M16"/>
          <cell r="N16">
            <v>402.83805870000015</v>
          </cell>
          <cell r="O16">
            <v>0.8</v>
          </cell>
          <cell r="P16">
            <v>941.1328316662275</v>
          </cell>
          <cell r="Q16">
            <v>940</v>
          </cell>
          <cell r="R16">
            <v>870</v>
          </cell>
          <cell r="S16">
            <v>8.0459770114942541E-2</v>
          </cell>
        </row>
        <row r="17">
          <cell r="B17" t="str">
            <v>КФ крепежа корпуса 8</v>
          </cell>
          <cell r="C17"/>
          <cell r="D17"/>
          <cell r="E17"/>
          <cell r="F17"/>
          <cell r="G17">
            <v>250.13915666666671</v>
          </cell>
          <cell r="H17">
            <v>3.7781149999999997</v>
          </cell>
          <cell r="I17">
            <v>0.98230989999999996</v>
          </cell>
          <cell r="J17">
            <v>254.89958156666668</v>
          </cell>
          <cell r="K17">
            <v>65.036180733333353</v>
          </cell>
          <cell r="L17"/>
          <cell r="M17"/>
          <cell r="N17">
            <v>319.93576230000002</v>
          </cell>
          <cell r="O17">
            <v>0.8</v>
          </cell>
          <cell r="P17">
            <v>747.45184428794892</v>
          </cell>
          <cell r="Q17">
            <v>750</v>
          </cell>
          <cell r="R17">
            <v>690</v>
          </cell>
          <cell r="S17">
            <v>8.6956521739130377E-2</v>
          </cell>
        </row>
        <row r="18">
          <cell r="B18" t="str">
            <v>КФ крепежа корпуса 9</v>
          </cell>
          <cell r="C18"/>
          <cell r="D18"/>
          <cell r="E18"/>
          <cell r="F18"/>
          <cell r="G18">
            <v>215.67535000000007</v>
          </cell>
          <cell r="H18">
            <v>3.7781149999999997</v>
          </cell>
          <cell r="I18">
            <v>0.98230989999999996</v>
          </cell>
          <cell r="J18">
            <v>220.43577490000004</v>
          </cell>
          <cell r="K18">
            <v>56.075591000000017</v>
          </cell>
          <cell r="L18"/>
          <cell r="M18"/>
          <cell r="N18">
            <v>276.51136590000004</v>
          </cell>
          <cell r="O18">
            <v>0.8</v>
          </cell>
          <cell r="P18">
            <v>646.00133765207056</v>
          </cell>
          <cell r="Q18">
            <v>650</v>
          </cell>
          <cell r="R18">
            <v>600</v>
          </cell>
          <cell r="S18">
            <v>8.3333333333333259E-2</v>
          </cell>
        </row>
        <row r="19">
          <cell r="B19" t="str">
            <v>КФ крепежа корпуса 10</v>
          </cell>
          <cell r="C19"/>
          <cell r="D19"/>
          <cell r="E19"/>
          <cell r="F19"/>
          <cell r="G19">
            <v>283.03689333333341</v>
          </cell>
          <cell r="H19">
            <v>3.7781149999999997</v>
          </cell>
          <cell r="I19">
            <v>0.98230989999999996</v>
          </cell>
          <cell r="J19">
            <v>287.79731823333344</v>
          </cell>
          <cell r="K19">
            <v>73.589592266666685</v>
          </cell>
          <cell r="L19"/>
          <cell r="M19"/>
          <cell r="N19">
            <v>361.38691050000011</v>
          </cell>
          <cell r="O19">
            <v>0.8</v>
          </cell>
          <cell r="P19">
            <v>844.29233797708832</v>
          </cell>
          <cell r="Q19">
            <v>840</v>
          </cell>
          <cell r="R19">
            <v>780</v>
          </cell>
          <cell r="S19">
            <v>7.6923076923076872E-2</v>
          </cell>
        </row>
        <row r="20">
          <cell r="B20" t="str">
            <v>КФ крепежа корпуса 11</v>
          </cell>
          <cell r="C20"/>
          <cell r="D20"/>
          <cell r="E20"/>
          <cell r="F20"/>
          <cell r="G20">
            <v>246.86808666666673</v>
          </cell>
          <cell r="H20">
            <v>3.7781149999999997</v>
          </cell>
          <cell r="I20">
            <v>0.98230989999999996</v>
          </cell>
          <cell r="J20">
            <v>251.62851156666673</v>
          </cell>
          <cell r="K20">
            <v>64.185702533333355</v>
          </cell>
          <cell r="L20"/>
          <cell r="M20"/>
          <cell r="N20">
            <v>315.81421410000007</v>
          </cell>
          <cell r="O20">
            <v>0.8</v>
          </cell>
          <cell r="P20">
            <v>737.82285257640979</v>
          </cell>
          <cell r="Q20">
            <v>740</v>
          </cell>
          <cell r="R20">
            <v>680</v>
          </cell>
          <cell r="S20">
            <v>8.8235294117646967E-2</v>
          </cell>
        </row>
        <row r="21">
          <cell r="B21" t="str">
            <v>КФ крепежа корпуса 12</v>
          </cell>
          <cell r="C21"/>
          <cell r="D21"/>
          <cell r="E21"/>
          <cell r="F21"/>
          <cell r="G21">
            <v>312.66356000000013</v>
          </cell>
          <cell r="H21">
            <v>3.7781149999999997</v>
          </cell>
          <cell r="I21">
            <v>0.98230989999999996</v>
          </cell>
          <cell r="J21">
            <v>317.42398490000016</v>
          </cell>
          <cell r="K21">
            <v>81.292525600000033</v>
          </cell>
          <cell r="L21"/>
          <cell r="M21"/>
          <cell r="N21">
            <v>398.7165105000002</v>
          </cell>
          <cell r="O21">
            <v>0.8</v>
          </cell>
          <cell r="P21">
            <v>931.5038399546886</v>
          </cell>
          <cell r="Q21">
            <v>930</v>
          </cell>
          <cell r="R21">
            <v>860</v>
          </cell>
          <cell r="S21">
            <v>8.1395348837209225E-2</v>
          </cell>
        </row>
        <row r="22">
          <cell r="B22" t="str">
            <v>КФ крепежа корпуса 13</v>
          </cell>
          <cell r="C22"/>
          <cell r="D22"/>
          <cell r="E22"/>
          <cell r="F22"/>
          <cell r="G22">
            <v>378.45903333333348</v>
          </cell>
          <cell r="H22">
            <v>3.7781149999999997</v>
          </cell>
          <cell r="I22">
            <v>0.98230989999999996</v>
          </cell>
          <cell r="J22">
            <v>383.21945823333351</v>
          </cell>
          <cell r="K22">
            <v>98.399348666666711</v>
          </cell>
          <cell r="L22"/>
          <cell r="M22"/>
          <cell r="N22">
            <v>481.61880690000021</v>
          </cell>
          <cell r="O22">
            <v>0.8</v>
          </cell>
          <cell r="P22">
            <v>1125.1848273329672</v>
          </cell>
          <cell r="Q22">
            <v>1130</v>
          </cell>
          <cell r="R22">
            <v>1040</v>
          </cell>
          <cell r="S22">
            <v>8.6538461538461453E-2</v>
          </cell>
        </row>
        <row r="23">
          <cell r="B23" t="str">
            <v>КФ крепежа корпуса 14</v>
          </cell>
          <cell r="C23"/>
          <cell r="D23"/>
          <cell r="E23"/>
          <cell r="F23"/>
          <cell r="G23">
            <v>110.78547333333337</v>
          </cell>
          <cell r="H23">
            <v>3.7781149999999997</v>
          </cell>
          <cell r="I23">
            <v>0.98230989999999996</v>
          </cell>
          <cell r="J23">
            <v>115.54589823333338</v>
          </cell>
          <cell r="K23">
            <v>28.804223066666676</v>
          </cell>
          <cell r="L23"/>
          <cell r="M23"/>
          <cell r="N23">
            <v>144.35012130000004</v>
          </cell>
          <cell r="O23">
            <v>0.8</v>
          </cell>
          <cell r="P23">
            <v>337.23883698785295</v>
          </cell>
          <cell r="Q23">
            <v>340</v>
          </cell>
          <cell r="R23">
            <v>310</v>
          </cell>
          <cell r="S23">
            <v>9.6774193548387011E-2</v>
          </cell>
        </row>
        <row r="24">
          <cell r="B24" t="str">
            <v>КФ крепежа корпуса 15</v>
          </cell>
          <cell r="C24"/>
          <cell r="D24"/>
          <cell r="E24"/>
          <cell r="F24"/>
          <cell r="G24">
            <v>251.76796333333337</v>
          </cell>
          <cell r="H24">
            <v>3.7781149999999997</v>
          </cell>
          <cell r="I24">
            <v>0.98230989999999996</v>
          </cell>
          <cell r="J24">
            <v>256.52838823333337</v>
          </cell>
          <cell r="K24">
            <v>65.45967046666668</v>
          </cell>
          <cell r="L24"/>
          <cell r="M24"/>
          <cell r="N24">
            <v>321.98805870000007</v>
          </cell>
          <cell r="O24">
            <v>0.8</v>
          </cell>
          <cell r="P24">
            <v>752.24653406622735</v>
          </cell>
          <cell r="Q24">
            <v>750</v>
          </cell>
          <cell r="R24">
            <v>700</v>
          </cell>
          <cell r="S24">
            <v>7.1428571428571397E-2</v>
          </cell>
        </row>
        <row r="25">
          <cell r="B25" t="str">
            <v>КФ крепежа корпуса 16</v>
          </cell>
          <cell r="C25"/>
          <cell r="D25"/>
          <cell r="E25"/>
          <cell r="F25"/>
          <cell r="G25">
            <v>197.66714000000005</v>
          </cell>
          <cell r="H25">
            <v>3.7781149999999997</v>
          </cell>
          <cell r="I25">
            <v>0.98230989999999996</v>
          </cell>
          <cell r="J25">
            <v>202.42756490000002</v>
          </cell>
          <cell r="K25">
            <v>51.393456400000012</v>
          </cell>
          <cell r="L25"/>
          <cell r="M25"/>
          <cell r="N25">
            <v>253.82102130000004</v>
          </cell>
          <cell r="O25">
            <v>0.8</v>
          </cell>
          <cell r="P25">
            <v>592.99088393825298</v>
          </cell>
          <cell r="Q25">
            <v>590</v>
          </cell>
          <cell r="R25">
            <v>550</v>
          </cell>
          <cell r="S25">
            <v>7.2727272727272751E-2</v>
          </cell>
        </row>
        <row r="26">
          <cell r="B26" t="str">
            <v>КФ опора пластиковая 120</v>
          </cell>
          <cell r="C26"/>
          <cell r="D26"/>
          <cell r="E26"/>
          <cell r="F26"/>
          <cell r="G26">
            <v>75.918500000000009</v>
          </cell>
          <cell r="H26">
            <v>3.7781149999999997</v>
          </cell>
          <cell r="I26">
            <v>0.98230989999999996</v>
          </cell>
          <cell r="J26">
            <v>80.678924900000013</v>
          </cell>
          <cell r="K26">
            <v>19.738810000000004</v>
          </cell>
          <cell r="L26"/>
          <cell r="M26"/>
          <cell r="N26">
            <v>100.41773490000001</v>
          </cell>
          <cell r="O26">
            <v>0.8</v>
          </cell>
          <cell r="P26">
            <v>234.60153566653446</v>
          </cell>
          <cell r="Q26">
            <v>270</v>
          </cell>
          <cell r="R26">
            <v>250</v>
          </cell>
          <cell r="S26">
            <v>8.0000000000000071E-2</v>
          </cell>
        </row>
        <row r="27">
          <cell r="B27" t="str">
            <v>КФ опора пластиковая 150</v>
          </cell>
          <cell r="C27"/>
          <cell r="D27"/>
          <cell r="E27"/>
          <cell r="F27"/>
          <cell r="G27">
            <v>89.481000000000009</v>
          </cell>
          <cell r="H27">
            <v>3.7781149999999997</v>
          </cell>
          <cell r="I27">
            <v>0.98230989999999996</v>
          </cell>
          <cell r="J27">
            <v>94.241424900000013</v>
          </cell>
          <cell r="K27">
            <v>23.265060000000002</v>
          </cell>
          <cell r="L27"/>
          <cell r="M27"/>
          <cell r="N27">
            <v>117.50648490000002</v>
          </cell>
          <cell r="O27">
            <v>0.8</v>
          </cell>
          <cell r="P27">
            <v>274.52523038653447</v>
          </cell>
          <cell r="Q27">
            <v>270</v>
          </cell>
          <cell r="R27">
            <v>250</v>
          </cell>
          <cell r="S27">
            <v>8.0000000000000071E-2</v>
          </cell>
        </row>
        <row r="59">
          <cell r="B59" t="str">
            <v>КФ петля полунакладная угловая 45/95 град. с крестообр. Планкой</v>
          </cell>
          <cell r="C59"/>
          <cell r="D59"/>
          <cell r="E59"/>
          <cell r="F59"/>
          <cell r="G59">
            <v>354.16678298611112</v>
          </cell>
          <cell r="H59">
            <v>3.7781149999999997</v>
          </cell>
          <cell r="I59">
            <v>0.98230989999999996</v>
          </cell>
          <cell r="J59">
            <v>358.92720788611115</v>
          </cell>
          <cell r="K59">
            <v>92.083363576388891</v>
          </cell>
          <cell r="L59"/>
          <cell r="M59"/>
          <cell r="N59">
            <v>451.01057146250002</v>
          </cell>
          <cell r="O59">
            <v>0.4</v>
          </cell>
          <cell r="P59">
            <v>819.52589727765144</v>
          </cell>
          <cell r="Q59">
            <v>820</v>
          </cell>
          <cell r="R59">
            <v>760</v>
          </cell>
          <cell r="S59">
            <v>7.8947368421052655E-2</v>
          </cell>
        </row>
        <row r="60">
          <cell r="B60" t="str">
            <v>KFP-SB-GT45</v>
          </cell>
          <cell r="C60"/>
          <cell r="D60"/>
          <cell r="E60"/>
          <cell r="F60"/>
          <cell r="G60">
            <v>757.5920000000001</v>
          </cell>
          <cell r="H60">
            <v>3.7781149999999997</v>
          </cell>
          <cell r="I60">
            <v>0.98230989999999996</v>
          </cell>
          <cell r="J60">
            <v>762.35242490000007</v>
          </cell>
          <cell r="K60">
            <v>196.97392000000002</v>
          </cell>
          <cell r="L60"/>
          <cell r="M60"/>
          <cell r="N60">
            <v>959.32634490000009</v>
          </cell>
          <cell r="O60"/>
          <cell r="P60">
            <v>1556.4110619657602</v>
          </cell>
          <cell r="Q60">
            <v>1560</v>
          </cell>
          <cell r="R60">
            <v>1440</v>
          </cell>
          <cell r="S60">
            <v>8.3333333333333259E-2</v>
          </cell>
        </row>
        <row r="61">
          <cell r="B61" t="str">
            <v>KFP-SB-N45</v>
          </cell>
          <cell r="C61"/>
          <cell r="D61"/>
          <cell r="E61"/>
          <cell r="F61"/>
          <cell r="G61">
            <v>61.917000000000002</v>
          </cell>
          <cell r="H61">
            <v>3.7781149999999997</v>
          </cell>
          <cell r="I61">
            <v>0.98230989999999996</v>
          </cell>
          <cell r="J61">
            <v>66.677424900000005</v>
          </cell>
          <cell r="K61">
            <v>16.098420000000001</v>
          </cell>
          <cell r="L61"/>
          <cell r="M61"/>
          <cell r="N61">
            <v>82.77584490000001</v>
          </cell>
          <cell r="O61">
            <v>0.8</v>
          </cell>
          <cell r="P61">
            <v>193.38556430269443</v>
          </cell>
          <cell r="Q61">
            <v>190</v>
          </cell>
          <cell r="R61">
            <v>180</v>
          </cell>
          <cell r="S61">
            <v>5.555555555555558E-2</v>
          </cell>
        </row>
        <row r="62">
          <cell r="B62" t="str">
            <v>КФ петли вклад. 95 гр. с крестообр. Планкой</v>
          </cell>
          <cell r="C62"/>
          <cell r="D62"/>
          <cell r="E62"/>
          <cell r="F62"/>
          <cell r="G62">
            <v>632.12366666666662</v>
          </cell>
          <cell r="H62">
            <v>3.7781149999999997</v>
          </cell>
          <cell r="I62">
            <v>0.98230989999999996</v>
          </cell>
          <cell r="J62">
            <v>636.8840915666666</v>
          </cell>
          <cell r="K62">
            <v>164.35215333333332</v>
          </cell>
          <cell r="L62"/>
          <cell r="M62"/>
          <cell r="N62">
            <v>801.23624489999997</v>
          </cell>
          <cell r="O62"/>
          <cell r="P62">
            <v>1299.9256837257601</v>
          </cell>
          <cell r="Q62">
            <v>1300</v>
          </cell>
          <cell r="R62">
            <v>1200</v>
          </cell>
          <cell r="S62">
            <v>8.3333333333333259E-2</v>
          </cell>
        </row>
        <row r="63">
          <cell r="B63" t="str">
            <v>KFP-SB-GT90</v>
          </cell>
          <cell r="C63"/>
          <cell r="D63"/>
          <cell r="E63"/>
          <cell r="F63"/>
          <cell r="G63">
            <v>741.0920000000001</v>
          </cell>
          <cell r="H63">
            <v>3.7781149999999997</v>
          </cell>
          <cell r="I63">
            <v>0.98230989999999996</v>
          </cell>
          <cell r="J63">
            <v>745.85242490000007</v>
          </cell>
          <cell r="K63">
            <v>192.68392000000003</v>
          </cell>
          <cell r="L63"/>
          <cell r="M63"/>
          <cell r="N63">
            <v>938.53634490000013</v>
          </cell>
          <cell r="O63"/>
          <cell r="P63">
            <v>1522.6813659657601</v>
          </cell>
          <cell r="Q63">
            <v>1300</v>
          </cell>
          <cell r="R63">
            <v>1410</v>
          </cell>
          <cell r="S63">
            <v>-7.8014184397163122E-2</v>
          </cell>
        </row>
        <row r="64">
          <cell r="B64" t="str">
            <v>KFP-SB-PY94</v>
          </cell>
          <cell r="C64"/>
          <cell r="D64"/>
          <cell r="E64"/>
          <cell r="F64"/>
          <cell r="G64">
            <v>158.99416666666667</v>
          </cell>
          <cell r="H64">
            <v>3.7781149999999997</v>
          </cell>
          <cell r="I64">
            <v>0.98230989999999996</v>
          </cell>
          <cell r="J64">
            <v>163.75459156666668</v>
          </cell>
          <cell r="K64">
            <v>41.338483333333336</v>
          </cell>
          <cell r="L64"/>
          <cell r="M64"/>
          <cell r="N64">
            <v>205.0930749</v>
          </cell>
          <cell r="O64">
            <v>0.8</v>
          </cell>
          <cell r="P64">
            <v>479.14992679357442</v>
          </cell>
          <cell r="Q64">
            <v>480</v>
          </cell>
          <cell r="R64">
            <v>440</v>
          </cell>
          <cell r="S64">
            <v>9.0909090909090828E-2</v>
          </cell>
        </row>
        <row r="65">
          <cell r="B65" t="str">
            <v>KFP-SB-P95</v>
          </cell>
          <cell r="C65"/>
          <cell r="D65"/>
          <cell r="E65"/>
          <cell r="F65"/>
          <cell r="G65">
            <v>63.992000000000004</v>
          </cell>
          <cell r="H65">
            <v>3.7781149999999997</v>
          </cell>
          <cell r="I65">
            <v>0.98230989999999996</v>
          </cell>
          <cell r="J65">
            <v>68.752424900000008</v>
          </cell>
          <cell r="K65">
            <v>16.637920000000001</v>
          </cell>
          <cell r="L65"/>
          <cell r="M65"/>
          <cell r="N65">
            <v>85.390344900000002</v>
          </cell>
          <cell r="O65">
            <v>0.8</v>
          </cell>
          <cell r="P65">
            <v>199.49370561469439</v>
          </cell>
          <cell r="Q65">
            <v>200</v>
          </cell>
          <cell r="R65">
            <v>180</v>
          </cell>
          <cell r="S65">
            <v>0.11111111111111116</v>
          </cell>
        </row>
        <row r="66">
          <cell r="B66" t="str">
            <v>КФ петли накл.110 гр. с крестообр. Планкой</v>
          </cell>
          <cell r="C66"/>
          <cell r="D66"/>
          <cell r="E66"/>
          <cell r="F66"/>
          <cell r="G66">
            <v>218.49386631944446</v>
          </cell>
          <cell r="H66">
            <v>3.7781149999999997</v>
          </cell>
          <cell r="I66">
            <v>0.98230989999999996</v>
          </cell>
          <cell r="J66">
            <v>223.25429121944447</v>
          </cell>
          <cell r="K66">
            <v>56.80840524305556</v>
          </cell>
          <cell r="L66"/>
          <cell r="M66"/>
          <cell r="N66">
            <v>280.06269646250001</v>
          </cell>
          <cell r="O66"/>
          <cell r="P66">
            <v>454.37371874076013</v>
          </cell>
          <cell r="Q66">
            <v>450</v>
          </cell>
          <cell r="R66">
            <v>420</v>
          </cell>
          <cell r="S66">
            <v>7.1428571428571397E-2</v>
          </cell>
        </row>
        <row r="67">
          <cell r="B67" t="str">
            <v>KFP-SB-GT110</v>
          </cell>
          <cell r="C67"/>
          <cell r="D67"/>
          <cell r="E67"/>
          <cell r="F67"/>
          <cell r="G67">
            <v>317.5920000000001</v>
          </cell>
          <cell r="H67">
            <v>3.7781149999999997</v>
          </cell>
          <cell r="I67">
            <v>0.98230989999999996</v>
          </cell>
          <cell r="J67">
            <v>322.35242490000013</v>
          </cell>
          <cell r="K67">
            <v>82.57392000000003</v>
          </cell>
          <cell r="L67"/>
          <cell r="M67"/>
          <cell r="N67">
            <v>404.92634490000017</v>
          </cell>
          <cell r="O67"/>
          <cell r="P67">
            <v>656.95250196576023</v>
          </cell>
          <cell r="Q67">
            <v>660</v>
          </cell>
          <cell r="R67">
            <v>610</v>
          </cell>
          <cell r="S67">
            <v>8.1967213114754189E-2</v>
          </cell>
        </row>
        <row r="68">
          <cell r="B68" t="str">
            <v>КФ петли SENS накл.110 гр. с крестообр. Планкой</v>
          </cell>
          <cell r="C68"/>
          <cell r="D68"/>
          <cell r="E68"/>
          <cell r="F68"/>
          <cell r="G68">
            <v>240.64200000000002</v>
          </cell>
          <cell r="H68">
            <v>3.7781149999999997</v>
          </cell>
          <cell r="I68">
            <v>0.98230989999999996</v>
          </cell>
          <cell r="J68">
            <v>245.4024249</v>
          </cell>
          <cell r="K68">
            <v>62.56692000000001</v>
          </cell>
          <cell r="L68"/>
          <cell r="M68"/>
          <cell r="N68">
            <v>307.96934490000001</v>
          </cell>
          <cell r="O68"/>
          <cell r="P68">
            <v>499.64946516576003</v>
          </cell>
          <cell r="Q68">
            <v>500</v>
          </cell>
          <cell r="R68">
            <v>340</v>
          </cell>
          <cell r="S68">
            <v>0.47058823529411775</v>
          </cell>
        </row>
        <row r="69">
          <cell r="B69" t="str">
            <v>KFP-SB-N110</v>
          </cell>
          <cell r="C69"/>
          <cell r="D69"/>
          <cell r="E69"/>
          <cell r="F69"/>
          <cell r="G69">
            <v>59.300333333333334</v>
          </cell>
          <cell r="H69">
            <v>3.7781149999999997</v>
          </cell>
          <cell r="I69">
            <v>0.98230989999999996</v>
          </cell>
          <cell r="J69">
            <v>64.060758233333331</v>
          </cell>
          <cell r="K69">
            <v>15.418086666666667</v>
          </cell>
          <cell r="L69"/>
          <cell r="M69"/>
          <cell r="N69">
            <v>79.478844899999999</v>
          </cell>
          <cell r="O69"/>
          <cell r="P69">
            <v>128.94647796575998</v>
          </cell>
          <cell r="Q69">
            <v>130</v>
          </cell>
          <cell r="R69">
            <v>120</v>
          </cell>
          <cell r="S69">
            <v>8.3333333333333259E-2</v>
          </cell>
        </row>
        <row r="70">
          <cell r="B70" t="str">
            <v>КФ Aventos HK-S 02_Gr</v>
          </cell>
          <cell r="C70"/>
          <cell r="D70"/>
          <cell r="E70"/>
          <cell r="F70"/>
          <cell r="G70">
            <v>1834.7240000000002</v>
          </cell>
          <cell r="H70">
            <v>3.7781149999999997</v>
          </cell>
          <cell r="I70">
            <v>0.98230989999999996</v>
          </cell>
          <cell r="J70">
            <v>1839.4844249000002</v>
          </cell>
          <cell r="K70">
            <v>477.02824000000004</v>
          </cell>
          <cell r="L70"/>
          <cell r="M70"/>
          <cell r="N70">
            <v>2316.5126649000003</v>
          </cell>
          <cell r="O70"/>
          <cell r="P70">
            <v>3758.3101475337612</v>
          </cell>
          <cell r="Q70">
            <v>6080</v>
          </cell>
          <cell r="R70">
            <v>3470</v>
          </cell>
          <cell r="S70">
            <v>0.75216138328530269</v>
          </cell>
        </row>
        <row r="71">
          <cell r="B71" t="str">
            <v>КФ Aventos HK-S 04_Gr</v>
          </cell>
          <cell r="C71"/>
          <cell r="D71"/>
          <cell r="E71"/>
          <cell r="F71"/>
          <cell r="G71">
            <v>1870.4906666666666</v>
          </cell>
          <cell r="H71">
            <v>3.7781149999999997</v>
          </cell>
          <cell r="I71">
            <v>0.98230989999999996</v>
          </cell>
          <cell r="J71">
            <v>1875.2510915666667</v>
          </cell>
          <cell r="K71">
            <v>486.32757333333331</v>
          </cell>
          <cell r="L71"/>
          <cell r="M71"/>
          <cell r="N71">
            <v>2361.5786649000001</v>
          </cell>
          <cell r="O71"/>
          <cell r="P71">
            <v>3831.4252259337604</v>
          </cell>
          <cell r="Q71">
            <v>6080</v>
          </cell>
          <cell r="R71">
            <v>3540</v>
          </cell>
          <cell r="S71">
            <v>0.71751412429378525</v>
          </cell>
        </row>
        <row r="72">
          <cell r="B72" t="str">
            <v>КФ Aventos HK 03_Gr</v>
          </cell>
          <cell r="C72"/>
          <cell r="D72"/>
          <cell r="E72"/>
          <cell r="F72"/>
          <cell r="G72">
            <v>2518.5752000000002</v>
          </cell>
          <cell r="H72">
            <v>3.7781149999999997</v>
          </cell>
          <cell r="I72">
            <v>0.98230989999999996</v>
          </cell>
          <cell r="J72">
            <v>2523.3356249000003</v>
          </cell>
          <cell r="K72">
            <v>654.82955200000004</v>
          </cell>
          <cell r="L72"/>
          <cell r="M72"/>
          <cell r="N72">
            <v>3178.1651769000005</v>
          </cell>
          <cell r="O72"/>
          <cell r="P72">
            <v>5156.2551830025604</v>
          </cell>
          <cell r="Q72">
            <v>5160</v>
          </cell>
          <cell r="R72">
            <v>4770</v>
          </cell>
          <cell r="S72">
            <v>8.1761006289308158E-2</v>
          </cell>
        </row>
        <row r="73">
          <cell r="B73" t="str">
            <v>KFP-SP-PPGK</v>
          </cell>
          <cell r="C73"/>
          <cell r="D73"/>
          <cell r="E73"/>
          <cell r="F73"/>
          <cell r="G73">
            <v>2972.7573333333339</v>
          </cell>
          <cell r="H73">
            <v>3.7781149999999997</v>
          </cell>
          <cell r="I73">
            <v>0.98230989999999996</v>
          </cell>
          <cell r="J73">
            <v>2977.517758233334</v>
          </cell>
          <cell r="K73">
            <v>772.91690666666682</v>
          </cell>
          <cell r="L73"/>
          <cell r="M73"/>
          <cell r="N73">
            <v>3750.4346649000008</v>
          </cell>
          <cell r="O73"/>
          <cell r="P73">
            <v>6084.7052003337612</v>
          </cell>
          <cell r="Q73">
            <v>6080</v>
          </cell>
          <cell r="R73">
            <v>3460</v>
          </cell>
          <cell r="S73">
            <v>0.75722543352601157</v>
          </cell>
        </row>
        <row r="74">
          <cell r="B74" t="str">
            <v>KFP-SP-PPGK_71</v>
          </cell>
          <cell r="C74"/>
          <cell r="D74"/>
          <cell r="E74"/>
          <cell r="F74"/>
          <cell r="G74">
            <v>3388.8213333333338</v>
          </cell>
          <cell r="H74">
            <v>3.7781149999999997</v>
          </cell>
          <cell r="I74">
            <v>0.98230989999999996</v>
          </cell>
          <cell r="J74">
            <v>3393.5817582333339</v>
          </cell>
          <cell r="K74">
            <v>881.09354666666684</v>
          </cell>
          <cell r="L74"/>
          <cell r="M74"/>
          <cell r="N74">
            <v>4274.6753049000008</v>
          </cell>
          <cell r="O74"/>
          <cell r="P74">
            <v>6935.2332146697609</v>
          </cell>
          <cell r="Q74">
            <v>6940</v>
          </cell>
          <cell r="R74">
            <v>6410</v>
          </cell>
          <cell r="S74">
            <v>8.2683307332293232E-2</v>
          </cell>
        </row>
        <row r="75">
          <cell r="B75" t="str">
            <v>KFP-SB-PPHF_G</v>
          </cell>
          <cell r="C75"/>
          <cell r="D75"/>
          <cell r="E75"/>
          <cell r="F75"/>
          <cell r="G75">
            <v>6838.2068333333327</v>
          </cell>
          <cell r="H75">
            <v>3.7781149999999997</v>
          </cell>
          <cell r="I75">
            <v>0.98230989999999996</v>
          </cell>
          <cell r="J75">
            <v>6842.9672582333324</v>
          </cell>
          <cell r="K75">
            <v>1777.9337766666665</v>
          </cell>
          <cell r="L75"/>
          <cell r="M75"/>
          <cell r="N75">
            <v>8620.9010348999982</v>
          </cell>
          <cell r="O75"/>
          <cell r="P75">
            <v>13986.549839021758</v>
          </cell>
          <cell r="Q75">
            <v>13990</v>
          </cell>
          <cell r="R75">
            <v>12930</v>
          </cell>
          <cell r="S75">
            <v>8.1979891724671239E-2</v>
          </cell>
        </row>
        <row r="76">
          <cell r="B76" t="str">
            <v>KFP-SP-PPA</v>
          </cell>
          <cell r="C76"/>
          <cell r="D76"/>
          <cell r="E76"/>
          <cell r="F76"/>
          <cell r="G76">
            <v>1115.3523333333333</v>
          </cell>
          <cell r="H76">
            <v>3.7781149999999997</v>
          </cell>
          <cell r="I76">
            <v>0.98230989999999996</v>
          </cell>
          <cell r="J76">
            <v>1120.1127582333334</v>
          </cell>
          <cell r="K76">
            <v>289.99160666666666</v>
          </cell>
          <cell r="L76"/>
          <cell r="M76"/>
          <cell r="N76">
            <v>1410.1043649000001</v>
          </cell>
          <cell r="O76"/>
          <cell r="P76">
            <v>2287.7533216137599</v>
          </cell>
          <cell r="Q76">
            <v>2290</v>
          </cell>
          <cell r="R76">
            <v>2120</v>
          </cell>
          <cell r="S76">
            <v>8.0188679245283057E-2</v>
          </cell>
        </row>
      </sheetData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6A411DD-54E4-4F8A-8614-345EC598C3AB}" name="Прайс" displayName="Прайс" ref="A1:CD89" totalsRowShown="0" headerRowDxfId="208" dataDxfId="207">
  <autoFilter ref="A1:CD89" xr:uid="{B6A411DD-54E4-4F8A-8614-345EC598C3AB}"/>
  <tableColumns count="82">
    <tableColumn id="1" xr3:uid="{244EF146-2FB2-42B0-89AD-BC68C073628F}" name="Артикул" dataDxfId="206"/>
    <tableColumn id="2" xr3:uid="{E9E197D6-D015-400F-BBF0-C74C736B39E0}" name="Тип" dataDxfId="205"/>
    <tableColumn id="4" xr3:uid="{C373308D-47ED-427E-88F8-A9B3AEC5889F}" name="Варианты наполнения" dataDxfId="204"/>
    <tableColumn id="16" xr3:uid="{3526EDBE-4544-46B2-904E-78713571F802}" name="Вид модуля" dataDxfId="203"/>
    <tableColumn id="15" xr3:uid="{259A8B8F-A346-4065-8898-BE7B616DA4DC}" name="Профиль Gola" dataDxfId="202"/>
    <tableColumn id="3" xr3:uid="{9487BA3B-B8B3-423B-BBA1-A7C3B0201659}" name="Признаки для фильтров" dataDxfId="201"/>
    <tableColumn id="6" xr3:uid="{6657D323-708D-490F-934C-D93CA8D44D3D}" name="Высота min" dataDxfId="200"/>
    <tableColumn id="7" xr3:uid="{2EFED285-F303-4C73-A938-4E18FE85EFAD}" name="Высота max" dataDxfId="199"/>
    <tableColumn id="8" xr3:uid="{B0E436A3-EEA3-4496-822A-D979DCE166F6}" name="Ширина min" dataDxfId="198"/>
    <tableColumn id="9" xr3:uid="{B9B1EF59-46D8-418E-9C90-4AF710E40F22}" name="Ширина max" dataDxfId="197"/>
    <tableColumn id="10" xr3:uid="{DFC2098D-52BC-4A64-8019-99B30228E5C0}" name="Глубина min" dataDxfId="196"/>
    <tableColumn id="11" xr3:uid="{0F631E4C-75A0-4051-8353-40DDE4FB0D0C}" name="Глубина max" dataDxfId="195"/>
    <tableColumn id="14" xr3:uid="{7CEDF3A3-1C3F-4BE6-B422-A3497D28B60F}" name="Количество полок" dataDxfId="194"/>
    <tableColumn id="12" xr3:uid="{CDFC7975-1F4A-4D16-8354-E26DDCD4397C}" name="Комментарий" dataDxfId="193"/>
    <tableColumn id="5" xr3:uid="{491DC64E-1A6E-4844-B503-C2C858B48F8F}" name="Базовая цена" dataDxfId="192"/>
    <tableColumn id="28" xr3:uid="{EBB80AFB-D155-4FEC-AFA8-5CA38369E072}" name="КФ НСТ11" dataDxfId="191"/>
    <tableColumn id="27" xr3:uid="{CBFCC08D-435F-4D14-9237-DBC966484E7C}" name="КФ НСТ1" dataDxfId="190"/>
    <tableColumn id="13" xr3:uid="{ED748688-578F-4B70-BED3-DF69514981F0}" name="КФ крепежа корпуса 1" dataDxfId="189">
      <calculatedColumnFormula>'комплекты фурнитуры'!Q10</calculatedColumnFormula>
    </tableColumn>
    <tableColumn id="18" xr3:uid="{C97A5013-CBEE-487D-951B-6C81E4A7AC55}" name="КФ крепежа корпуса 2" dataDxfId="188"/>
    <tableColumn id="19" xr3:uid="{E76E0229-FD99-460D-A6DC-512E0BF4E97A}" name="КФ крепежа корпуса 4" dataDxfId="187"/>
    <tableColumn id="20" xr3:uid="{F25E07D8-C520-4467-8FE7-E89C5DB70B0F}" name="КФ крепежа корпуса 6" dataDxfId="186"/>
    <tableColumn id="21" xr3:uid="{2DAD658B-F7CB-4A20-B265-0005D6437D71}" name="КФ крепежа корпуса 7" dataDxfId="185"/>
    <tableColumn id="23" xr3:uid="{1B2375D3-DCC7-47E9-80B6-2C8B369001C5}" name="КФ крепежа корпуса 9" dataDxfId="184"/>
    <tableColumn id="32" xr3:uid="{5FC4BD95-7026-4728-9321-54AD821DB1D0}" name="КФ крепежа корпуса 10" dataDxfId="183"/>
    <tableColumn id="22" xr3:uid="{D1EED17F-DA10-4FC1-992B-84A2473F1A07}" name="КФ крепежа корпуса 11" dataDxfId="182"/>
    <tableColumn id="33" xr3:uid="{A691C489-3513-434E-B8C3-4D39E2A158AB}" name="КФ крепежа корпуса 12" dataDxfId="181"/>
    <tableColumn id="29" xr3:uid="{76F3AFCC-4E23-405B-89AE-8D6FDFA3FF11}" name="КФ крепежа корпуса 13" dataDxfId="180"/>
    <tableColumn id="31" xr3:uid="{F07D89AA-E635-4965-8AA3-57D02FB91704}" name="КФ НСТ 14" dataDxfId="179"/>
    <tableColumn id="30" xr3:uid="{80FADF67-BF3A-4DAB-913C-EA9BA1C84CD9}" name="КФ крепежа корпуса 15" dataDxfId="178"/>
    <tableColumn id="24" xr3:uid="{87B6078A-6FAD-4498-A328-FD81FC7FD510}" name="КФ крепежа корпуса 16" dataDxfId="177"/>
    <tableColumn id="17" xr3:uid="{5B2E565F-938F-4C78-BB65-1F2802A24FC5}" name="КФ опора пластиковая 120" dataDxfId="176"/>
    <tableColumn id="25" xr3:uid="{6F8FCB9B-78F7-4E72-A350-4BB3A20C8EB3}" name="KFPr-SB-POD" dataDxfId="175"/>
    <tableColumn id="26" xr3:uid="{D5E1C33E-3342-477B-8544-E7A79E3BBC5E}" name="KFPr-SB-ZPG" dataDxfId="174"/>
    <tableColumn id="34" xr3:uid="{290E297F-71F1-4EF2-8A6F-94B834943A03}" name="КФ корпуса" dataDxfId="173">
      <calculatedColumnFormula>SUM(Прайс[[#This Row],[КФ НСТ11]:[KFPr-SB-ZPG]])</calculatedColumnFormula>
    </tableColumn>
    <tableColumn id="65" xr3:uid="{CCE4C4AA-FDC1-4A4C-A6D6-59B6ABF07D40}" name=" KFPr-SB-StK " dataDxfId="172"/>
    <tableColumn id="67" xr3:uid="{F04C1A69-1B5A-450B-8ACD-CF6240A49F46}" name="KFPr-SB-SPL" dataDxfId="171"/>
    <tableColumn id="66" xr3:uid="{8855FBE2-EA1B-412E-967A-04B7EEF0D462}" name="KFPr-SB-SMRZ_16мм" dataDxfId="170"/>
    <tableColumn id="68" xr3:uid="{CD98CCBA-39DF-4E4D-B751-90857AE86D0D}" name="КФ KEKU" dataDxfId="169"/>
    <tableColumn id="38" xr3:uid="{0B3A342F-ACDA-4E8C-A3BB-272F0EAD3983}" name="КФ петли SENS накл.110 гр. с крестообр. Планкой" dataDxfId="168"/>
    <tableColumn id="39" xr3:uid="{D8E42B09-DA91-43E3-88E2-3744E9609331}" name="KFP-SB-N110" dataDxfId="167"/>
    <tableColumn id="43" xr3:uid="{0C08449F-84E9-4D52-9A34-A9E6F062A42B}" name="КФ петли вклад. 95 гр. с крестообр. планкой" dataDxfId="166"/>
    <tableColumn id="44" xr3:uid="{20740129-5689-4ADA-BC82-18601D41BE66}" name="KFP-SB-PY94" dataDxfId="165"/>
    <tableColumn id="45" xr3:uid="{C58A7BD9-7F27-4E2A-8A7D-8993CF9D1B44}" name="КKFP-SB-GT45" dataDxfId="164"/>
    <tableColumn id="46" xr3:uid="{EA47B16B-24E3-4669-BCC6-4D10352115BD}" name="KFP-SB-N45" dataDxfId="163"/>
    <tableColumn id="61" xr3:uid="{77162D3C-DEBF-41ED-8D9C-6B324B0B34D6}" name="KFS-SB-45 (посудосушители)" dataDxfId="162"/>
    <tableColumn id="62" xr3:uid="{60DFC635-EC03-4DA5-9F1F-A274C5F766BE}" name="КФ Сушка AFF 600" dataDxfId="161"/>
    <tableColumn id="64" xr3:uid="{3218371B-081C-4144-9490-2129F71749B7}" name="КФ Сушка AFF 800" dataDxfId="160"/>
    <tableColumn id="63" xr3:uid="{3EA2A3F9-E872-4B9A-A20E-57B5568F095B}" name="КФ Сушка AFF 900" dataDxfId="159"/>
    <tableColumn id="56" xr3:uid="{4E28104D-EF7B-4E2E-8C57-FEB3C8A5F956}" name="KFP-SP-PPGK" dataDxfId="158"/>
    <tableColumn id="57" xr3:uid="{211F9D6D-49D0-464F-88C1-85C7CBE083C0}" name="KFP-SP-PPGK_71_x000a_" dataDxfId="157"/>
    <tableColumn id="58" xr3:uid="{3DCAA265-92DB-4B37-8C89-B111F9805E4C}" name="KFP-SP-PPA" dataDxfId="156"/>
    <tableColumn id="59" xr3:uid="{FE70647D-4BEA-43C9-B3B1-73D6E0E4A61C}" name="KFP-SB-PPHF_W" dataDxfId="155"/>
    <tableColumn id="55" xr3:uid="{81594DF4-0602-442D-AE34-AF4382DF367E}" name="KFN-SB-M54" dataDxfId="154"/>
    <tableColumn id="47" xr3:uid="{5E0D24F4-DA20-452E-825D-868422F8FB68}" name="KFN-SB-DWD95" dataDxfId="153"/>
    <tableColumn id="53" xr3:uid="{A0024684-C217-429E-AEBF-4AA1AAB1B938}" name="KFN-SB-DWD95R" dataDxfId="152"/>
    <tableColumn id="48" xr3:uid="{236E32BD-08D6-45FD-BF28-6DE93E881417}" name="KFN-SB-M86" dataDxfId="151"/>
    <tableColumn id="54" xr3:uid="{6D92F505-EC53-45E7-9F83-9FC8CF81B4EA}" name="KFN-SB-M15" dataDxfId="150"/>
    <tableColumn id="49" xr3:uid="{0BA15EFC-0C23-4EEF-89A3-788F5A1DA22A}" name="KFN-SB-MD" dataDxfId="149"/>
    <tableColumn id="50" xr3:uid="{B10F5262-24B7-495A-97A3-3715D959BA79}" name="КФ ящика Matrix (H=89 мм)_450_GR" dataDxfId="148"/>
    <tableColumn id="69" xr3:uid="{91FEF492-7357-4261-8FE8-93815647308F}" name="КФ ящика Matrix (H=175 мм)_450_GR" dataDxfId="147"/>
    <tableColumn id="51" xr3:uid="{E039F1AB-9656-4B47-869C-9EFC55626F41}" name="Комплект ящика INNOTECH ATIRA полного выдв. с  PUSH TO OPEN , Н70,NL470,цвет серебристый" dataDxfId="146"/>
    <tableColumn id="52" xr3:uid="{5EDCABD0-79AC-4437-8001-4AFC273FD9E7}" name="Комплект короба INNOTECH ATIRA полного выдв. с Push to open, Н176,NL470,рейлинги, цвет серебристый" dataDxfId="145"/>
    <tableColumn id="40" xr3:uid="{F1A933F2-08F8-4B70-91DB-3D28AB3BE3AF}" name="KFS-SB-BYT" dataDxfId="144"/>
    <tableColumn id="41" xr3:uid="{51C1E380-2E1D-451E-83A2-CBA0D818E63F}" name="Корзина с держателем для бутылок 414*500*520 мм" dataDxfId="143"/>
    <tableColumn id="42" xr3:uid="{D01A7E27-37CF-4158-BCF6-8D8ACC6AB5FA}" name="КФ евровинт" dataDxfId="142"/>
    <tableColumn id="60" xr3:uid="{F2C1507E-22CE-4A77-936E-2CE24901A3C5}" name="КФ  крепления профиля Gola" dataDxfId="141"/>
    <tableColumn id="70" xr3:uid="{1272954A-E182-4AE9-BB28-E27FBBD2F571}" name="Профиль Gola для подвесных шкафов алюм.16 мм" dataDxfId="140"/>
    <tableColumn id="35" xr3:uid="{A5B4233C-7C06-4820-B9A4-FA20195C8570}" name="Комплектация №2" dataDxfId="139"/>
    <tableColumn id="36" xr3:uid="{79D7852F-F7B6-4FE6-8058-4623A193C92E}" name="Комплектация №3" dataDxfId="138"/>
    <tableColumn id="37" xr3:uid="{178FF18E-2D49-4276-86AC-A7734F248861}" name="Комплектация №3Т" dataDxfId="137"/>
    <tableColumn id="72" xr3:uid="{0A128738-86E4-4853-B8A7-DB48EABDA6F3}" name="Базовая ширина" dataDxfId="136"/>
    <tableColumn id="73" xr3:uid="{65C4BD3E-E790-4D49-997C-1E56669D4E98}" name="Базовая высота" dataDxfId="135"/>
    <tableColumn id="71" xr3:uid="{7EC0296C-2955-4E3D-9A5F-10337ACB371C}" name="Базовая глубина" dataDxfId="134">
      <calculatedColumnFormula>IF(OR(Прайс[[#This Row],[Тип]]="Нижний",Прайс[[#This Row],[Тип]]="Пенал"),"560",IF(Прайс[[#This Row],[Тип]]="Верхний",315,0))</calculatedColumnFormula>
    </tableColumn>
    <tableColumn id="76" xr3:uid="{839A85B9-F8D2-43C2-93A6-C97215025D0D}" name="Коэфф.высота" dataDxfId="133"/>
    <tableColumn id="78" xr3:uid="{D4F38851-262A-4693-8AD8-0C7FDA55E619}" name="Коэфф.ширина" dataDxfId="132"/>
    <tableColumn id="77" xr3:uid="{26F7B0FF-A98D-4C8D-96D6-9D12D73C3164}" name="Коэфф.глубина" dataDxfId="131"/>
    <tableColumn id="74" xr3:uid="{9C9D74FE-06DD-465B-9EC4-526E0AD42851}" name="Полки min,шт." dataDxfId="130"/>
    <tableColumn id="75" xr3:uid="{F6ACCF36-12D1-4AD7-8C04-71E8A7C3B7A8}" name="Полки max,шт." dataDxfId="129"/>
    <tableColumn id="80" xr3:uid="{43422F97-A6DC-4549-ACB1-3D312C38A5D2}" name="Tip-on" dataDxfId="128"/>
    <tableColumn id="79" xr3:uid="{A330CEAF-C3AA-40D5-86FB-2FEBF5EF4E97}" name="Инфо о комплектации" dataDxfId="127"/>
    <tableColumn id="81" xr3:uid="{B843A559-15F9-440A-8849-081FC64687B8}" name="Полки по умолчанию" dataDxfId="126"/>
    <tableColumn id="82" xr3:uid="{0B1FB40A-CD49-4F2E-817D-0D8EDA07ADEC}" name="Доступ к стеклянным полкам" dataDxfId="0"/>
  </tableColumns>
  <tableStyleInfo name="TableStyleLight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812F239-D308-4FBB-A76A-639F90D8AB6A}" name="Корзина" displayName="Корзина" ref="A1:V20" totalsRowShown="0" headerRowDxfId="125" dataDxfId="124">
  <autoFilter ref="A1:V20" xr:uid="{D4F3A028-0284-448B-B761-F4C0DA488444}"/>
  <tableColumns count="22">
    <tableColumn id="1" xr3:uid="{39D9C31B-7DA2-46D6-9F0B-68FC0131ABF6}" name="Номенклатура" dataDxfId="123"/>
    <tableColumn id="2" xr3:uid="{C7C69AFF-FA90-41CC-A9E2-058EBD7D77CD}" name="Высота" dataDxfId="122"/>
    <tableColumn id="3" xr3:uid="{B7EE3C42-A968-4FEC-88D8-BC496D839D62}" name="Ширина" dataDxfId="121"/>
    <tableColumn id="4" xr3:uid="{98E13676-95F6-4CF2-86C8-F66F2DD26EB4}" name="Глубина" dataDxfId="120"/>
    <tableColumn id="5" xr3:uid="{AB63E985-C950-4885-A9F9-FC55B6FCFC53}" name="Кол-во" dataDxfId="119"/>
    <tableColumn id="6" xr3:uid="{AFE1B10A-AF7D-4798-92CE-5CB9CC64B0C5}" name="Цена корпуса" dataDxfId="118"/>
    <tableColumn id="7" xr3:uid="{928E6D7D-507E-4E4E-8E2D-6B96B2D34BFB}" name="Фасады,м2" dataDxfId="117"/>
    <tableColumn id="8" xr3:uid="{61CD4F81-3C7F-4615-A4AE-C5C068FE6DC8}" name="Полки,шт." dataDxfId="116"/>
    <tableColumn id="9" xr3:uid="{771CB635-6A0A-4512-A84D-09B5616255EB}" name="Полки,м2" dataDxfId="115"/>
    <tableColumn id="10" xr3:uid="{E97FFA62-D0DC-467E-A915-006730AD0246}" name="Цена фасадов" dataDxfId="114"/>
    <tableColumn id="11" xr3:uid="{B7B56644-7D45-42D3-8A92-E3E88AFBCD9A}" name="Цена полок" dataDxfId="113"/>
    <tableColumn id="12" xr3:uid="{E2586CEE-2BA9-436E-9A9D-189C01091482}" name="Цена Gola" dataDxfId="112"/>
    <tableColumn id="13" xr3:uid="{8EDEEE16-2F5D-40C5-8E51-F027E433FCC8}" name="Базовая цена корпуса" dataDxfId="111"/>
    <tableColumn id="14" xr3:uid="{733A331D-D3D6-4C5C-B4C6-81F6E38B42EB}" name="Базовая ширина" dataDxfId="110"/>
    <tableColumn id="15" xr3:uid="{C37697EF-1C5C-4B12-9A58-18EF102E18BA}" name="Тип фасада" dataDxfId="109"/>
    <tableColumn id="16" xr3:uid="{BFAEE921-17D1-482D-8AFE-BCA4592043E3}" name="Комплектация" dataDxfId="108"/>
    <tableColumn id="17" xr3:uid="{901710DC-FA92-41CD-B020-B9B0376A2708}" name="Тип модуля" dataDxfId="107"/>
    <tableColumn id="18" xr3:uid="{71747269-4698-4393-83B1-D40344E3371D}" name="Коллекция" dataDxfId="106"/>
    <tableColumn id="19" xr3:uid="{0FE39BAE-6813-4443-98AC-D1B44EDC361B}" name="Цвет" dataDxfId="105"/>
    <tableColumn id="20" xr3:uid="{CA43E0ED-5159-4517-AE60-3D90A6BD3FD5}" name="Фрезеровка" dataDxfId="104"/>
    <tableColumn id="21" xr3:uid="{4A1B7060-A702-426C-9672-3B4FD0B688DE}" name="Толщина" dataDxfId="103"/>
    <tableColumn id="22" xr3:uid="{AA477E39-2A7C-4888-A82A-496365A4ED5C}" name="Уровень модуля" dataDxfId="102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50882B67-AB0E-4D1D-8D9B-BE8647CCB6FD}" name="Заказ_Столешницы" displayName="Заказ_Столешницы" ref="X1:AD8" totalsRowShown="0">
  <autoFilter ref="X1:AD8" xr:uid="{50882B67-AB0E-4D1D-8D9B-BE8647CCB6FD}"/>
  <tableColumns count="7">
    <tableColumn id="1" xr3:uid="{962CC0D1-8897-4E23-80D6-6C43B85D509B}" name="Производитель"/>
    <tableColumn id="2" xr3:uid="{7CC25ABE-DE07-4A47-B0E8-215761F7BB52}" name="Цвет столешницы"/>
    <tableColumn id="3" xr3:uid="{02706A5A-3241-4915-A470-9CE1224669E1}" name="Толщина столешницы"/>
    <tableColumn id="4" xr3:uid="{DF4CEEA3-2F4D-44A6-91CC-4413EDA49840}" name="Высота"/>
    <tableColumn id="5" xr3:uid="{0FB631AF-3678-45E2-93DA-927A54E37630}" name="Ширина"/>
    <tableColumn id="6" xr3:uid="{25B0E2DC-597E-4CAC-9F65-BCA1270680F0}" name="Кол-во"/>
    <tableColumn id="7" xr3:uid="{8D455528-A68B-42AF-9FE4-BACA36AF6E57}" name="Стоимость"/>
  </tableColumns>
  <tableStyleInfo name="TableStyleLight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9977816A-465D-45DF-89B7-04DD5C9925EB}" name="Фрезеровки_Original" displayName="Фрезеровки_Original" ref="AB1:AF44" totalsRowShown="0" headerRowDxfId="101" dataDxfId="100">
  <autoFilter ref="AB1:AF44" xr:uid="{810477A9-4C52-48FD-BBD6-CB514CF83F06}"/>
  <sortState xmlns:xlrd2="http://schemas.microsoft.com/office/spreadsheetml/2017/richdata2" ref="AB2:AE44">
    <sortCondition ref="AB1:AB44"/>
  </sortState>
  <tableColumns count="5">
    <tableColumn id="1" xr3:uid="{4CA554CA-7710-42A6-833E-28542880D6F6}" name="Фрезеровка" dataDxfId="99"/>
    <tableColumn id="2" xr3:uid="{CBCBEDBF-B07D-49DC-A647-FE89CED753BC}" name="Тип Фрезеровки" dataDxfId="98"/>
    <tableColumn id="3" xr3:uid="{04779E58-2E79-41D0-993D-E64BBDB80A08}" name="Толщина 1" dataDxfId="97"/>
    <tableColumn id="4" xr3:uid="{AFC3B80D-B2E7-403E-B0DA-CE217404C6BD}" name="Толщина 2" dataDxfId="96"/>
    <tableColumn id="7" xr3:uid="{800E6F5F-1CE0-4D8F-A3B4-140DEB6CCFDC}" name="Наличие витрин" dataDxfId="95"/>
  </tableColumns>
  <tableStyleInfo name="TableStyleLight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52DC93A4-44EE-4B06-87E8-B5E336F11412}" name="Пленки_Original" displayName="Пленки_Original" ref="S1:Z105" totalsRowShown="0" headerRowDxfId="94" dataDxfId="93">
  <autoFilter ref="S1:Z105" xr:uid="{CE3ABCD9-BDDA-492C-8977-40561F2525A9}"/>
  <sortState xmlns:xlrd2="http://schemas.microsoft.com/office/spreadsheetml/2017/richdata2" ref="S2:Z105">
    <sortCondition ref="Z1:Z105"/>
  </sortState>
  <tableColumns count="8">
    <tableColumn id="1" xr3:uid="{02159DF2-4672-4E07-9F3B-C9E2EDEFC580}" name="Номер пленки" dataDxfId="92"/>
    <tableColumn id="2" xr3:uid="{73BD45F6-34D0-43B6-98BE-5052519D3482}" name="Коллекция пленок" dataDxfId="91"/>
    <tableColumn id="3" xr3:uid="{70E4A86D-1E11-4D3B-B850-03CC3DC4EA8B}" name="Категория пленки" dataDxfId="90"/>
    <tableColumn id="4" xr3:uid="{0B4C060F-475F-46B8-8CE5-F3C7BC874AFA}" name="Цена 16 мм" dataDxfId="89">
      <calculatedColumnFormula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calculatedColumnFormula>
    </tableColumn>
    <tableColumn id="5" xr3:uid="{613EB39C-B37F-41BF-889B-07B13C8C9446}" name="Цена 18/19 мм" dataDxfId="88">
      <calculatedColumnFormula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calculatedColumnFormula>
    </tableColumn>
    <tableColumn id="6" xr3:uid="{D5110DD2-4FFC-4C6F-A909-69B5D962C9A6}" name="Цена 22 мм" dataDxfId="87">
      <calculatedColumnFormula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calculatedColumnFormula>
    </tableColumn>
    <tableColumn id="7" xr3:uid="{8B6668C4-DA5C-4E8E-9188-B2751F49A75C}" name="Скидка" dataDxfId="86">
      <calculatedColumnFormula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calculatedColumnFormula>
    </tableColumn>
    <tableColumn id="8" xr3:uid="{6C1F8F18-AFC3-462F-BC69-AA91077BF6B7}" name="Сортировка" dataDxfId="85"/>
  </tableColumns>
  <tableStyleInfo name="TableStyleLight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D3C2B7C1-8F92-4C3F-A63D-C92C4719DBB4}" name="Цены_по_категориям" displayName="Цены_по_категориям" ref="K3:P10" totalsRowShown="0" headerRowDxfId="84" dataDxfId="83">
  <autoFilter ref="K3:P10" xr:uid="{F3C19AC2-AE15-4B07-BE4B-6E76B9B89693}"/>
  <tableColumns count="6">
    <tableColumn id="1" xr3:uid="{8E2A4EC6-52B7-4CF2-92DD-1EF56E80EFBD}" name="Коллекция" dataDxfId="82"/>
    <tableColumn id="2" xr3:uid="{060F59E6-9C05-42D3-BC91-8938AB99CC63}" name="Ценовая категория пленки" dataDxfId="81"/>
    <tableColumn id="3" xr3:uid="{E314DE90-CBD4-4FE9-A2D0-CD6F677BF3DE}" name="МДФ 16 мм" dataDxfId="80"/>
    <tableColumn id="4" xr3:uid="{8AF271A8-AFDB-4F65-BDF2-3DB16886F0C5}" name="МДФ 18/19 мм" dataDxfId="79"/>
    <tableColumn id="5" xr3:uid="{5C5591AE-C1DF-473C-B2DE-E2649E3D3375}" name="МДФ 22+ мм" dataDxfId="78"/>
    <tableColumn id="6" xr3:uid="{11B36507-9711-4DD9-9202-10F6B61EB8A3}" name="Скидка" dataDxfId="77"/>
  </tableColumns>
  <tableStyleInfo name="TableStyleLight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8FFF7260-0F53-4B14-80A3-EBA76D2D4370}" name="Полки" displayName="Полки" ref="A19:B22" totalsRowShown="0" headerRowDxfId="76" dataDxfId="75" headerRowCellStyle="Обычный 2" dataCellStyle="Обычный 2">
  <autoFilter ref="A19:B22" xr:uid="{53653E30-EC34-4C7B-BF44-17DB6FE8398B}"/>
  <tableColumns count="2">
    <tableColumn id="1" xr3:uid="{AA7DD623-9EEE-4BD1-9461-E00559B1FBFC}" name="Изделие" dataDxfId="74" dataCellStyle="Обычный 2"/>
    <tableColumn id="2" xr3:uid="{0E0EE42C-FE7B-4F0D-A337-37F464CFF87E}" name="Цена,м2" dataDxfId="73" dataCellStyle="Обычный 2"/>
  </tableColumns>
  <tableStyleInfo name="TableStyleLight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72587AEE-084F-47E0-B5D9-96B21BCCDCAF}" name="Столешницы" displayName="Столешницы" ref="S119:AB148" totalsRowShown="0" headerRowDxfId="72" dataDxfId="71" headerRowCellStyle="Обычный 2" dataCellStyle="Обычный 2">
  <autoFilter ref="S119:AB148" xr:uid="{72587AEE-084F-47E0-B5D9-96B21BCCDCAF}"/>
  <tableColumns count="10">
    <tableColumn id="1" xr3:uid="{C1CBEB58-D72D-4E94-9E7C-F9416D019626}" name="Название" dataDxfId="70"/>
    <tableColumn id="2" xr3:uid="{8EA293B5-92F1-4759-ADEF-C848180BDA6F}" name="Производитель" dataDxfId="69" dataCellStyle="Обычный 2"/>
    <tableColumn id="3" xr3:uid="{739B6914-4D3B-484E-AA74-696EAB757DDE}" name="Толщина" dataDxfId="68" dataCellStyle="Обычный 2"/>
    <tableColumn id="4" xr3:uid="{F76DA758-DCCA-4505-8475-85C54FB91E82}" name="Макс.длина" dataDxfId="67" dataCellStyle="Обычный 2"/>
    <tableColumn id="5" xr3:uid="{CC701F50-3C0E-479E-9F3F-DC9E52223198}" name="Макс Ширина" dataDxfId="66" dataCellStyle="Обычный 2"/>
    <tableColumn id="6" xr3:uid="{4920F4E6-ADAB-4B95-8E58-15D8D9E72C77}" name="600 х 1200" dataDxfId="65" dataCellStyle="Обычный 2"/>
    <tableColumn id="7" xr3:uid="{04B77FC8-EB4D-4C3E-A8E4-E1895151CB1E}" name="600 х 2100" dataDxfId="64" dataCellStyle="Обычный 2"/>
    <tableColumn id="8" xr3:uid="{F7AE2FF9-1B2F-4EDC-99A9-EB7CB8551D99}" name="600 х 3000" dataDxfId="63" dataCellStyle="Обычный 2"/>
    <tableColumn id="10" xr3:uid="{997A78AA-41A1-429C-A3E9-50D66823B73A}" name="601 х 3000" dataDxfId="62" dataCellStyle="Обычный 2"/>
    <tableColumn id="9" xr3:uid="{8CBECB23-2811-4DB4-B52F-11824BE49841}" name="600 х 4200" dataDxfId="61" dataCellStyle="Обычный 2"/>
  </tableColumns>
  <tableStyleInfo name="TableStyleLight1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4A5849B6-19C7-440F-BC58-1ABDB051AE2E}" name="Стекло" displayName="Стекло" ref="A39:B52" totalsRowShown="0" headerRowDxfId="60" dataDxfId="59" tableBorderDxfId="58" headerRowCellStyle="Обычный 2">
  <autoFilter ref="A39:B52" xr:uid="{2EDDD9FE-F82A-4CE3-9033-0059070A82A9}"/>
  <tableColumns count="2">
    <tableColumn id="1" xr3:uid="{FD66DD94-70F7-4270-9602-EC1F380D35D4}" name="Цвет стекла" dataDxfId="57" dataCellStyle="Денежный 2 4"/>
    <tableColumn id="2" xr3:uid="{9BE30F06-5833-4665-9CB0-2D4DD0173678}" name="Цена за м2" dataDxfId="56" dataCellStyle="Обычный 4 2"/>
  </tableColumns>
  <tableStyleInfo name="TableStyleLight1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193100A6-7BB1-4F8E-8F25-C4D17C414D6D}" name="Таблица6" displayName="Таблица6" ref="A25:B33" totalsRowShown="0" headerRowDxfId="55" dataDxfId="54" headerRowCellStyle="Обычный 2">
  <autoFilter ref="A25:B33" xr:uid="{EF6E01D4-F17B-46D6-9C74-1A91633991E6}"/>
  <tableColumns count="2">
    <tableColumn id="1" xr3:uid="{6566BA5A-6251-4507-B4C5-91CA5FB36F9B}" name="Изделие" dataDxfId="53"/>
    <tableColumn id="2" xr3:uid="{7AFC3AD3-8460-444E-B461-2DC3FD886EBF}" name="Цена" dataDxfId="52"/>
  </tableColumns>
  <tableStyleInfo name="TableStyleLight1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74AAECD6-BF2A-456D-B797-7C7BAD91169D}" name="Пенал" displayName="Пенал" ref="B68:H93" totalsRowShown="0" headerRowBorderDxfId="51" tableBorderDxfId="50">
  <autoFilter ref="B68:H93" xr:uid="{00000000-0009-0000-0100-000001000000}"/>
  <tableColumns count="7">
    <tableColumn id="1" xr3:uid="{46A67A1A-4D9B-486E-9202-CA47E476F17C}" name="Регистратор" dataDxfId="49"/>
    <tableColumn id="2" xr3:uid="{4C743300-51E6-46FA-A911-186626FA7925}" name="Изделие" dataDxfId="48"/>
    <tableColumn id="3" xr3:uid="{C85A74C3-9E6F-4039-A115-4437121F1C96}" name="Коэффициент" dataDxfId="47"/>
    <tableColumn id="4" xr3:uid="{1A7B1DD2-73CE-4B21-9686-64AF4BDFBF5A}" name="новая цена" dataDxfId="46"/>
    <tableColumn id="5" xr3:uid="{DB3CD038-FDE1-4A36-9C8F-F302356B6722}" name="Наценка" dataDxfId="45">
      <calculatedColumnFormula>E69/D69-1</calculatedColumnFormula>
    </tableColumn>
    <tableColumn id="6" xr3:uid="{42654B9B-3B41-4ECE-B632-14B405D82864}" name="Способ расчета цены" dataDxfId="44"/>
    <tableColumn id="7" xr3:uid="{05A91201-6109-47F9-94C9-3AFB6B983F54}" name="Формула расчета" dataDxfId="43"/>
  </tableColumns>
  <tableStyleInfo name="TableStyleLight1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8629FF73-8472-4106-8B05-EFA4AE23A27B}" name="Верх" displayName="Верх" ref="B46:H66" totalsRowShown="0" headerRowBorderDxfId="42" tableBorderDxfId="41" totalsRowBorderDxfId="40">
  <autoFilter ref="B46:H66" xr:uid="{00000000-0009-0000-0100-000002000000}"/>
  <tableColumns count="7">
    <tableColumn id="1" xr3:uid="{B9F8BE94-C8CC-4F5B-90A6-C1CEBF01253B}" name="Регистратор" dataDxfId="39"/>
    <tableColumn id="2" xr3:uid="{86DB40FE-A4C2-4EA5-808A-85E1AE954019}" name="Изделие" dataDxfId="38"/>
    <tableColumn id="3" xr3:uid="{B930F8B2-0B24-4C7F-AB8C-3148DB1C062F}" name="Коэффициент" dataDxfId="37"/>
    <tableColumn id="4" xr3:uid="{BBC148A8-5A21-4CF5-A657-F027F46F1D20}" name="новая цена" dataDxfId="36"/>
    <tableColumn id="5" xr3:uid="{2BFC630A-ADB6-4CB5-86F6-C9732A7CEEC9}" name="Наценка" dataDxfId="35">
      <calculatedColumnFormula>E47/D47-1</calculatedColumnFormula>
    </tableColumn>
    <tableColumn id="6" xr3:uid="{238EF406-9F6B-492A-AC27-66A463F05EF5}" name="Способ расчета цены" dataDxfId="34"/>
    <tableColumn id="7" xr3:uid="{988AC713-6632-4196-85B0-E2F0220E295F}" name="Формула расчета" dataDxfId="33"/>
  </tableColumns>
  <tableStyleInfo name="TableStyleLight1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78788925-5D48-4EFB-9B03-A13FB2BFBCF9}" name="Низ" displayName="Низ" ref="B6:H37" totalsRowShown="0" headerRowBorderDxfId="32" tableBorderDxfId="31" totalsRowBorderDxfId="30">
  <autoFilter ref="B6:H37" xr:uid="{00000000-0009-0000-0100-000003000000}"/>
  <tableColumns count="7">
    <tableColumn id="1" xr3:uid="{9269AB67-F6B4-42BA-98FD-EF655CFB6EB1}" name="Регистратор" dataDxfId="29"/>
    <tableColumn id="2" xr3:uid="{6FF09F28-512E-445D-A647-13B8D99022B1}" name="Изделие" dataDxfId="28"/>
    <tableColumn id="3" xr3:uid="{E1C546E4-62B2-4BBC-B75A-BF8D71B972AE}" name="Коэффициент" dataDxfId="27"/>
    <tableColumn id="4" xr3:uid="{65284522-B98D-4437-9136-E8514E4A8923}" name="новая цена" dataDxfId="26"/>
    <tableColumn id="5" xr3:uid="{4BBC92D0-2CFF-4A07-AA96-D2FDC08034D5}" name="Наценка" dataDxfId="25">
      <calculatedColumnFormula>E7/D7-1</calculatedColumnFormula>
    </tableColumn>
    <tableColumn id="6" xr3:uid="{AAE895CC-E7F9-400D-9A49-2D712E062308}" name="Способ расчета цены" dataDxfId="24"/>
    <tableColumn id="7" xr3:uid="{876781F3-6CB8-4AA0-BE55-0D2C7D332E92}" name="Формула расчета" dataDxfId="23"/>
  </tableColumns>
  <tableStyleInfo name="TableStyleLight1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39092231-94AB-4DA7-93E5-A7F39047BA64}" name="Коэф_пен" displayName="Коэф_пен" ref="F2:H7" totalsRowShown="0" headerRowDxfId="22" dataDxfId="21">
  <autoFilter ref="F2:H7" xr:uid="{00000000-0009-0000-0100-000007000000}"/>
  <tableColumns count="3">
    <tableColumn id="1" xr3:uid="{45FB1E76-36AC-41BC-9C1B-ABB86F14C54D}" name="Параметр" dataDxfId="20"/>
    <tableColumn id="2" xr3:uid="{44966CE4-ED59-419A-AA8A-35E97A17505C}" name="Коэф,%" dataDxfId="19"/>
    <tableColumn id="3" xr3:uid="{D1D805EE-4F7C-4589-9B0C-B4A27F0E789D}" name="Коэф" dataDxfId="18"/>
  </tableColumns>
  <tableStyleInfo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DFE72003-216C-44E4-A2BC-012070C368D0}" name="Коэф_верх" displayName="Коэф_верх" ref="F2:H7" totalsRowShown="0" headerRowDxfId="17" dataDxfId="16">
  <autoFilter ref="F2:H7" xr:uid="{00000000-0009-0000-0100-000005000000}"/>
  <tableColumns count="3">
    <tableColumn id="1" xr3:uid="{0AFB5C9F-1911-442A-A2CA-CB7B5980408B}" name="Параметр" dataDxfId="15"/>
    <tableColumn id="2" xr3:uid="{979C2510-B5A3-49B1-9E87-9B8EBBAE2BAB}" name="Коэф,%" dataDxfId="14"/>
    <tableColumn id="3" xr3:uid="{5136BA98-075E-4428-91A4-D1B623B96CE4}" name="Коэф" dataDxfId="13"/>
  </tableColumns>
  <tableStyleInfo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BBFF2EE6-A00D-4E8E-8F19-BA8AC305BCCF}" name="Коэф_низ" displayName="Коэф_низ" ref="F2:H7" totalsRowShown="0" headerRowDxfId="12" dataDxfId="11">
  <autoFilter ref="F2:H7" xr:uid="{00000000-0009-0000-0100-000006000000}"/>
  <tableColumns count="3">
    <tableColumn id="1" xr3:uid="{53173F35-BE04-4693-A184-0123E947BE9D}" name="Параметр" dataDxfId="10"/>
    <tableColumn id="2" xr3:uid="{13F79467-74E7-4E76-B973-886D39919D1C}" name="Коэф,%" dataDxfId="9"/>
    <tableColumn id="3" xr3:uid="{C9DEB471-54E9-4479-B955-80A3FAD5FBF1}" name="Коэф" dataDxfId="8"/>
  </tableColumns>
  <tableStyleInfo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B5CC64E-24DD-4888-962A-9EB63474D0F5}" name="Комплектация" displayName="Комплектация" ref="A1:A4" totalsRowShown="0" dataDxfId="7">
  <autoFilter ref="A1:A4" xr:uid="{D6CE3A41-D845-41C4-9D58-9BE1908C774D}"/>
  <tableColumns count="1">
    <tableColumn id="1" xr3:uid="{C4E9F6B1-D43E-417B-B9FF-5CDA6B059B32}" name="Комплектация" dataDxfId="6"/>
  </tableColumns>
  <tableStyleInfo name="TableStyleLight1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83EB6B0-19FB-4EA4-B5B0-B829971E12E1}" name="Материал_корпуса" displayName="Материал_корпуса" ref="C1:D12" totalsRowShown="0">
  <autoFilter ref="C1:D12" xr:uid="{2486F81C-7C63-4552-99E9-9DA99C46E697}"/>
  <tableColumns count="2">
    <tableColumn id="1" xr3:uid="{6D6BC43D-0116-4157-A0F5-4AEDC39C7993}" name="Материал корпуса" dataDxfId="5"/>
    <tableColumn id="2" xr3:uid="{EC1D0A0B-FBCC-4D07-AAD2-56FA6DB959A4}" name="Категория"/>
  </tableColumns>
  <tableStyleInfo name="TableStyleLight1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83FDAE35-864B-4962-A9CB-879F0B2B8796}" name="Высота_цоколя" displayName="Высота_цоколя" ref="G1:G3" totalsRowShown="0" dataDxfId="4">
  <autoFilter ref="G1:G3" xr:uid="{83FDAE35-864B-4962-A9CB-879F0B2B8796}"/>
  <tableColumns count="1">
    <tableColumn id="1" xr3:uid="{E3EA7D02-E62E-4097-A7F7-77A82D4916E3}" name="Высота цоколя" dataDxfId="3"/>
  </tableColumns>
  <tableStyleInfo name="TableStyleLight1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8C8E3226-D01B-41FB-863E-7D072F136CE5}" name="Коллекция" displayName="Коллекция" ref="J1:J6" totalsRowShown="0" dataDxfId="2">
  <autoFilter ref="J1:J6" xr:uid="{8C8E3226-D01B-41FB-863E-7D072F136CE5}"/>
  <tableColumns count="1">
    <tableColumn id="1" xr3:uid="{8DBCAD4C-AAC4-415D-88BE-7F3A179CA026}" name="Коллекция" dataDxfId="1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table" Target="../tables/table4.xml"/><Relationship Id="rId3" Type="http://schemas.openxmlformats.org/officeDocument/2006/relationships/vmlDrawing" Target="../drawings/vmlDrawing3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2" Type="http://schemas.openxmlformats.org/officeDocument/2006/relationships/drawing" Target="../drawings/drawing2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table" Target="../tables/table7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32" Type="http://schemas.openxmlformats.org/officeDocument/2006/relationships/table" Target="../tables/table10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table" Target="../tables/table6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31" Type="http://schemas.openxmlformats.org/officeDocument/2006/relationships/table" Target="../tables/table9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table" Target="../tables/table5.xml"/><Relationship Id="rId30" Type="http://schemas.openxmlformats.org/officeDocument/2006/relationships/table" Target="../tables/table8.xml"/></Relationships>
</file>

<file path=xl/worksheets/_rels/sheet5.xml.rels><?xml version="1.0" encoding="UTF-8" standalone="yes"?>
<Relationships xmlns="http://schemas.openxmlformats.org/package/2006/relationships"><Relationship Id="rId117" Type="http://schemas.openxmlformats.org/officeDocument/2006/relationships/image" Target="../media/image61.emf"/><Relationship Id="rId21" Type="http://schemas.openxmlformats.org/officeDocument/2006/relationships/image" Target="../media/image19.emf"/><Relationship Id="rId42" Type="http://schemas.openxmlformats.org/officeDocument/2006/relationships/control" Target="../activeX/activeX35.xml"/><Relationship Id="rId63" Type="http://schemas.openxmlformats.org/officeDocument/2006/relationships/control" Target="../activeX/activeX47.xml"/><Relationship Id="rId84" Type="http://schemas.openxmlformats.org/officeDocument/2006/relationships/image" Target="../media/image45.emf"/><Relationship Id="rId138" Type="http://schemas.openxmlformats.org/officeDocument/2006/relationships/control" Target="../activeX/activeX87.xml"/><Relationship Id="rId107" Type="http://schemas.openxmlformats.org/officeDocument/2006/relationships/image" Target="../media/image56.emf"/><Relationship Id="rId11" Type="http://schemas.openxmlformats.org/officeDocument/2006/relationships/control" Target="../activeX/activeX16.xml"/><Relationship Id="rId32" Type="http://schemas.openxmlformats.org/officeDocument/2006/relationships/image" Target="../media/image24.emf"/><Relationship Id="rId53" Type="http://schemas.openxmlformats.org/officeDocument/2006/relationships/image" Target="../media/image33.emf"/><Relationship Id="rId74" Type="http://schemas.openxmlformats.org/officeDocument/2006/relationships/image" Target="../media/image41.emf"/><Relationship Id="rId128" Type="http://schemas.openxmlformats.org/officeDocument/2006/relationships/control" Target="../activeX/activeX82.xml"/><Relationship Id="rId149" Type="http://schemas.openxmlformats.org/officeDocument/2006/relationships/control" Target="../activeX/activeX94.xml"/><Relationship Id="rId5" Type="http://schemas.openxmlformats.org/officeDocument/2006/relationships/control" Target="../activeX/activeX13.xml"/><Relationship Id="rId95" Type="http://schemas.openxmlformats.org/officeDocument/2006/relationships/control" Target="../activeX/activeX65.xml"/><Relationship Id="rId22" Type="http://schemas.openxmlformats.org/officeDocument/2006/relationships/control" Target="../activeX/activeX23.xml"/><Relationship Id="rId27" Type="http://schemas.openxmlformats.org/officeDocument/2006/relationships/control" Target="../activeX/activeX26.xml"/><Relationship Id="rId43" Type="http://schemas.openxmlformats.org/officeDocument/2006/relationships/image" Target="../media/image28.emf"/><Relationship Id="rId48" Type="http://schemas.openxmlformats.org/officeDocument/2006/relationships/control" Target="../activeX/activeX38.xml"/><Relationship Id="rId64" Type="http://schemas.openxmlformats.org/officeDocument/2006/relationships/image" Target="../media/image37.emf"/><Relationship Id="rId69" Type="http://schemas.openxmlformats.org/officeDocument/2006/relationships/control" Target="../activeX/activeX50.xml"/><Relationship Id="rId113" Type="http://schemas.openxmlformats.org/officeDocument/2006/relationships/image" Target="../media/image59.emf"/><Relationship Id="rId118" Type="http://schemas.openxmlformats.org/officeDocument/2006/relationships/control" Target="../activeX/activeX77.xml"/><Relationship Id="rId134" Type="http://schemas.openxmlformats.org/officeDocument/2006/relationships/control" Target="../activeX/activeX85.xml"/><Relationship Id="rId139" Type="http://schemas.openxmlformats.org/officeDocument/2006/relationships/image" Target="../media/image72.emf"/><Relationship Id="rId80" Type="http://schemas.openxmlformats.org/officeDocument/2006/relationships/control" Target="../activeX/activeX57.xml"/><Relationship Id="rId85" Type="http://schemas.openxmlformats.org/officeDocument/2006/relationships/control" Target="../activeX/activeX60.xml"/><Relationship Id="rId150" Type="http://schemas.openxmlformats.org/officeDocument/2006/relationships/control" Target="../activeX/activeX95.xml"/><Relationship Id="rId12" Type="http://schemas.openxmlformats.org/officeDocument/2006/relationships/control" Target="../activeX/activeX17.xml"/><Relationship Id="rId17" Type="http://schemas.openxmlformats.org/officeDocument/2006/relationships/control" Target="../activeX/activeX20.xml"/><Relationship Id="rId33" Type="http://schemas.openxmlformats.org/officeDocument/2006/relationships/control" Target="../activeX/activeX29.xml"/><Relationship Id="rId38" Type="http://schemas.openxmlformats.org/officeDocument/2006/relationships/image" Target="../media/image27.emf"/><Relationship Id="rId59" Type="http://schemas.openxmlformats.org/officeDocument/2006/relationships/image" Target="../media/image35.emf"/><Relationship Id="rId103" Type="http://schemas.openxmlformats.org/officeDocument/2006/relationships/control" Target="../activeX/activeX69.xml"/><Relationship Id="rId108" Type="http://schemas.openxmlformats.org/officeDocument/2006/relationships/control" Target="../activeX/activeX72.xml"/><Relationship Id="rId124" Type="http://schemas.openxmlformats.org/officeDocument/2006/relationships/control" Target="../activeX/activeX80.xml"/><Relationship Id="rId129" Type="http://schemas.openxmlformats.org/officeDocument/2006/relationships/image" Target="../media/image67.emf"/><Relationship Id="rId54" Type="http://schemas.openxmlformats.org/officeDocument/2006/relationships/control" Target="../activeX/activeX41.xml"/><Relationship Id="rId70" Type="http://schemas.openxmlformats.org/officeDocument/2006/relationships/control" Target="../activeX/activeX51.xml"/><Relationship Id="rId75" Type="http://schemas.openxmlformats.org/officeDocument/2006/relationships/control" Target="../activeX/activeX54.xml"/><Relationship Id="rId91" Type="http://schemas.openxmlformats.org/officeDocument/2006/relationships/control" Target="../activeX/activeX63.xml"/><Relationship Id="rId96" Type="http://schemas.openxmlformats.org/officeDocument/2006/relationships/image" Target="../media/image51.emf"/><Relationship Id="rId140" Type="http://schemas.openxmlformats.org/officeDocument/2006/relationships/control" Target="../activeX/activeX88.xml"/><Relationship Id="rId145" Type="http://schemas.openxmlformats.org/officeDocument/2006/relationships/control" Target="../activeX/activeX91.xml"/><Relationship Id="rId1" Type="http://schemas.openxmlformats.org/officeDocument/2006/relationships/drawing" Target="../drawings/drawing3.xml"/><Relationship Id="rId6" Type="http://schemas.openxmlformats.org/officeDocument/2006/relationships/image" Target="../media/image13.emf"/><Relationship Id="rId23" Type="http://schemas.openxmlformats.org/officeDocument/2006/relationships/control" Target="../activeX/activeX24.xml"/><Relationship Id="rId28" Type="http://schemas.openxmlformats.org/officeDocument/2006/relationships/image" Target="../media/image22.emf"/><Relationship Id="rId49" Type="http://schemas.openxmlformats.org/officeDocument/2006/relationships/image" Target="../media/image31.emf"/><Relationship Id="rId114" Type="http://schemas.openxmlformats.org/officeDocument/2006/relationships/control" Target="../activeX/activeX75.xml"/><Relationship Id="rId119" Type="http://schemas.openxmlformats.org/officeDocument/2006/relationships/image" Target="../media/image62.emf"/><Relationship Id="rId44" Type="http://schemas.openxmlformats.org/officeDocument/2006/relationships/control" Target="../activeX/activeX36.xml"/><Relationship Id="rId60" Type="http://schemas.openxmlformats.org/officeDocument/2006/relationships/control" Target="../activeX/activeX45.xml"/><Relationship Id="rId65" Type="http://schemas.openxmlformats.org/officeDocument/2006/relationships/control" Target="../activeX/activeX48.xml"/><Relationship Id="rId81" Type="http://schemas.openxmlformats.org/officeDocument/2006/relationships/control" Target="../activeX/activeX58.xml"/><Relationship Id="rId86" Type="http://schemas.openxmlformats.org/officeDocument/2006/relationships/image" Target="../media/image46.emf"/><Relationship Id="rId130" Type="http://schemas.openxmlformats.org/officeDocument/2006/relationships/control" Target="../activeX/activeX83.xml"/><Relationship Id="rId135" Type="http://schemas.openxmlformats.org/officeDocument/2006/relationships/image" Target="../media/image70.emf"/><Relationship Id="rId151" Type="http://schemas.openxmlformats.org/officeDocument/2006/relationships/control" Target="../activeX/activeX96.xml"/><Relationship Id="rId13" Type="http://schemas.openxmlformats.org/officeDocument/2006/relationships/control" Target="../activeX/activeX18.xml"/><Relationship Id="rId18" Type="http://schemas.openxmlformats.org/officeDocument/2006/relationships/control" Target="../activeX/activeX21.xml"/><Relationship Id="rId39" Type="http://schemas.openxmlformats.org/officeDocument/2006/relationships/control" Target="../activeX/activeX32.xml"/><Relationship Id="rId109" Type="http://schemas.openxmlformats.org/officeDocument/2006/relationships/image" Target="../media/image57.emf"/><Relationship Id="rId34" Type="http://schemas.openxmlformats.org/officeDocument/2006/relationships/image" Target="../media/image25.emf"/><Relationship Id="rId50" Type="http://schemas.openxmlformats.org/officeDocument/2006/relationships/control" Target="../activeX/activeX39.xml"/><Relationship Id="rId55" Type="http://schemas.openxmlformats.org/officeDocument/2006/relationships/control" Target="../activeX/activeX42.xml"/><Relationship Id="rId76" Type="http://schemas.openxmlformats.org/officeDocument/2006/relationships/image" Target="../media/image42.emf"/><Relationship Id="rId97" Type="http://schemas.openxmlformats.org/officeDocument/2006/relationships/control" Target="../activeX/activeX66.xml"/><Relationship Id="rId104" Type="http://schemas.openxmlformats.org/officeDocument/2006/relationships/image" Target="../media/image55.emf"/><Relationship Id="rId120" Type="http://schemas.openxmlformats.org/officeDocument/2006/relationships/control" Target="../activeX/activeX78.xml"/><Relationship Id="rId125" Type="http://schemas.openxmlformats.org/officeDocument/2006/relationships/image" Target="../media/image65.emf"/><Relationship Id="rId141" Type="http://schemas.openxmlformats.org/officeDocument/2006/relationships/control" Target="../activeX/activeX89.xml"/><Relationship Id="rId146" Type="http://schemas.openxmlformats.org/officeDocument/2006/relationships/image" Target="../media/image75.emf"/><Relationship Id="rId7" Type="http://schemas.openxmlformats.org/officeDocument/2006/relationships/control" Target="../activeX/activeX14.xml"/><Relationship Id="rId71" Type="http://schemas.openxmlformats.org/officeDocument/2006/relationships/control" Target="../activeX/activeX52.xml"/><Relationship Id="rId92" Type="http://schemas.openxmlformats.org/officeDocument/2006/relationships/image" Target="../media/image49.emf"/><Relationship Id="rId2" Type="http://schemas.openxmlformats.org/officeDocument/2006/relationships/vmlDrawing" Target="../drawings/vmlDrawing4.vml"/><Relationship Id="rId29" Type="http://schemas.openxmlformats.org/officeDocument/2006/relationships/control" Target="../activeX/activeX27.xml"/><Relationship Id="rId24" Type="http://schemas.openxmlformats.org/officeDocument/2006/relationships/image" Target="../media/image20.emf"/><Relationship Id="rId40" Type="http://schemas.openxmlformats.org/officeDocument/2006/relationships/control" Target="../activeX/activeX33.xml"/><Relationship Id="rId45" Type="http://schemas.openxmlformats.org/officeDocument/2006/relationships/image" Target="../media/image29.emf"/><Relationship Id="rId66" Type="http://schemas.openxmlformats.org/officeDocument/2006/relationships/image" Target="../media/image38.emf"/><Relationship Id="rId87" Type="http://schemas.openxmlformats.org/officeDocument/2006/relationships/control" Target="../activeX/activeX61.xml"/><Relationship Id="rId110" Type="http://schemas.openxmlformats.org/officeDocument/2006/relationships/control" Target="../activeX/activeX73.xml"/><Relationship Id="rId115" Type="http://schemas.openxmlformats.org/officeDocument/2006/relationships/image" Target="../media/image60.emf"/><Relationship Id="rId131" Type="http://schemas.openxmlformats.org/officeDocument/2006/relationships/image" Target="../media/image68.emf"/><Relationship Id="rId136" Type="http://schemas.openxmlformats.org/officeDocument/2006/relationships/control" Target="../activeX/activeX86.xml"/><Relationship Id="rId61" Type="http://schemas.openxmlformats.org/officeDocument/2006/relationships/control" Target="../activeX/activeX46.xml"/><Relationship Id="rId82" Type="http://schemas.openxmlformats.org/officeDocument/2006/relationships/image" Target="../media/image44.emf"/><Relationship Id="rId152" Type="http://schemas.openxmlformats.org/officeDocument/2006/relationships/control" Target="../activeX/activeX97.xml"/><Relationship Id="rId19" Type="http://schemas.openxmlformats.org/officeDocument/2006/relationships/image" Target="../media/image18.emf"/><Relationship Id="rId14" Type="http://schemas.openxmlformats.org/officeDocument/2006/relationships/image" Target="../media/image16.emf"/><Relationship Id="rId30" Type="http://schemas.openxmlformats.org/officeDocument/2006/relationships/image" Target="../media/image23.emf"/><Relationship Id="rId35" Type="http://schemas.openxmlformats.org/officeDocument/2006/relationships/control" Target="../activeX/activeX30.xml"/><Relationship Id="rId56" Type="http://schemas.openxmlformats.org/officeDocument/2006/relationships/control" Target="../activeX/activeX43.xml"/><Relationship Id="rId77" Type="http://schemas.openxmlformats.org/officeDocument/2006/relationships/control" Target="../activeX/activeX55.xml"/><Relationship Id="rId100" Type="http://schemas.openxmlformats.org/officeDocument/2006/relationships/image" Target="../media/image53.emf"/><Relationship Id="rId105" Type="http://schemas.openxmlformats.org/officeDocument/2006/relationships/control" Target="../activeX/activeX70.xml"/><Relationship Id="rId126" Type="http://schemas.openxmlformats.org/officeDocument/2006/relationships/control" Target="../activeX/activeX81.xml"/><Relationship Id="rId147" Type="http://schemas.openxmlformats.org/officeDocument/2006/relationships/control" Target="../activeX/activeX92.xml"/><Relationship Id="rId8" Type="http://schemas.openxmlformats.org/officeDocument/2006/relationships/image" Target="../media/image14.emf"/><Relationship Id="rId51" Type="http://schemas.openxmlformats.org/officeDocument/2006/relationships/image" Target="../media/image32.emf"/><Relationship Id="rId72" Type="http://schemas.openxmlformats.org/officeDocument/2006/relationships/image" Target="../media/image40.emf"/><Relationship Id="rId93" Type="http://schemas.openxmlformats.org/officeDocument/2006/relationships/control" Target="../activeX/activeX64.xml"/><Relationship Id="rId98" Type="http://schemas.openxmlformats.org/officeDocument/2006/relationships/image" Target="../media/image52.emf"/><Relationship Id="rId121" Type="http://schemas.openxmlformats.org/officeDocument/2006/relationships/image" Target="../media/image63.emf"/><Relationship Id="rId142" Type="http://schemas.openxmlformats.org/officeDocument/2006/relationships/image" Target="../media/image73.emf"/><Relationship Id="rId3" Type="http://schemas.openxmlformats.org/officeDocument/2006/relationships/control" Target="../activeX/activeX12.xml"/><Relationship Id="rId25" Type="http://schemas.openxmlformats.org/officeDocument/2006/relationships/control" Target="../activeX/activeX25.xml"/><Relationship Id="rId46" Type="http://schemas.openxmlformats.org/officeDocument/2006/relationships/control" Target="../activeX/activeX37.xml"/><Relationship Id="rId67" Type="http://schemas.openxmlformats.org/officeDocument/2006/relationships/control" Target="../activeX/activeX49.xml"/><Relationship Id="rId116" Type="http://schemas.openxmlformats.org/officeDocument/2006/relationships/control" Target="../activeX/activeX76.xml"/><Relationship Id="rId137" Type="http://schemas.openxmlformats.org/officeDocument/2006/relationships/image" Target="../media/image71.emf"/><Relationship Id="rId20" Type="http://schemas.openxmlformats.org/officeDocument/2006/relationships/control" Target="../activeX/activeX22.xml"/><Relationship Id="rId41" Type="http://schemas.openxmlformats.org/officeDocument/2006/relationships/control" Target="../activeX/activeX34.xml"/><Relationship Id="rId62" Type="http://schemas.openxmlformats.org/officeDocument/2006/relationships/image" Target="../media/image36.emf"/><Relationship Id="rId83" Type="http://schemas.openxmlformats.org/officeDocument/2006/relationships/control" Target="../activeX/activeX59.xml"/><Relationship Id="rId88" Type="http://schemas.openxmlformats.org/officeDocument/2006/relationships/image" Target="../media/image47.emf"/><Relationship Id="rId111" Type="http://schemas.openxmlformats.org/officeDocument/2006/relationships/image" Target="../media/image58.emf"/><Relationship Id="rId132" Type="http://schemas.openxmlformats.org/officeDocument/2006/relationships/control" Target="../activeX/activeX84.xml"/><Relationship Id="rId153" Type="http://schemas.openxmlformats.org/officeDocument/2006/relationships/control" Target="../activeX/activeX98.xml"/><Relationship Id="rId15" Type="http://schemas.openxmlformats.org/officeDocument/2006/relationships/control" Target="../activeX/activeX19.xml"/><Relationship Id="rId36" Type="http://schemas.openxmlformats.org/officeDocument/2006/relationships/image" Target="../media/image26.emf"/><Relationship Id="rId57" Type="http://schemas.openxmlformats.org/officeDocument/2006/relationships/image" Target="../media/image34.emf"/><Relationship Id="rId106" Type="http://schemas.openxmlformats.org/officeDocument/2006/relationships/control" Target="../activeX/activeX71.xml"/><Relationship Id="rId127" Type="http://schemas.openxmlformats.org/officeDocument/2006/relationships/image" Target="../media/image66.emf"/><Relationship Id="rId10" Type="http://schemas.openxmlformats.org/officeDocument/2006/relationships/image" Target="../media/image15.emf"/><Relationship Id="rId31" Type="http://schemas.openxmlformats.org/officeDocument/2006/relationships/control" Target="../activeX/activeX28.xml"/><Relationship Id="rId52" Type="http://schemas.openxmlformats.org/officeDocument/2006/relationships/control" Target="../activeX/activeX40.xml"/><Relationship Id="rId73" Type="http://schemas.openxmlformats.org/officeDocument/2006/relationships/control" Target="../activeX/activeX53.xml"/><Relationship Id="rId78" Type="http://schemas.openxmlformats.org/officeDocument/2006/relationships/image" Target="../media/image43.emf"/><Relationship Id="rId94" Type="http://schemas.openxmlformats.org/officeDocument/2006/relationships/image" Target="../media/image50.emf"/><Relationship Id="rId99" Type="http://schemas.openxmlformats.org/officeDocument/2006/relationships/control" Target="../activeX/activeX67.xml"/><Relationship Id="rId101" Type="http://schemas.openxmlformats.org/officeDocument/2006/relationships/control" Target="../activeX/activeX68.xml"/><Relationship Id="rId122" Type="http://schemas.openxmlformats.org/officeDocument/2006/relationships/control" Target="../activeX/activeX79.xml"/><Relationship Id="rId143" Type="http://schemas.openxmlformats.org/officeDocument/2006/relationships/control" Target="../activeX/activeX90.xml"/><Relationship Id="rId148" Type="http://schemas.openxmlformats.org/officeDocument/2006/relationships/control" Target="../activeX/activeX93.xml"/><Relationship Id="rId4" Type="http://schemas.openxmlformats.org/officeDocument/2006/relationships/image" Target="../media/image12.emf"/><Relationship Id="rId9" Type="http://schemas.openxmlformats.org/officeDocument/2006/relationships/control" Target="../activeX/activeX15.xml"/><Relationship Id="rId26" Type="http://schemas.openxmlformats.org/officeDocument/2006/relationships/image" Target="../media/image21.emf"/><Relationship Id="rId47" Type="http://schemas.openxmlformats.org/officeDocument/2006/relationships/image" Target="../media/image30.emf"/><Relationship Id="rId68" Type="http://schemas.openxmlformats.org/officeDocument/2006/relationships/image" Target="../media/image39.emf"/><Relationship Id="rId89" Type="http://schemas.openxmlformats.org/officeDocument/2006/relationships/control" Target="../activeX/activeX62.xml"/><Relationship Id="rId112" Type="http://schemas.openxmlformats.org/officeDocument/2006/relationships/control" Target="../activeX/activeX74.xml"/><Relationship Id="rId133" Type="http://schemas.openxmlformats.org/officeDocument/2006/relationships/image" Target="../media/image69.emf"/><Relationship Id="rId154" Type="http://schemas.openxmlformats.org/officeDocument/2006/relationships/control" Target="../activeX/activeX99.xml"/><Relationship Id="rId16" Type="http://schemas.openxmlformats.org/officeDocument/2006/relationships/image" Target="../media/image17.emf"/><Relationship Id="rId37" Type="http://schemas.openxmlformats.org/officeDocument/2006/relationships/control" Target="../activeX/activeX31.xml"/><Relationship Id="rId58" Type="http://schemas.openxmlformats.org/officeDocument/2006/relationships/control" Target="../activeX/activeX44.xml"/><Relationship Id="rId79" Type="http://schemas.openxmlformats.org/officeDocument/2006/relationships/control" Target="../activeX/activeX56.xml"/><Relationship Id="rId102" Type="http://schemas.openxmlformats.org/officeDocument/2006/relationships/image" Target="../media/image54.emf"/><Relationship Id="rId123" Type="http://schemas.openxmlformats.org/officeDocument/2006/relationships/image" Target="../media/image64.emf"/><Relationship Id="rId144" Type="http://schemas.openxmlformats.org/officeDocument/2006/relationships/image" Target="../media/image74.emf"/><Relationship Id="rId90" Type="http://schemas.openxmlformats.org/officeDocument/2006/relationships/image" Target="../media/image48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1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4.bin"/><Relationship Id="rId6" Type="http://schemas.openxmlformats.org/officeDocument/2006/relationships/comments" Target="../comments2.xml"/><Relationship Id="rId5" Type="http://schemas.openxmlformats.org/officeDocument/2006/relationships/table" Target="../tables/table13.xml"/><Relationship Id="rId4" Type="http://schemas.openxmlformats.org/officeDocument/2006/relationships/table" Target="../tables/table12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4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5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6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8.xml"/><Relationship Id="rId2" Type="http://schemas.openxmlformats.org/officeDocument/2006/relationships/table" Target="../tables/table17.xml"/><Relationship Id="rId1" Type="http://schemas.openxmlformats.org/officeDocument/2006/relationships/printerSettings" Target="../printerSettings/printerSettings9.bin"/><Relationship Id="rId5" Type="http://schemas.openxmlformats.org/officeDocument/2006/relationships/table" Target="../tables/table20.xml"/><Relationship Id="rId4" Type="http://schemas.openxmlformats.org/officeDocument/2006/relationships/table" Target="../tables/table1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52C8BB-BC6B-4A4B-844B-E4E065D47E64}">
  <sheetPr codeName="Лист4"/>
  <dimension ref="A1"/>
  <sheetViews>
    <sheetView workbookViewId="0">
      <selection activeCell="G16" sqref="G16"/>
    </sheetView>
  </sheetViews>
  <sheetFormatPr defaultRowHeight="15" x14ac:dyDescent="0.25"/>
  <sheetData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OpenUserForm">
                <anchor moveWithCells="1" sizeWithCells="1">
                  <from>
                    <xdr:col>0</xdr:col>
                    <xdr:colOff>19050</xdr:colOff>
                    <xdr:row>0</xdr:row>
                    <xdr:rowOff>9525</xdr:rowOff>
                  </from>
                  <to>
                    <xdr:col>3</xdr:col>
                    <xdr:colOff>57150</xdr:colOff>
                    <xdr:row>4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1CE975-7C69-4B21-ABD9-4E8E597562E9}">
  <sheetPr codeName="Лист1"/>
  <dimension ref="A1:CH169"/>
  <sheetViews>
    <sheetView tabSelected="1" topLeftCell="A7" zoomScale="85" zoomScaleNormal="85" workbookViewId="0">
      <pane xSplit="1" topLeftCell="BM1" activePane="topRight" state="frozen"/>
      <selection pane="topRight" activeCell="CB37" sqref="CB37"/>
    </sheetView>
  </sheetViews>
  <sheetFormatPr defaultRowHeight="15" x14ac:dyDescent="0.25"/>
  <cols>
    <col min="1" max="1" width="20.7109375" style="1" customWidth="1"/>
    <col min="2" max="2" width="15.7109375" style="1" customWidth="1"/>
    <col min="3" max="3" width="53" style="1" customWidth="1"/>
    <col min="4" max="6" width="15.7109375" style="1" customWidth="1"/>
    <col min="7" max="13" width="15.7109375" customWidth="1"/>
    <col min="14" max="14" width="27" style="270" customWidth="1"/>
    <col min="15" max="15" width="15.7109375" style="1" customWidth="1"/>
    <col min="16" max="17" width="15.7109375" customWidth="1"/>
    <col min="18" max="18" width="24.5703125" customWidth="1"/>
    <col min="19" max="26" width="15.7109375" customWidth="1"/>
    <col min="27" max="27" width="26.28515625" customWidth="1"/>
    <col min="28" max="29" width="15.7109375" customWidth="1"/>
    <col min="30" max="30" width="9.42578125" customWidth="1"/>
    <col min="31" max="37" width="15.7109375" customWidth="1"/>
    <col min="38" max="58" width="19.140625" customWidth="1"/>
    <col min="59" max="60" width="35.42578125" customWidth="1"/>
    <col min="61" max="61" width="37.85546875" customWidth="1"/>
    <col min="62" max="62" width="35.28515625" customWidth="1"/>
    <col min="63" max="63" width="16.42578125" customWidth="1"/>
    <col min="64" max="70" width="9.140625" customWidth="1"/>
    <col min="77" max="77" width="12.5703125" bestFit="1" customWidth="1"/>
    <col min="78" max="78" width="12.85546875" bestFit="1" customWidth="1"/>
    <col min="80" max="80" width="36" bestFit="1" customWidth="1"/>
    <col min="81" max="81" width="19.85546875" bestFit="1" customWidth="1"/>
    <col min="82" max="82" width="17.42578125" customWidth="1"/>
    <col min="84" max="84" width="41.7109375" bestFit="1" customWidth="1"/>
  </cols>
  <sheetData>
    <row r="1" spans="1:83" s="34" customFormat="1" ht="105" customHeight="1" x14ac:dyDescent="0.25">
      <c r="A1" s="2" t="s">
        <v>4</v>
      </c>
      <c r="B1" s="2" t="s">
        <v>5</v>
      </c>
      <c r="C1" s="2" t="s">
        <v>142</v>
      </c>
      <c r="D1" s="2" t="s">
        <v>88</v>
      </c>
      <c r="E1" s="2" t="s">
        <v>86</v>
      </c>
      <c r="F1" s="2" t="s">
        <v>143</v>
      </c>
      <c r="G1" s="2" t="s">
        <v>61</v>
      </c>
      <c r="H1" s="2" t="s">
        <v>62</v>
      </c>
      <c r="I1" s="2" t="s">
        <v>63</v>
      </c>
      <c r="J1" s="2" t="s">
        <v>64</v>
      </c>
      <c r="K1" s="2" t="s">
        <v>65</v>
      </c>
      <c r="L1" s="2" t="s">
        <v>66</v>
      </c>
      <c r="M1" s="2" t="s">
        <v>179</v>
      </c>
      <c r="N1" s="2" t="s">
        <v>84</v>
      </c>
      <c r="O1" s="2" t="s">
        <v>194</v>
      </c>
      <c r="P1" s="2" t="s">
        <v>442</v>
      </c>
      <c r="Q1" s="2" t="s">
        <v>441</v>
      </c>
      <c r="R1" s="2" t="s">
        <v>389</v>
      </c>
      <c r="S1" s="2" t="s">
        <v>409</v>
      </c>
      <c r="T1" s="2" t="s">
        <v>410</v>
      </c>
      <c r="U1" s="2" t="s">
        <v>415</v>
      </c>
      <c r="V1" s="2" t="s">
        <v>417</v>
      </c>
      <c r="W1" s="2" t="s">
        <v>432</v>
      </c>
      <c r="X1" s="2" t="s">
        <v>463</v>
      </c>
      <c r="Y1" s="2" t="s">
        <v>430</v>
      </c>
      <c r="Z1" s="2" t="s">
        <v>489</v>
      </c>
      <c r="AA1" s="2" t="s">
        <v>448</v>
      </c>
      <c r="AB1" s="2" t="s">
        <v>451</v>
      </c>
      <c r="AC1" s="2" t="s">
        <v>450</v>
      </c>
      <c r="AD1" s="2" t="s">
        <v>438</v>
      </c>
      <c r="AE1" s="2" t="s">
        <v>401</v>
      </c>
      <c r="AF1" s="2" t="s">
        <v>439</v>
      </c>
      <c r="AG1" s="254" t="s">
        <v>440</v>
      </c>
      <c r="AH1" s="2" t="s">
        <v>647</v>
      </c>
      <c r="AI1" s="2" t="s">
        <v>713</v>
      </c>
      <c r="AJ1" s="2" t="s">
        <v>413</v>
      </c>
      <c r="AK1" s="2" t="s">
        <v>449</v>
      </c>
      <c r="AL1" s="2" t="s">
        <v>483</v>
      </c>
      <c r="AM1" s="2" t="s">
        <v>676</v>
      </c>
      <c r="AN1" s="2" t="s">
        <v>403</v>
      </c>
      <c r="AO1" s="2" t="s">
        <v>699</v>
      </c>
      <c r="AP1" s="2" t="s">
        <v>412</v>
      </c>
      <c r="AQ1" s="2" t="s">
        <v>700</v>
      </c>
      <c r="AR1" s="2" t="s">
        <v>419</v>
      </c>
      <c r="AS1" s="2" t="s">
        <v>659</v>
      </c>
      <c r="AT1" s="2" t="s">
        <v>455</v>
      </c>
      <c r="AU1" s="263" t="s">
        <v>457</v>
      </c>
      <c r="AV1" s="2" t="s">
        <v>458</v>
      </c>
      <c r="AW1" s="2" t="s">
        <v>495</v>
      </c>
      <c r="AX1" s="262" t="s">
        <v>444</v>
      </c>
      <c r="AY1" s="94" t="s">
        <v>445</v>
      </c>
      <c r="AZ1" s="262" t="s">
        <v>447</v>
      </c>
      <c r="BA1" s="2" t="s">
        <v>429</v>
      </c>
      <c r="BB1" s="2" t="s">
        <v>420</v>
      </c>
      <c r="BC1" s="2" t="s">
        <v>426</v>
      </c>
      <c r="BD1" s="2" t="s">
        <v>421</v>
      </c>
      <c r="BE1" s="2" t="s">
        <v>427</v>
      </c>
      <c r="BF1" s="2" t="s">
        <v>422</v>
      </c>
      <c r="BG1" s="2" t="s">
        <v>423</v>
      </c>
      <c r="BH1" s="2" t="s">
        <v>487</v>
      </c>
      <c r="BI1" s="2" t="s">
        <v>425</v>
      </c>
      <c r="BJ1" s="2" t="s">
        <v>428</v>
      </c>
      <c r="BK1" s="2" t="s">
        <v>663</v>
      </c>
      <c r="BL1" s="2" t="s">
        <v>406</v>
      </c>
      <c r="BM1" s="2" t="s">
        <v>407</v>
      </c>
      <c r="BN1" s="2" t="s">
        <v>437</v>
      </c>
      <c r="BO1" s="2" t="s">
        <v>688</v>
      </c>
      <c r="BP1" s="2" t="s">
        <v>695</v>
      </c>
      <c r="BQ1" s="2" t="s">
        <v>198</v>
      </c>
      <c r="BR1" s="2" t="s">
        <v>696</v>
      </c>
      <c r="BS1" s="2" t="s">
        <v>714</v>
      </c>
      <c r="BT1" s="2" t="s">
        <v>715</v>
      </c>
      <c r="BU1" s="2" t="s">
        <v>759</v>
      </c>
      <c r="BV1" s="2" t="s">
        <v>760</v>
      </c>
      <c r="BW1" s="2" t="s">
        <v>761</v>
      </c>
      <c r="BX1" s="2" t="s">
        <v>762</v>
      </c>
      <c r="BY1" s="2" t="s">
        <v>747</v>
      </c>
      <c r="BZ1" s="2" t="s">
        <v>748</v>
      </c>
      <c r="CA1" s="2" t="s">
        <v>823</v>
      </c>
      <c r="CB1" s="2" t="s">
        <v>817</v>
      </c>
      <c r="CC1" s="2" t="s">
        <v>828</v>
      </c>
      <c r="CD1" s="2" t="s">
        <v>852</v>
      </c>
    </row>
    <row r="2" spans="1:83" ht="15" customHeight="1" x14ac:dyDescent="0.25">
      <c r="A2" s="337" t="s">
        <v>3</v>
      </c>
      <c r="B2" s="1" t="s">
        <v>6</v>
      </c>
      <c r="C2" s="1" t="s">
        <v>126</v>
      </c>
      <c r="D2" s="1" t="s">
        <v>8</v>
      </c>
      <c r="E2" s="1" t="s">
        <v>10</v>
      </c>
      <c r="F2" s="1" t="s">
        <v>144</v>
      </c>
      <c r="G2" s="273">
        <v>420</v>
      </c>
      <c r="H2" s="273">
        <v>2500</v>
      </c>
      <c r="I2" s="273">
        <v>150</v>
      </c>
      <c r="J2" s="273">
        <v>900</v>
      </c>
      <c r="K2" s="273">
        <v>300</v>
      </c>
      <c r="L2" s="273">
        <v>650</v>
      </c>
      <c r="M2" s="1"/>
      <c r="N2" s="268"/>
      <c r="O2" s="252">
        <v>2060</v>
      </c>
      <c r="P2" s="252"/>
      <c r="Q2" s="252"/>
      <c r="R2" s="1">
        <f>'комплекты фурнитуры'!$Q$10</f>
        <v>540</v>
      </c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>
        <f>'комплекты фурнитуры'!$Q$26*2</f>
        <v>540</v>
      </c>
      <c r="AF2" s="1"/>
      <c r="AG2" s="1"/>
      <c r="AH2" s="29">
        <f>SUM(Прайс[[#This Row],[КФ НСТ11]:[KFPr-SB-ZPG]])</f>
        <v>1080</v>
      </c>
      <c r="AI2" s="29"/>
      <c r="AJ2" s="1"/>
      <c r="AK2" s="1"/>
      <c r="AL2" s="1"/>
      <c r="AM2" s="29"/>
      <c r="AN2" s="29"/>
      <c r="AO2" s="29"/>
      <c r="AP2" s="29"/>
      <c r="AQ2" s="29"/>
      <c r="AR2" s="29"/>
      <c r="AS2" s="29"/>
      <c r="AT2" s="29"/>
      <c r="AU2" s="29"/>
      <c r="AV2" s="29"/>
      <c r="AW2" s="29"/>
      <c r="AX2" s="29"/>
      <c r="AY2" s="29"/>
      <c r="AZ2" s="29"/>
      <c r="BA2" s="29"/>
      <c r="BB2" s="29"/>
      <c r="BC2" s="29"/>
      <c r="BD2" s="29"/>
      <c r="BE2" s="29"/>
      <c r="BF2" s="29"/>
      <c r="BG2" s="29"/>
      <c r="BH2" s="29"/>
      <c r="BI2" s="29"/>
      <c r="BJ2" s="29"/>
      <c r="BK2" s="29"/>
      <c r="BL2" s="29"/>
      <c r="BM2" s="29"/>
      <c r="BN2" s="29"/>
      <c r="BO2" s="29"/>
      <c r="BP2" s="28">
        <f>SUM(Прайс[[#This Row],[ KFPr-SB-StK ]:[Корзина с держателем для бутылок 414*500*520 мм]])</f>
        <v>0</v>
      </c>
      <c r="BQ2" s="28">
        <f>SUM(Прайс[[#This Row],[ KFPr-SB-StK ]:[Корзина с держателем для бутылок 414*500*520 мм]])</f>
        <v>0</v>
      </c>
      <c r="BR2" s="28">
        <f>SUM(Прайс[[#This Row],[ KFPr-SB-StK ]:[Корзина с держателем для бутылок 414*500*520 мм]])</f>
        <v>0</v>
      </c>
      <c r="BS2" s="1">
        <v>300</v>
      </c>
      <c r="BT2" s="1">
        <v>720</v>
      </c>
      <c r="BU2" s="1" t="str">
        <f>IF(OR(Прайс[[#This Row],[Тип]]="Нижний",Прайс[[#This Row],[Тип]]="Пенал"),"560",IF(Прайс[[#This Row],[Тип]]="Верхний",315,0))</f>
        <v>560</v>
      </c>
      <c r="BV2" s="28">
        <v>1.095</v>
      </c>
      <c r="BW2" s="28">
        <v>1.0649999999999999</v>
      </c>
      <c r="BX2" s="28">
        <v>1.3</v>
      </c>
      <c r="BY2" s="1">
        <v>0</v>
      </c>
      <c r="BZ2" s="1">
        <v>7</v>
      </c>
      <c r="CA2" s="1" t="s">
        <v>87</v>
      </c>
      <c r="CB2" s="28" t="s">
        <v>818</v>
      </c>
      <c r="CC2" s="1"/>
      <c r="CD2" s="343"/>
    </row>
    <row r="3" spans="1:83" ht="15" customHeight="1" x14ac:dyDescent="0.25">
      <c r="A3" s="338" t="s">
        <v>0</v>
      </c>
      <c r="B3" s="1" t="s">
        <v>6</v>
      </c>
      <c r="C3" s="1" t="s">
        <v>128</v>
      </c>
      <c r="D3" s="1" t="s">
        <v>89</v>
      </c>
      <c r="E3" s="1" t="s">
        <v>10</v>
      </c>
      <c r="F3" s="1" t="s">
        <v>144</v>
      </c>
      <c r="G3" s="273">
        <v>720</v>
      </c>
      <c r="H3" s="273">
        <v>720</v>
      </c>
      <c r="I3" s="273">
        <v>150</v>
      </c>
      <c r="J3" s="273">
        <v>650</v>
      </c>
      <c r="K3" s="273">
        <v>250</v>
      </c>
      <c r="L3" s="273">
        <v>700</v>
      </c>
      <c r="M3" s="1"/>
      <c r="N3" s="268"/>
      <c r="O3" s="252">
        <v>2060</v>
      </c>
      <c r="P3" s="252"/>
      <c r="Q3" s="252"/>
      <c r="R3" s="1">
        <f>'комплекты фурнитуры'!$Q$10</f>
        <v>540</v>
      </c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>
        <f>'комплекты фурнитуры'!$Q$26*2</f>
        <v>540</v>
      </c>
      <c r="AF3" s="1"/>
      <c r="AG3" s="1"/>
      <c r="AH3" s="29">
        <f>SUM(Прайс[[#This Row],[КФ НСТ11]:[KFPr-SB-ZPG]])</f>
        <v>1080</v>
      </c>
      <c r="AI3" s="29"/>
      <c r="AJ3" s="1"/>
      <c r="AK3" s="1"/>
      <c r="AL3" s="1"/>
      <c r="AM3" s="29">
        <f>'комплекты фурнитуры'!$Q$68</f>
        <v>500</v>
      </c>
      <c r="AN3" s="29">
        <f>'комплекты фурнитуры'!$Q$69</f>
        <v>130</v>
      </c>
      <c r="AO3" s="29"/>
      <c r="AP3" s="29"/>
      <c r="AQ3" s="29"/>
      <c r="AR3" s="29"/>
      <c r="AS3" s="29"/>
      <c r="AT3" s="29"/>
      <c r="AU3" s="29"/>
      <c r="AV3" s="29"/>
      <c r="AW3" s="29"/>
      <c r="AX3" s="29"/>
      <c r="AY3" s="29"/>
      <c r="AZ3" s="29"/>
      <c r="BA3" s="29"/>
      <c r="BB3" s="29"/>
      <c r="BC3" s="29"/>
      <c r="BD3" s="29"/>
      <c r="BE3" s="29"/>
      <c r="BF3" s="29"/>
      <c r="BG3" s="29"/>
      <c r="BH3" s="29"/>
      <c r="BI3" s="29"/>
      <c r="BJ3" s="29"/>
      <c r="BK3" s="29"/>
      <c r="BL3" s="29"/>
      <c r="BM3" s="29"/>
      <c r="BN3" s="29"/>
      <c r="BO3" s="29"/>
      <c r="BP3" s="28">
        <f>Прайс[[#This Row],[КФ петли SENS накл.110 гр. с крестообр. Планкой]]*2</f>
        <v>1000</v>
      </c>
      <c r="BQ3" s="28">
        <f>Прайс[[#This Row],[KFP-SB-N110]]*2</f>
        <v>260</v>
      </c>
      <c r="BR3" s="28">
        <f>Прайс[[#This Row],[KFP-SB-N110]]*2</f>
        <v>260</v>
      </c>
      <c r="BS3" s="1">
        <v>300</v>
      </c>
      <c r="BT3" s="1">
        <v>720</v>
      </c>
      <c r="BU3" s="1" t="str">
        <f>IF(OR(Прайс[[#This Row],[Тип]]="Нижний",Прайс[[#This Row],[Тип]]="Пенал"),"560",IF(Прайс[[#This Row],[Тип]]="Верхний",315,0))</f>
        <v>560</v>
      </c>
      <c r="BV3" s="28">
        <v>1.08</v>
      </c>
      <c r="BW3" s="28">
        <v>1.0649999999999999</v>
      </c>
      <c r="BX3" s="28">
        <v>1.3</v>
      </c>
      <c r="BY3" s="1">
        <v>0</v>
      </c>
      <c r="BZ3" s="1">
        <v>2</v>
      </c>
      <c r="CA3" s="1" t="s">
        <v>87</v>
      </c>
      <c r="CB3" s="28" t="s">
        <v>818</v>
      </c>
      <c r="CC3" s="1"/>
      <c r="CD3" s="343"/>
    </row>
    <row r="4" spans="1:83" ht="15" customHeight="1" x14ac:dyDescent="0.25">
      <c r="A4" s="338" t="s">
        <v>11</v>
      </c>
      <c r="B4" s="1" t="s">
        <v>6</v>
      </c>
      <c r="C4" s="1" t="s">
        <v>129</v>
      </c>
      <c r="D4" s="1" t="s">
        <v>89</v>
      </c>
      <c r="E4" s="1" t="s">
        <v>10</v>
      </c>
      <c r="F4" s="1" t="s">
        <v>144</v>
      </c>
      <c r="G4" s="273">
        <v>720</v>
      </c>
      <c r="H4" s="273">
        <v>720</v>
      </c>
      <c r="I4" s="273">
        <v>400</v>
      </c>
      <c r="J4" s="273">
        <v>900</v>
      </c>
      <c r="K4" s="273">
        <v>250</v>
      </c>
      <c r="L4" s="273">
        <v>700</v>
      </c>
      <c r="M4" s="1"/>
      <c r="N4" s="268"/>
      <c r="O4" s="252">
        <v>2060</v>
      </c>
      <c r="P4" s="252"/>
      <c r="Q4" s="252"/>
      <c r="R4" s="1">
        <f>'комплекты фурнитуры'!$Q$10</f>
        <v>540</v>
      </c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>
        <f>'комплекты фурнитуры'!$Q$26*2</f>
        <v>540</v>
      </c>
      <c r="AF4" s="1"/>
      <c r="AG4" s="1"/>
      <c r="AH4" s="29">
        <f>SUM(Прайс[[#This Row],[КФ НСТ11]:[KFPr-SB-ZPG]])</f>
        <v>1080</v>
      </c>
      <c r="AI4" s="29"/>
      <c r="AJ4" s="1"/>
      <c r="AK4" s="1"/>
      <c r="AL4" s="1"/>
      <c r="AM4" s="29">
        <f>'комплекты фурнитуры'!$Q$68</f>
        <v>500</v>
      </c>
      <c r="AN4" s="29">
        <f>'комплекты фурнитуры'!$Q$69</f>
        <v>130</v>
      </c>
      <c r="AO4" s="29"/>
      <c r="AP4" s="29"/>
      <c r="AQ4" s="29"/>
      <c r="AR4" s="29"/>
      <c r="AS4" s="29"/>
      <c r="AT4" s="29"/>
      <c r="AU4" s="29"/>
      <c r="AV4" s="29"/>
      <c r="AW4" s="29"/>
      <c r="AX4" s="29"/>
      <c r="AY4" s="29"/>
      <c r="AZ4" s="29"/>
      <c r="BA4" s="29"/>
      <c r="BB4" s="29"/>
      <c r="BC4" s="29"/>
      <c r="BD4" s="29"/>
      <c r="BE4" s="29"/>
      <c r="BF4" s="29"/>
      <c r="BG4" s="29"/>
      <c r="BH4" s="29"/>
      <c r="BI4" s="29"/>
      <c r="BJ4" s="29"/>
      <c r="BK4" s="29"/>
      <c r="BL4" s="29"/>
      <c r="BM4" s="29"/>
      <c r="BN4" s="29"/>
      <c r="BO4" s="29"/>
      <c r="BP4" s="28">
        <f>Прайс[[#This Row],[КФ петли SENS накл.110 гр. с крестообр. Планкой]]*4</f>
        <v>2000</v>
      </c>
      <c r="BQ4" s="28">
        <f>Прайс[[#This Row],[KFP-SB-N110]]*4</f>
        <v>520</v>
      </c>
      <c r="BR4" s="28">
        <f>Прайс[[#This Row],[KFP-SB-N110]]*4</f>
        <v>520</v>
      </c>
      <c r="BS4" s="1">
        <v>300</v>
      </c>
      <c r="BT4" s="1">
        <v>720</v>
      </c>
      <c r="BU4" s="1" t="str">
        <f>IF(OR(Прайс[[#This Row],[Тип]]="Нижний",Прайс[[#This Row],[Тип]]="Пенал"),"560",IF(Прайс[[#This Row],[Тип]]="Верхний",315,0))</f>
        <v>560</v>
      </c>
      <c r="BV4" s="28">
        <v>1.08</v>
      </c>
      <c r="BW4" s="28">
        <v>1.0649999999999999</v>
      </c>
      <c r="BX4" s="28">
        <v>1.3</v>
      </c>
      <c r="BY4" s="1">
        <v>0</v>
      </c>
      <c r="BZ4" s="1">
        <v>2</v>
      </c>
      <c r="CA4" s="1" t="s">
        <v>87</v>
      </c>
      <c r="CB4" s="28" t="s">
        <v>818</v>
      </c>
      <c r="CC4" s="1"/>
      <c r="CD4" s="343"/>
    </row>
    <row r="5" spans="1:83" ht="15" customHeight="1" x14ac:dyDescent="0.25">
      <c r="A5" s="338" t="s">
        <v>697</v>
      </c>
      <c r="B5" s="1" t="s">
        <v>6</v>
      </c>
      <c r="C5" s="1" t="s">
        <v>731</v>
      </c>
      <c r="D5" s="1" t="s">
        <v>89</v>
      </c>
      <c r="E5" s="1" t="s">
        <v>10</v>
      </c>
      <c r="F5" s="1" t="s">
        <v>145</v>
      </c>
      <c r="G5" s="273">
        <v>720</v>
      </c>
      <c r="H5" s="273">
        <v>720</v>
      </c>
      <c r="I5" s="273">
        <v>150</v>
      </c>
      <c r="J5" s="273">
        <v>450</v>
      </c>
      <c r="K5" s="273">
        <v>515</v>
      </c>
      <c r="L5" s="273">
        <v>700</v>
      </c>
      <c r="M5" s="1"/>
      <c r="N5" s="268" t="s">
        <v>67</v>
      </c>
      <c r="O5" s="251">
        <v>2060</v>
      </c>
      <c r="P5" s="251"/>
      <c r="Q5" s="251"/>
      <c r="R5" s="1">
        <f>'комплекты фурнитуры'!$Q$10</f>
        <v>540</v>
      </c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>
        <f>'комплекты фурнитуры'!$Q$26*2</f>
        <v>540</v>
      </c>
      <c r="AF5" s="1"/>
      <c r="AG5" s="1"/>
      <c r="AH5" s="29">
        <f>SUM(Прайс[[#This Row],[КФ НСТ11]:[KFPr-SB-ZPG]])</f>
        <v>1080</v>
      </c>
      <c r="AI5" s="29"/>
      <c r="AJ5" s="1"/>
      <c r="AK5" s="1"/>
      <c r="AL5" s="1"/>
      <c r="AM5" s="29"/>
      <c r="AN5" s="29"/>
      <c r="AO5" s="29"/>
      <c r="AP5" s="29"/>
      <c r="AQ5" s="29"/>
      <c r="AR5" s="29"/>
      <c r="AS5" s="29"/>
      <c r="AT5" s="29"/>
      <c r="AU5" s="29"/>
      <c r="AV5" s="29"/>
      <c r="AW5" s="29"/>
      <c r="AX5" s="29"/>
      <c r="AY5" s="29"/>
      <c r="AZ5" s="29"/>
      <c r="BA5" s="29"/>
      <c r="BB5" s="29"/>
      <c r="BC5" s="29"/>
      <c r="BD5" s="29"/>
      <c r="BE5" s="29"/>
      <c r="BF5" s="29"/>
      <c r="BG5" s="29"/>
      <c r="BH5" s="29"/>
      <c r="BI5" s="29"/>
      <c r="BJ5" s="29"/>
      <c r="BK5" s="29">
        <f>'комплекты фурнитуры'!$Q$48</f>
        <v>11560</v>
      </c>
      <c r="BL5" s="29"/>
      <c r="BM5" s="29">
        <f>'комплекты фурнитуры'!$Q$91</f>
        <v>10</v>
      </c>
      <c r="BN5" s="29"/>
      <c r="BO5" s="29"/>
      <c r="BP5" s="28">
        <f>Прайс[[#This Row],[KFS-SB-BYT]]+Прайс[[#This Row],[КФ евровинт]]*2</f>
        <v>11580</v>
      </c>
      <c r="BQ5" s="28">
        <v>0</v>
      </c>
      <c r="BR5" s="28">
        <v>0</v>
      </c>
      <c r="BS5" s="1">
        <v>300</v>
      </c>
      <c r="BT5" s="1">
        <v>720</v>
      </c>
      <c r="BU5" s="1" t="str">
        <f>IF(OR(Прайс[[#This Row],[Тип]]="Нижний",Прайс[[#This Row],[Тип]]="Пенал"),"560",IF(Прайс[[#This Row],[Тип]]="Верхний",315,0))</f>
        <v>560</v>
      </c>
      <c r="BV5" s="28">
        <v>1.08</v>
      </c>
      <c r="BW5" s="28">
        <v>1.0649999999999999</v>
      </c>
      <c r="BX5" s="28">
        <v>1.3</v>
      </c>
      <c r="BY5" s="1">
        <v>0</v>
      </c>
      <c r="BZ5" s="1">
        <v>0</v>
      </c>
      <c r="CA5" s="1" t="s">
        <v>10</v>
      </c>
      <c r="CB5" s="28" t="s">
        <v>819</v>
      </c>
      <c r="CC5" s="1"/>
      <c r="CD5" s="343"/>
    </row>
    <row r="6" spans="1:83" ht="15" customHeight="1" x14ac:dyDescent="0.25">
      <c r="A6" s="338" t="s">
        <v>698</v>
      </c>
      <c r="B6" s="1" t="s">
        <v>6</v>
      </c>
      <c r="C6" s="1" t="s">
        <v>732</v>
      </c>
      <c r="D6" s="1" t="s">
        <v>89</v>
      </c>
      <c r="E6" s="1" t="s">
        <v>10</v>
      </c>
      <c r="F6" s="1" t="s">
        <v>145</v>
      </c>
      <c r="G6" s="273">
        <v>720</v>
      </c>
      <c r="H6" s="273">
        <v>720</v>
      </c>
      <c r="I6" s="273">
        <v>150</v>
      </c>
      <c r="J6" s="273">
        <v>450</v>
      </c>
      <c r="K6" s="273">
        <v>515</v>
      </c>
      <c r="L6" s="273">
        <v>700</v>
      </c>
      <c r="M6" s="1"/>
      <c r="N6" s="268" t="s">
        <v>67</v>
      </c>
      <c r="O6" s="251">
        <v>2060</v>
      </c>
      <c r="P6" s="251"/>
      <c r="Q6" s="251"/>
      <c r="R6" s="1">
        <f>'комплекты фурнитуры'!$Q$10</f>
        <v>540</v>
      </c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>
        <f>'комплекты фурнитуры'!$Q$26*2</f>
        <v>540</v>
      </c>
      <c r="AF6" s="1"/>
      <c r="AG6" s="1"/>
      <c r="AH6" s="29">
        <f>SUM(Прайс[[#This Row],[КФ НСТ11]:[KFPr-SB-ZPG]])</f>
        <v>1080</v>
      </c>
      <c r="AI6" s="29"/>
      <c r="AJ6" s="1"/>
      <c r="AK6" s="1"/>
      <c r="AL6" s="1"/>
      <c r="AM6" s="29"/>
      <c r="AN6" s="29"/>
      <c r="AO6" s="29"/>
      <c r="AP6" s="29"/>
      <c r="AQ6" s="29"/>
      <c r="AR6" s="29"/>
      <c r="AS6" s="29"/>
      <c r="AT6" s="29"/>
      <c r="AU6" s="29"/>
      <c r="AV6" s="29"/>
      <c r="AW6" s="29"/>
      <c r="AX6" s="29"/>
      <c r="AY6" s="29"/>
      <c r="AZ6" s="29"/>
      <c r="BA6" s="29"/>
      <c r="BB6" s="29"/>
      <c r="BC6" s="29"/>
      <c r="BD6" s="29"/>
      <c r="BE6" s="29"/>
      <c r="BF6" s="29"/>
      <c r="BG6" s="29"/>
      <c r="BH6" s="29"/>
      <c r="BI6" s="29"/>
      <c r="BJ6" s="29"/>
      <c r="BK6" s="29"/>
      <c r="BL6" s="29">
        <f>'комплекты фурнитуры'!$Q$50</f>
        <v>11370</v>
      </c>
      <c r="BM6" s="29">
        <f>'комплекты фурнитуры'!$Q$91</f>
        <v>10</v>
      </c>
      <c r="BN6" s="29"/>
      <c r="BO6" s="29"/>
      <c r="BP6" s="28">
        <f>Прайс[[#This Row],[Корзина с держателем для бутылок 414*500*520 мм]]+Прайс[[#This Row],[КФ евровинт]]*2</f>
        <v>11390</v>
      </c>
      <c r="BQ6" s="28">
        <v>0</v>
      </c>
      <c r="BR6" s="28">
        <v>0</v>
      </c>
      <c r="BS6" s="1">
        <v>300</v>
      </c>
      <c r="BT6" s="1">
        <v>720</v>
      </c>
      <c r="BU6" s="1" t="str">
        <f>IF(OR(Прайс[[#This Row],[Тип]]="Нижний",Прайс[[#This Row],[Тип]]="Пенал"),"560",IF(Прайс[[#This Row],[Тип]]="Верхний",315,0))</f>
        <v>560</v>
      </c>
      <c r="BV6" s="28">
        <v>1.08</v>
      </c>
      <c r="BW6" s="28">
        <v>1.0649999999999999</v>
      </c>
      <c r="BX6" s="28">
        <v>1.3</v>
      </c>
      <c r="BY6" s="1">
        <v>0</v>
      </c>
      <c r="BZ6" s="1">
        <v>0</v>
      </c>
      <c r="CA6" s="1" t="s">
        <v>10</v>
      </c>
      <c r="CB6" s="28" t="s">
        <v>819</v>
      </c>
      <c r="CC6" s="1"/>
      <c r="CD6" s="343"/>
    </row>
    <row r="7" spans="1:83" x14ac:dyDescent="0.25">
      <c r="A7" s="338" t="s">
        <v>13</v>
      </c>
      <c r="B7" s="1" t="s">
        <v>6</v>
      </c>
      <c r="C7" s="1" t="s">
        <v>97</v>
      </c>
      <c r="D7" s="1" t="s">
        <v>89</v>
      </c>
      <c r="E7" s="1" t="s">
        <v>10</v>
      </c>
      <c r="F7" s="1" t="s">
        <v>146</v>
      </c>
      <c r="G7" s="273">
        <v>720</v>
      </c>
      <c r="H7" s="273">
        <v>720</v>
      </c>
      <c r="I7" s="273">
        <v>300</v>
      </c>
      <c r="J7" s="273">
        <v>600</v>
      </c>
      <c r="K7" s="273">
        <v>250</v>
      </c>
      <c r="L7" s="273">
        <v>700</v>
      </c>
      <c r="M7" s="1"/>
      <c r="N7" s="268"/>
      <c r="O7" s="251">
        <v>2100</v>
      </c>
      <c r="P7" s="251"/>
      <c r="Q7" s="251"/>
      <c r="R7" s="1"/>
      <c r="S7" s="1">
        <f>'комплекты фурнитуры'!$Q$11</f>
        <v>460</v>
      </c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>
        <f>'комплекты фурнитуры'!$Q$26*2</f>
        <v>540</v>
      </c>
      <c r="AF7" s="1"/>
      <c r="AG7" s="1"/>
      <c r="AH7" s="29">
        <f>SUM(Прайс[[#This Row],[КФ НСТ11]:[KFPr-SB-ZPG]])</f>
        <v>1000</v>
      </c>
      <c r="AI7" s="29"/>
      <c r="AJ7" s="1"/>
      <c r="AK7" s="1"/>
      <c r="AL7" s="1"/>
      <c r="AM7" s="29">
        <f>'комплекты фурнитуры'!$Q$68</f>
        <v>500</v>
      </c>
      <c r="AN7" s="29">
        <f>'комплекты фурнитуры'!$Q$69</f>
        <v>130</v>
      </c>
      <c r="AO7" s="29"/>
      <c r="AP7" s="29"/>
      <c r="AQ7" s="29"/>
      <c r="AR7" s="29"/>
      <c r="AS7" s="29"/>
      <c r="AT7" s="29"/>
      <c r="AU7" s="29"/>
      <c r="AV7" s="29"/>
      <c r="AW7" s="29"/>
      <c r="AX7" s="29"/>
      <c r="AY7" s="29"/>
      <c r="AZ7" s="29"/>
      <c r="BA7" s="29"/>
      <c r="BB7" s="29"/>
      <c r="BC7" s="29"/>
      <c r="BD7" s="29"/>
      <c r="BE7" s="29"/>
      <c r="BF7" s="29"/>
      <c r="BG7" s="29"/>
      <c r="BH7" s="29"/>
      <c r="BI7" s="29"/>
      <c r="BJ7" s="29"/>
      <c r="BK7" s="29"/>
      <c r="BL7" s="29"/>
      <c r="BM7" s="29"/>
      <c r="BN7" s="29"/>
      <c r="BO7" s="29"/>
      <c r="BP7" s="28">
        <f>Прайс[[#This Row],[КФ петли SENS накл.110 гр. с крестообр. Планкой]]*2</f>
        <v>1000</v>
      </c>
      <c r="BQ7" s="28">
        <f>Прайс[[#This Row],[KFP-SB-N110]]*2</f>
        <v>260</v>
      </c>
      <c r="BR7" s="28">
        <f>Прайс[[#This Row],[KFP-SB-N110]]*2</f>
        <v>260</v>
      </c>
      <c r="BS7" s="1">
        <v>450</v>
      </c>
      <c r="BT7" s="1">
        <v>720</v>
      </c>
      <c r="BU7" s="1" t="str">
        <f>IF(OR(Прайс[[#This Row],[Тип]]="Нижний",Прайс[[#This Row],[Тип]]="Пенал"),"560",IF(Прайс[[#This Row],[Тип]]="Верхний",315,0))</f>
        <v>560</v>
      </c>
      <c r="BV7" s="28">
        <v>1.08</v>
      </c>
      <c r="BW7" s="28">
        <v>1.0649999999999999</v>
      </c>
      <c r="BX7" s="28">
        <v>1.3</v>
      </c>
      <c r="BY7" s="1">
        <v>0</v>
      </c>
      <c r="BZ7" s="1">
        <v>0</v>
      </c>
      <c r="CA7" s="1" t="s">
        <v>87</v>
      </c>
      <c r="CB7" s="28" t="s">
        <v>818</v>
      </c>
      <c r="CC7" s="1"/>
      <c r="CD7" s="343"/>
    </row>
    <row r="8" spans="1:83" ht="15" customHeight="1" x14ac:dyDescent="0.25">
      <c r="A8" s="338" t="s">
        <v>14</v>
      </c>
      <c r="B8" s="1" t="s">
        <v>6</v>
      </c>
      <c r="C8" s="1" t="s">
        <v>96</v>
      </c>
      <c r="D8" s="1" t="s">
        <v>89</v>
      </c>
      <c r="E8" s="1" t="s">
        <v>10</v>
      </c>
      <c r="F8" s="1" t="s">
        <v>146</v>
      </c>
      <c r="G8" s="273">
        <v>720</v>
      </c>
      <c r="H8" s="273">
        <v>720</v>
      </c>
      <c r="I8" s="273">
        <v>400</v>
      </c>
      <c r="J8" s="273">
        <v>900</v>
      </c>
      <c r="K8" s="273">
        <v>250</v>
      </c>
      <c r="L8" s="273">
        <v>700</v>
      </c>
      <c r="M8" s="1"/>
      <c r="N8" s="268"/>
      <c r="O8" s="251">
        <v>2100</v>
      </c>
      <c r="P8" s="251"/>
      <c r="Q8" s="251"/>
      <c r="R8" s="1"/>
      <c r="S8" s="1">
        <f>'комплекты фурнитуры'!$Q$11</f>
        <v>460</v>
      </c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>
        <f>'комплекты фурнитуры'!$Q$26*2</f>
        <v>540</v>
      </c>
      <c r="AF8" s="1"/>
      <c r="AG8" s="1"/>
      <c r="AH8" s="29">
        <f>SUM(Прайс[[#This Row],[КФ НСТ11]:[KFPr-SB-ZPG]])</f>
        <v>1000</v>
      </c>
      <c r="AI8" s="29"/>
      <c r="AJ8" s="1"/>
      <c r="AK8" s="1"/>
      <c r="AL8" s="1"/>
      <c r="AM8" s="29">
        <f>'комплекты фурнитуры'!$Q$68</f>
        <v>500</v>
      </c>
      <c r="AN8" s="29">
        <f>'комплекты фурнитуры'!$Q$69</f>
        <v>130</v>
      </c>
      <c r="AO8" s="29"/>
      <c r="AP8" s="29"/>
      <c r="AQ8" s="29"/>
      <c r="AR8" s="29"/>
      <c r="AS8" s="29"/>
      <c r="AT8" s="29"/>
      <c r="AU8" s="29"/>
      <c r="AV8" s="29"/>
      <c r="AW8" s="29"/>
      <c r="AX8" s="29"/>
      <c r="AY8" s="29"/>
      <c r="AZ8" s="29"/>
      <c r="BA8" s="29"/>
      <c r="BB8" s="29"/>
      <c r="BC8" s="29"/>
      <c r="BD8" s="29"/>
      <c r="BE8" s="29"/>
      <c r="BF8" s="29"/>
      <c r="BG8" s="29"/>
      <c r="BH8" s="29"/>
      <c r="BI8" s="29"/>
      <c r="BJ8" s="29"/>
      <c r="BK8" s="29"/>
      <c r="BL8" s="29"/>
      <c r="BM8" s="29"/>
      <c r="BN8" s="29"/>
      <c r="BO8" s="29"/>
      <c r="BP8" s="28">
        <f>Прайс[[#This Row],[КФ петли SENS накл.110 гр. с крестообр. Планкой]]*4</f>
        <v>2000</v>
      </c>
      <c r="BQ8" s="28">
        <f>Прайс[[#This Row],[KFP-SB-N110]]*4</f>
        <v>520</v>
      </c>
      <c r="BR8" s="28">
        <f>Прайс[[#This Row],[KFP-SB-N110]]*4</f>
        <v>520</v>
      </c>
      <c r="BS8" s="1">
        <v>450</v>
      </c>
      <c r="BT8" s="1">
        <v>720</v>
      </c>
      <c r="BU8" s="1" t="str">
        <f>IF(OR(Прайс[[#This Row],[Тип]]="Нижний",Прайс[[#This Row],[Тип]]="Пенал"),"560",IF(Прайс[[#This Row],[Тип]]="Верхний",315,0))</f>
        <v>560</v>
      </c>
      <c r="BV8" s="28">
        <v>1.08</v>
      </c>
      <c r="BW8" s="28">
        <v>1.0649999999999999</v>
      </c>
      <c r="BX8" s="28">
        <v>1.3</v>
      </c>
      <c r="BY8" s="1">
        <v>0</v>
      </c>
      <c r="BZ8" s="1">
        <v>0</v>
      </c>
      <c r="CA8" s="1" t="s">
        <v>87</v>
      </c>
      <c r="CB8" s="28" t="s">
        <v>818</v>
      </c>
      <c r="CC8" s="1"/>
      <c r="CD8" s="343"/>
    </row>
    <row r="9" spans="1:83" ht="15" customHeight="1" x14ac:dyDescent="0.25">
      <c r="A9" s="338" t="s">
        <v>191</v>
      </c>
      <c r="B9" s="1" t="s">
        <v>6</v>
      </c>
      <c r="C9" s="1" t="s">
        <v>718</v>
      </c>
      <c r="D9" s="1" t="s">
        <v>85</v>
      </c>
      <c r="E9" s="1" t="s">
        <v>10</v>
      </c>
      <c r="F9" s="1" t="s">
        <v>144</v>
      </c>
      <c r="G9" s="273">
        <v>720</v>
      </c>
      <c r="H9" s="273">
        <v>720</v>
      </c>
      <c r="I9" s="273">
        <v>710</v>
      </c>
      <c r="J9" s="273">
        <v>950</v>
      </c>
      <c r="K9" s="273">
        <v>360</v>
      </c>
      <c r="L9" s="273">
        <v>560</v>
      </c>
      <c r="M9" s="1"/>
      <c r="N9" s="268" t="s">
        <v>68</v>
      </c>
      <c r="O9" s="251">
        <v>3070</v>
      </c>
      <c r="P9" s="251"/>
      <c r="Q9" s="251"/>
      <c r="R9" s="1"/>
      <c r="S9" s="1"/>
      <c r="T9" s="1">
        <f>'комплекты фурнитуры'!$Q$13</f>
        <v>810</v>
      </c>
      <c r="U9" s="1"/>
      <c r="V9" s="1"/>
      <c r="W9" s="1"/>
      <c r="X9" s="1"/>
      <c r="Y9" s="1"/>
      <c r="Z9" s="1"/>
      <c r="AA9" s="1"/>
      <c r="AB9" s="1"/>
      <c r="AC9" s="1"/>
      <c r="AD9" s="1"/>
      <c r="AE9" s="1">
        <f>'комплекты фурнитуры'!$Q$26*2</f>
        <v>540</v>
      </c>
      <c r="AF9" s="1"/>
      <c r="AG9" s="1"/>
      <c r="AH9" s="29">
        <f>SUM(Прайс[[#This Row],[КФ НСТ11]:[KFPr-SB-ZPG]])</f>
        <v>1350</v>
      </c>
      <c r="AI9" s="29"/>
      <c r="AJ9" s="1">
        <f>'комплекты фурнитуры'!$Q$85</f>
        <v>30</v>
      </c>
      <c r="AK9" s="1"/>
      <c r="AL9" s="1"/>
      <c r="AM9" s="29"/>
      <c r="AN9" s="29"/>
      <c r="AO9" s="29">
        <f>'комплекты фурнитуры'!$Q$62</f>
        <v>1300</v>
      </c>
      <c r="AP9" s="29">
        <f>'комплекты фурнитуры'!$Q$64</f>
        <v>480</v>
      </c>
      <c r="AQ9" s="29"/>
      <c r="AR9" s="29"/>
      <c r="AS9" s="29"/>
      <c r="AT9" s="29"/>
      <c r="AU9" s="29"/>
      <c r="AV9" s="29"/>
      <c r="AW9" s="29"/>
      <c r="AX9" s="29"/>
      <c r="AY9" s="29"/>
      <c r="AZ9" s="29"/>
      <c r="BA9" s="29"/>
      <c r="BB9" s="29"/>
      <c r="BC9" s="29"/>
      <c r="BD9" s="29"/>
      <c r="BE9" s="29"/>
      <c r="BF9" s="29"/>
      <c r="BG9" s="29"/>
      <c r="BH9" s="29"/>
      <c r="BI9" s="29"/>
      <c r="BJ9" s="29"/>
      <c r="BK9" s="29"/>
      <c r="BL9" s="29"/>
      <c r="BM9" s="29"/>
      <c r="BN9" s="29"/>
      <c r="BO9" s="29"/>
      <c r="BP9" s="28">
        <f>Прайс[[#This Row],[KFPr-SB-SPL]]+Прайс[[#This Row],[КФ петли вклад. 95 гр. с крестообр. планкой]]*2</f>
        <v>2630</v>
      </c>
      <c r="BQ9" s="28">
        <f>Прайс[[#This Row],[KFPr-SB-SPL]]+Прайс[[#This Row],[KFP-SB-PY94]]*2</f>
        <v>990</v>
      </c>
      <c r="BR9" s="28">
        <f>Прайс[[#This Row],[KFPr-SB-SPL]]+Прайс[[#This Row],[KFP-SB-PY94]]*2</f>
        <v>990</v>
      </c>
      <c r="BS9" s="1">
        <v>750</v>
      </c>
      <c r="BT9" s="1">
        <v>720</v>
      </c>
      <c r="BU9" s="1" t="str">
        <f>IF(OR(Прайс[[#This Row],[Тип]]="Нижний",Прайс[[#This Row],[Тип]]="Пенал"),"560",IF(Прайс[[#This Row],[Тип]]="Верхний",315,0))</f>
        <v>560</v>
      </c>
      <c r="BV9" s="28">
        <v>1.08</v>
      </c>
      <c r="BW9" s="28">
        <v>1.0649999999999999</v>
      </c>
      <c r="BX9" s="28">
        <v>1.3</v>
      </c>
      <c r="BY9" s="1">
        <v>0</v>
      </c>
      <c r="BZ9" s="1">
        <v>2</v>
      </c>
      <c r="CA9" s="1" t="s">
        <v>87</v>
      </c>
      <c r="CB9" s="28" t="s">
        <v>818</v>
      </c>
      <c r="CC9" s="1"/>
      <c r="CD9" s="343"/>
    </row>
    <row r="10" spans="1:83" ht="15" customHeight="1" x14ac:dyDescent="0.25">
      <c r="A10" s="337" t="s">
        <v>190</v>
      </c>
      <c r="B10" s="1" t="s">
        <v>6</v>
      </c>
      <c r="C10" s="1" t="s">
        <v>717</v>
      </c>
      <c r="D10" s="1" t="s">
        <v>85</v>
      </c>
      <c r="E10" s="1" t="s">
        <v>10</v>
      </c>
      <c r="F10" s="1" t="s">
        <v>144</v>
      </c>
      <c r="G10" s="273">
        <v>720</v>
      </c>
      <c r="H10" s="273">
        <v>720</v>
      </c>
      <c r="I10" s="273">
        <v>710</v>
      </c>
      <c r="J10" s="273">
        <v>950</v>
      </c>
      <c r="K10" s="273">
        <v>360</v>
      </c>
      <c r="L10" s="273">
        <v>560</v>
      </c>
      <c r="M10" s="1"/>
      <c r="N10" s="269"/>
      <c r="O10" s="251">
        <v>3070</v>
      </c>
      <c r="P10" s="251"/>
      <c r="Q10" s="251"/>
      <c r="R10" s="1"/>
      <c r="S10" s="1"/>
      <c r="T10" s="1">
        <f>'комплекты фурнитуры'!$Q$13</f>
        <v>810</v>
      </c>
      <c r="U10" s="1"/>
      <c r="V10" s="1"/>
      <c r="W10" s="1"/>
      <c r="X10" s="1"/>
      <c r="Y10" s="1"/>
      <c r="Z10" s="1"/>
      <c r="AA10" s="1"/>
      <c r="AB10" s="1"/>
      <c r="AC10" s="1"/>
      <c r="AD10" s="1"/>
      <c r="AE10" s="1">
        <f>'комплекты фурнитуры'!$Q$26*2</f>
        <v>540</v>
      </c>
      <c r="AF10" s="1"/>
      <c r="AG10" s="1"/>
      <c r="AH10" s="29">
        <f>SUM(Прайс[[#This Row],[КФ НСТ11]:[KFPr-SB-ZPG]])</f>
        <v>1350</v>
      </c>
      <c r="AI10" s="29"/>
      <c r="AJ10" s="1">
        <f>'комплекты фурнитуры'!$Q$85</f>
        <v>30</v>
      </c>
      <c r="AK10" s="1"/>
      <c r="AL10" s="1"/>
      <c r="AM10" s="29"/>
      <c r="AN10" s="29"/>
      <c r="AO10" s="29">
        <f>'комплекты фурнитуры'!$Q$62</f>
        <v>1300</v>
      </c>
      <c r="AP10" s="29">
        <f>'комплекты фурнитуры'!$Q$64</f>
        <v>480</v>
      </c>
      <c r="AQ10" s="29"/>
      <c r="AR10" s="29"/>
      <c r="AS10" s="29"/>
      <c r="AT10" s="29"/>
      <c r="AU10" s="29"/>
      <c r="AV10" s="29"/>
      <c r="AW10" s="29"/>
      <c r="AX10" s="29"/>
      <c r="AY10" s="29"/>
      <c r="AZ10" s="29"/>
      <c r="BA10" s="29"/>
      <c r="BB10" s="29"/>
      <c r="BC10" s="29"/>
      <c r="BD10" s="29"/>
      <c r="BE10" s="29"/>
      <c r="BF10" s="29"/>
      <c r="BG10" s="29"/>
      <c r="BH10" s="29"/>
      <c r="BI10" s="29"/>
      <c r="BJ10" s="29"/>
      <c r="BK10" s="29"/>
      <c r="BL10" s="29"/>
      <c r="BM10" s="29"/>
      <c r="BN10" s="29"/>
      <c r="BO10" s="29"/>
      <c r="BP10" s="28">
        <f>Прайс[[#This Row],[KFPr-SB-SPL]]+Прайс[[#This Row],[КФ петли вклад. 95 гр. с крестообр. планкой]]*2</f>
        <v>2630</v>
      </c>
      <c r="BQ10" s="28">
        <f>Прайс[[#This Row],[KFPr-SB-SPL]]+Прайс[[#This Row],[KFP-SB-PY94]]*2</f>
        <v>990</v>
      </c>
      <c r="BR10" s="28">
        <f>Прайс[[#This Row],[KFPr-SB-SPL]]+Прайс[[#This Row],[KFP-SB-PY94]]*2</f>
        <v>990</v>
      </c>
      <c r="BS10" s="1">
        <v>750</v>
      </c>
      <c r="BT10" s="1">
        <v>720</v>
      </c>
      <c r="BU10" s="1" t="str">
        <f>IF(OR(Прайс[[#This Row],[Тип]]="Нижний",Прайс[[#This Row],[Тип]]="Пенал"),"560",IF(Прайс[[#This Row],[Тип]]="Верхний",315,0))</f>
        <v>560</v>
      </c>
      <c r="BV10" s="28">
        <v>1.08</v>
      </c>
      <c r="BW10" s="28">
        <v>1.0649999999999999</v>
      </c>
      <c r="BX10" s="28">
        <v>1.3</v>
      </c>
      <c r="BY10" s="1">
        <v>0</v>
      </c>
      <c r="BZ10" s="1">
        <v>2</v>
      </c>
      <c r="CA10" s="1" t="s">
        <v>87</v>
      </c>
      <c r="CB10" s="28" t="s">
        <v>818</v>
      </c>
      <c r="CC10" s="1"/>
      <c r="CD10" s="343"/>
    </row>
    <row r="11" spans="1:83" ht="15" customHeight="1" x14ac:dyDescent="0.25">
      <c r="A11" s="338" t="s">
        <v>193</v>
      </c>
      <c r="B11" s="1" t="s">
        <v>6</v>
      </c>
      <c r="C11" s="1" t="s">
        <v>719</v>
      </c>
      <c r="D11" s="1" t="s">
        <v>85</v>
      </c>
      <c r="E11" s="1" t="s">
        <v>10</v>
      </c>
      <c r="F11" s="1" t="s">
        <v>146</v>
      </c>
      <c r="G11" s="273">
        <v>720</v>
      </c>
      <c r="H11" s="273">
        <v>720</v>
      </c>
      <c r="I11" s="273">
        <v>710</v>
      </c>
      <c r="J11" s="273">
        <v>950</v>
      </c>
      <c r="K11" s="273">
        <v>360</v>
      </c>
      <c r="L11" s="273">
        <v>560</v>
      </c>
      <c r="M11" s="1"/>
      <c r="N11" s="268" t="s">
        <v>68</v>
      </c>
      <c r="O11" s="251">
        <v>2850</v>
      </c>
      <c r="P11" s="251"/>
      <c r="Q11" s="251"/>
      <c r="R11" s="1"/>
      <c r="S11" s="1"/>
      <c r="T11" s="1"/>
      <c r="U11" s="1">
        <f>'комплекты фурнитуры'!$Q$15</f>
        <v>740</v>
      </c>
      <c r="V11" s="1"/>
      <c r="W11" s="1"/>
      <c r="X11" s="1"/>
      <c r="Y11" s="1"/>
      <c r="Z11" s="1"/>
      <c r="AA11" s="1"/>
      <c r="AB11" s="1"/>
      <c r="AC11" s="1"/>
      <c r="AD11" s="1"/>
      <c r="AE11" s="1">
        <f>'комплекты фурнитуры'!$Q$26*2</f>
        <v>540</v>
      </c>
      <c r="AF11" s="1"/>
      <c r="AG11" s="1"/>
      <c r="AH11" s="29">
        <f>SUM(Прайс[[#This Row],[КФ НСТ11]:[KFPr-SB-ZPG]])</f>
        <v>1280</v>
      </c>
      <c r="AI11" s="29"/>
      <c r="AJ11" s="1">
        <f>'комплекты фурнитуры'!$Q$85</f>
        <v>30</v>
      </c>
      <c r="AK11" s="1"/>
      <c r="AL11" s="1"/>
      <c r="AM11" s="29"/>
      <c r="AN11" s="29"/>
      <c r="AO11" s="29">
        <f>'комплекты фурнитуры'!$Q$62</f>
        <v>1300</v>
      </c>
      <c r="AP11" s="29">
        <f>'комплекты фурнитуры'!$Q$64</f>
        <v>480</v>
      </c>
      <c r="AQ11" s="29"/>
      <c r="AR11" s="29"/>
      <c r="AS11" s="29"/>
      <c r="AT11" s="29"/>
      <c r="AU11" s="29"/>
      <c r="AV11" s="29"/>
      <c r="AW11" s="29"/>
      <c r="AX11" s="29"/>
      <c r="AY11" s="29"/>
      <c r="AZ11" s="29"/>
      <c r="BA11" s="29"/>
      <c r="BB11" s="29"/>
      <c r="BC11" s="29"/>
      <c r="BD11" s="29"/>
      <c r="BE11" s="29"/>
      <c r="BF11" s="29"/>
      <c r="BG11" s="29"/>
      <c r="BH11" s="29"/>
      <c r="BI11" s="29"/>
      <c r="BJ11" s="29"/>
      <c r="BK11" s="29"/>
      <c r="BL11" s="29"/>
      <c r="BM11" s="29"/>
      <c r="BN11" s="29"/>
      <c r="BO11" s="29"/>
      <c r="BP11" s="28">
        <f>Прайс[[#This Row],[KFPr-SB-SPL]]+Прайс[[#This Row],[КФ петли вклад. 95 гр. с крестообр. планкой]]*2</f>
        <v>2630</v>
      </c>
      <c r="BQ11" s="28">
        <f>Прайс[[#This Row],[KFPr-SB-SPL]]+Прайс[[#This Row],[KFP-SB-PY94]]*2</f>
        <v>990</v>
      </c>
      <c r="BR11" s="28">
        <f>Прайс[[#This Row],[KFPr-SB-SPL]]+Прайс[[#This Row],[KFP-SB-PY94]]*2</f>
        <v>990</v>
      </c>
      <c r="BS11" s="1">
        <v>750</v>
      </c>
      <c r="BT11" s="1">
        <v>720</v>
      </c>
      <c r="BU11" s="1" t="str">
        <f>IF(OR(Прайс[[#This Row],[Тип]]="Нижний",Прайс[[#This Row],[Тип]]="Пенал"),"560",IF(Прайс[[#This Row],[Тип]]="Верхний",315,0))</f>
        <v>560</v>
      </c>
      <c r="BV11" s="28">
        <v>1.08</v>
      </c>
      <c r="BW11" s="28">
        <v>1.0649999999999999</v>
      </c>
      <c r="BX11" s="28">
        <v>0</v>
      </c>
      <c r="BY11" s="1">
        <v>0</v>
      </c>
      <c r="BZ11" s="1">
        <v>0</v>
      </c>
      <c r="CA11" s="1" t="s">
        <v>87</v>
      </c>
      <c r="CB11" s="28" t="s">
        <v>818</v>
      </c>
      <c r="CC11" s="1"/>
      <c r="CD11" s="343"/>
      <c r="CE11" t="s">
        <v>763</v>
      </c>
    </row>
    <row r="12" spans="1:83" ht="15" customHeight="1" x14ac:dyDescent="0.25">
      <c r="A12" s="337" t="s">
        <v>192</v>
      </c>
      <c r="B12" s="1" t="s">
        <v>6</v>
      </c>
      <c r="C12" s="1" t="s">
        <v>720</v>
      </c>
      <c r="D12" s="1" t="s">
        <v>85</v>
      </c>
      <c r="E12" s="1" t="s">
        <v>10</v>
      </c>
      <c r="F12" s="1" t="s">
        <v>146</v>
      </c>
      <c r="G12" s="273">
        <v>720</v>
      </c>
      <c r="H12" s="273">
        <v>720</v>
      </c>
      <c r="I12" s="273">
        <v>710</v>
      </c>
      <c r="J12" s="273">
        <v>950</v>
      </c>
      <c r="K12" s="273">
        <v>360</v>
      </c>
      <c r="L12" s="273">
        <v>560</v>
      </c>
      <c r="M12" s="1"/>
      <c r="N12" s="269"/>
      <c r="O12" s="251">
        <v>2850</v>
      </c>
      <c r="P12" s="251"/>
      <c r="Q12" s="251"/>
      <c r="R12" s="1"/>
      <c r="S12" s="1"/>
      <c r="T12" s="1"/>
      <c r="U12" s="1">
        <f>'комплекты фурнитуры'!$Q$15</f>
        <v>740</v>
      </c>
      <c r="V12" s="1"/>
      <c r="W12" s="1"/>
      <c r="X12" s="1"/>
      <c r="Y12" s="1"/>
      <c r="Z12" s="1"/>
      <c r="AA12" s="1"/>
      <c r="AB12" s="1"/>
      <c r="AC12" s="1"/>
      <c r="AD12" s="1"/>
      <c r="AE12" s="1">
        <f>'комплекты фурнитуры'!$Q$26*2</f>
        <v>540</v>
      </c>
      <c r="AF12" s="1"/>
      <c r="AG12" s="1"/>
      <c r="AH12" s="29">
        <f>SUM(Прайс[[#This Row],[КФ НСТ11]:[KFPr-SB-ZPG]])</f>
        <v>1280</v>
      </c>
      <c r="AI12" s="29"/>
      <c r="AJ12" s="1">
        <f>'комплекты фурнитуры'!$Q$85</f>
        <v>30</v>
      </c>
      <c r="AK12" s="1"/>
      <c r="AL12" s="1"/>
      <c r="AM12" s="29"/>
      <c r="AN12" s="29"/>
      <c r="AO12" s="29">
        <f>'комплекты фурнитуры'!$Q$62</f>
        <v>1300</v>
      </c>
      <c r="AP12" s="29">
        <f>'комплекты фурнитуры'!$Q$64</f>
        <v>480</v>
      </c>
      <c r="AQ12" s="29"/>
      <c r="AR12" s="29"/>
      <c r="AS12" s="29"/>
      <c r="AT12" s="29"/>
      <c r="AU12" s="29"/>
      <c r="AV12" s="29"/>
      <c r="AW12" s="29"/>
      <c r="AX12" s="29"/>
      <c r="AY12" s="29"/>
      <c r="AZ12" s="29"/>
      <c r="BA12" s="29"/>
      <c r="BB12" s="29"/>
      <c r="BC12" s="29"/>
      <c r="BD12" s="29"/>
      <c r="BE12" s="29"/>
      <c r="BF12" s="29"/>
      <c r="BG12" s="29"/>
      <c r="BH12" s="29"/>
      <c r="BI12" s="29"/>
      <c r="BJ12" s="29"/>
      <c r="BK12" s="29"/>
      <c r="BL12" s="29"/>
      <c r="BM12" s="29"/>
      <c r="BN12" s="29"/>
      <c r="BO12" s="29"/>
      <c r="BP12" s="28">
        <f>Прайс[[#This Row],[KFPr-SB-SPL]]+Прайс[[#This Row],[КФ петли вклад. 95 гр. с крестообр. планкой]]*2</f>
        <v>2630</v>
      </c>
      <c r="BQ12" s="28">
        <f>Прайс[[#This Row],[KFPr-SB-SPL]]+Прайс[[#This Row],[KFP-SB-PY94]]*2</f>
        <v>990</v>
      </c>
      <c r="BR12" s="28">
        <f>Прайс[[#This Row],[KFPr-SB-SPL]]+Прайс[[#This Row],[KFP-SB-PY94]]*2</f>
        <v>990</v>
      </c>
      <c r="BS12" s="1">
        <v>750</v>
      </c>
      <c r="BT12" s="1">
        <v>720</v>
      </c>
      <c r="BU12" s="1" t="str">
        <f>IF(OR(Прайс[[#This Row],[Тип]]="Нижний",Прайс[[#This Row],[Тип]]="Пенал"),"560",IF(Прайс[[#This Row],[Тип]]="Верхний",315,0))</f>
        <v>560</v>
      </c>
      <c r="BV12" s="28">
        <v>1.08</v>
      </c>
      <c r="BW12" s="28">
        <v>1.0649999999999999</v>
      </c>
      <c r="BX12" s="28">
        <v>0</v>
      </c>
      <c r="BY12" s="1">
        <v>0</v>
      </c>
      <c r="BZ12" s="1">
        <v>0</v>
      </c>
      <c r="CA12" s="1" t="s">
        <v>87</v>
      </c>
      <c r="CB12" s="28" t="s">
        <v>818</v>
      </c>
      <c r="CC12" s="1"/>
      <c r="CD12" s="343"/>
      <c r="CE12" t="s">
        <v>763</v>
      </c>
    </row>
    <row r="13" spans="1:83" ht="15" customHeight="1" x14ac:dyDescent="0.25">
      <c r="A13" s="338" t="s">
        <v>17</v>
      </c>
      <c r="B13" s="1" t="s">
        <v>6</v>
      </c>
      <c r="C13" s="1" t="s">
        <v>99</v>
      </c>
      <c r="D13" s="1" t="s">
        <v>89</v>
      </c>
      <c r="E13" s="1" t="s">
        <v>10</v>
      </c>
      <c r="F13" s="1" t="s">
        <v>152</v>
      </c>
      <c r="G13" s="273">
        <v>720</v>
      </c>
      <c r="H13" s="273">
        <v>720</v>
      </c>
      <c r="I13" s="273">
        <v>300</v>
      </c>
      <c r="J13" s="273">
        <v>600</v>
      </c>
      <c r="K13" s="273">
        <v>525</v>
      </c>
      <c r="L13" s="273">
        <v>560</v>
      </c>
      <c r="M13" s="1"/>
      <c r="N13" s="269"/>
      <c r="O13" s="251">
        <v>2300</v>
      </c>
      <c r="P13" s="251"/>
      <c r="Q13" s="251"/>
      <c r="R13" s="1">
        <f>'комплекты фурнитуры'!$Q$10</f>
        <v>540</v>
      </c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>
        <f>'комплекты фурнитуры'!$Q$26*2</f>
        <v>540</v>
      </c>
      <c r="AF13" s="1"/>
      <c r="AG13" s="1"/>
      <c r="AH13" s="29">
        <f>SUM(Прайс[[#This Row],[КФ НСТ11]:[KFPr-SB-ZPG]])</f>
        <v>1080</v>
      </c>
      <c r="AI13" s="29"/>
      <c r="AJ13" s="1"/>
      <c r="AK13" s="1"/>
      <c r="AL13" s="1"/>
      <c r="AM13" s="29">
        <f>'комплекты фурнитуры'!$Q$68</f>
        <v>500</v>
      </c>
      <c r="AN13" s="29">
        <f>'комплекты фурнитуры'!$Q$69</f>
        <v>130</v>
      </c>
      <c r="AO13" s="29"/>
      <c r="AP13" s="29"/>
      <c r="AQ13" s="29"/>
      <c r="AR13" s="29"/>
      <c r="AS13" s="29"/>
      <c r="AT13" s="29"/>
      <c r="AU13" s="29"/>
      <c r="AV13" s="29"/>
      <c r="AW13" s="29"/>
      <c r="AX13" s="29"/>
      <c r="AY13" s="29"/>
      <c r="AZ13" s="29"/>
      <c r="BA13" s="29"/>
      <c r="BB13" s="29">
        <f>'комплекты фурнитуры'!$Q$29</f>
        <v>4750</v>
      </c>
      <c r="BC13" s="29"/>
      <c r="BD13" s="29">
        <f>'комплекты фурнитуры'!$Q$34</f>
        <v>370</v>
      </c>
      <c r="BE13" s="29"/>
      <c r="BF13" s="29">
        <f>'комплекты фурнитуры'!$Q$35</f>
        <v>170</v>
      </c>
      <c r="BG13" s="29">
        <f>'комплекты фурнитуры'!$Q$37</f>
        <v>4130</v>
      </c>
      <c r="BH13" s="29"/>
      <c r="BI13" s="29"/>
      <c r="BJ13" s="29"/>
      <c r="BK13" s="29"/>
      <c r="BL13" s="29"/>
      <c r="BM13" s="29"/>
      <c r="BN13" s="29"/>
      <c r="BO13" s="29"/>
      <c r="BP13" s="28">
        <f>Прайс[[#This Row],[КФ петли SENS накл.110 гр. с крестообр. Планкой]]*2+Прайс[[#This Row],[KFN-SB-DWD95]]</f>
        <v>5750</v>
      </c>
      <c r="BQ13" s="28">
        <f>Прайс[[#This Row],[KFP-SB-N110]]*2+Прайс[[#This Row],[KFN-SB-M86]]+Прайс[[#This Row],[KFN-SB-MD]]</f>
        <v>800</v>
      </c>
      <c r="BR13" s="28">
        <f>Прайс[[#This Row],[KFP-SB-N110]]*2+Прайс[[#This Row],[КФ ящика Matrix (H=89 мм)_450_GR]]</f>
        <v>4390</v>
      </c>
      <c r="BS13" s="1">
        <v>300</v>
      </c>
      <c r="BT13" s="1">
        <v>720</v>
      </c>
      <c r="BU13" s="1" t="str">
        <f>IF(OR(Прайс[[#This Row],[Тип]]="Нижний",Прайс[[#This Row],[Тип]]="Пенал"),"560",IF(Прайс[[#This Row],[Тип]]="Верхний",315,0))</f>
        <v>560</v>
      </c>
      <c r="BV13" s="28">
        <v>1.08</v>
      </c>
      <c r="BW13" s="28">
        <v>1.0649999999999999</v>
      </c>
      <c r="BX13" s="28">
        <v>0</v>
      </c>
      <c r="BY13" s="1">
        <v>0</v>
      </c>
      <c r="BZ13" s="1">
        <v>2</v>
      </c>
      <c r="CA13" s="1" t="s">
        <v>87</v>
      </c>
      <c r="CB13" s="28" t="s">
        <v>818</v>
      </c>
      <c r="CC13" s="1"/>
      <c r="CD13" s="343"/>
      <c r="CE13" t="s">
        <v>763</v>
      </c>
    </row>
    <row r="14" spans="1:83" ht="15" customHeight="1" x14ac:dyDescent="0.25">
      <c r="A14" s="338" t="s">
        <v>141</v>
      </c>
      <c r="B14" s="1" t="s">
        <v>6</v>
      </c>
      <c r="C14" s="1" t="s">
        <v>98</v>
      </c>
      <c r="D14" s="1" t="s">
        <v>89</v>
      </c>
      <c r="E14" s="1" t="s">
        <v>10</v>
      </c>
      <c r="F14" s="1" t="s">
        <v>152</v>
      </c>
      <c r="G14" s="273">
        <v>720</v>
      </c>
      <c r="H14" s="273">
        <v>720</v>
      </c>
      <c r="I14" s="273">
        <v>600</v>
      </c>
      <c r="J14" s="273">
        <v>900</v>
      </c>
      <c r="K14" s="273">
        <v>525</v>
      </c>
      <c r="L14" s="273">
        <v>560</v>
      </c>
      <c r="M14" s="1"/>
      <c r="N14" s="269"/>
      <c r="O14" s="251">
        <v>2300</v>
      </c>
      <c r="P14" s="251"/>
      <c r="Q14" s="251"/>
      <c r="R14" s="1">
        <f>'комплекты фурнитуры'!$Q$10</f>
        <v>540</v>
      </c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>
        <f>'комплекты фурнитуры'!$Q$26*2</f>
        <v>540</v>
      </c>
      <c r="AF14" s="1"/>
      <c r="AG14" s="1"/>
      <c r="AH14" s="29">
        <f>SUM(Прайс[[#This Row],[КФ НСТ11]:[KFPr-SB-ZPG]])</f>
        <v>1080</v>
      </c>
      <c r="AI14" s="29"/>
      <c r="AJ14" s="1"/>
      <c r="AK14" s="1"/>
      <c r="AL14" s="1"/>
      <c r="AM14" s="29">
        <f>'комплекты фурнитуры'!$Q$68</f>
        <v>500</v>
      </c>
      <c r="AN14" s="29">
        <f>'комплекты фурнитуры'!$Q$69</f>
        <v>130</v>
      </c>
      <c r="AO14" s="29"/>
      <c r="AP14" s="29"/>
      <c r="AQ14" s="29"/>
      <c r="AR14" s="29"/>
      <c r="AS14" s="29"/>
      <c r="AT14" s="29"/>
      <c r="AU14" s="29"/>
      <c r="AV14" s="29"/>
      <c r="AW14" s="29"/>
      <c r="AX14" s="29"/>
      <c r="AY14" s="29"/>
      <c r="AZ14" s="29"/>
      <c r="BA14" s="29"/>
      <c r="BB14" s="29">
        <f>'комплекты фурнитуры'!$Q$29</f>
        <v>4750</v>
      </c>
      <c r="BC14" s="29"/>
      <c r="BD14" s="29">
        <f>'комплекты фурнитуры'!$Q$34</f>
        <v>370</v>
      </c>
      <c r="BE14" s="29"/>
      <c r="BF14" s="29">
        <f>'комплекты фурнитуры'!$Q$35</f>
        <v>170</v>
      </c>
      <c r="BG14" s="29">
        <f>'комплекты фурнитуры'!$Q$37</f>
        <v>4130</v>
      </c>
      <c r="BH14" s="29"/>
      <c r="BI14" s="29"/>
      <c r="BJ14" s="29"/>
      <c r="BK14" s="29"/>
      <c r="BL14" s="29"/>
      <c r="BM14" s="29"/>
      <c r="BN14" s="29"/>
      <c r="BO14" s="29"/>
      <c r="BP14" s="28">
        <f>Прайс[[#This Row],[КФ петли SENS накл.110 гр. с крестообр. Планкой]]*4+Прайс[[#This Row],[KFN-SB-DWD95]]</f>
        <v>6750</v>
      </c>
      <c r="BQ14" s="28">
        <f>Прайс[[#This Row],[KFP-SB-N110]]*4+Прайс[[#This Row],[KFN-SB-M86]]+Прайс[[#This Row],[KFN-SB-MD]]</f>
        <v>1060</v>
      </c>
      <c r="BR14" s="28">
        <f>Прайс[[#This Row],[KFP-SB-N110]]*4+Прайс[[#This Row],[КФ ящика Matrix (H=89 мм)_450_GR]]</f>
        <v>4650</v>
      </c>
      <c r="BS14" s="1">
        <v>300</v>
      </c>
      <c r="BT14" s="1">
        <v>720</v>
      </c>
      <c r="BU14" s="1" t="str">
        <f>IF(OR(Прайс[[#This Row],[Тип]]="Нижний",Прайс[[#This Row],[Тип]]="Пенал"),"560",IF(Прайс[[#This Row],[Тип]]="Верхний",315,0))</f>
        <v>560</v>
      </c>
      <c r="BV14" s="28">
        <v>1.08</v>
      </c>
      <c r="BW14" s="28">
        <v>1.0649999999999999</v>
      </c>
      <c r="BX14" s="28">
        <v>0</v>
      </c>
      <c r="BY14" s="1">
        <v>0</v>
      </c>
      <c r="BZ14" s="1">
        <v>2</v>
      </c>
      <c r="CA14" s="1" t="s">
        <v>87</v>
      </c>
      <c r="CB14" s="28" t="s">
        <v>818</v>
      </c>
      <c r="CC14" s="1"/>
      <c r="CD14" s="343"/>
      <c r="CE14" t="s">
        <v>763</v>
      </c>
    </row>
    <row r="15" spans="1:83" ht="15" customHeight="1" x14ac:dyDescent="0.25">
      <c r="A15" s="337" t="s">
        <v>18</v>
      </c>
      <c r="B15" s="1" t="s">
        <v>6</v>
      </c>
      <c r="C15" s="1" t="s">
        <v>93</v>
      </c>
      <c r="D15" s="1" t="s">
        <v>89</v>
      </c>
      <c r="E15" s="1" t="s">
        <v>10</v>
      </c>
      <c r="F15" s="1" t="s">
        <v>152</v>
      </c>
      <c r="G15" s="273">
        <v>720</v>
      </c>
      <c r="H15" s="273">
        <v>720</v>
      </c>
      <c r="I15" s="273">
        <v>300</v>
      </c>
      <c r="J15" s="273">
        <v>900</v>
      </c>
      <c r="K15" s="273">
        <v>525</v>
      </c>
      <c r="L15" s="273">
        <v>560</v>
      </c>
      <c r="M15" s="1"/>
      <c r="N15" s="269"/>
      <c r="O15" s="251">
        <v>3030</v>
      </c>
      <c r="P15" s="251"/>
      <c r="Q15" s="251"/>
      <c r="R15" s="1">
        <f>'комплекты фурнитуры'!$Q$10</f>
        <v>540</v>
      </c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>
        <f>'комплекты фурнитуры'!$Q$26*2</f>
        <v>540</v>
      </c>
      <c r="AF15" s="1"/>
      <c r="AG15" s="1"/>
      <c r="AH15" s="29">
        <f>SUM(Прайс[[#This Row],[КФ НСТ11]:[KFPr-SB-ZPG]])</f>
        <v>1080</v>
      </c>
      <c r="AI15" s="29"/>
      <c r="AJ15" s="1"/>
      <c r="AK15" s="1"/>
      <c r="AL15" s="1"/>
      <c r="AM15" s="29"/>
      <c r="AN15" s="29"/>
      <c r="AO15" s="29"/>
      <c r="AP15" s="29"/>
      <c r="AQ15" s="29"/>
      <c r="AR15" s="29"/>
      <c r="AS15" s="29"/>
      <c r="AT15" s="29"/>
      <c r="AU15" s="29"/>
      <c r="AV15" s="29"/>
      <c r="AW15" s="29"/>
      <c r="AX15" s="29"/>
      <c r="AY15" s="29"/>
      <c r="AZ15" s="29"/>
      <c r="BA15" s="29"/>
      <c r="BB15" s="29">
        <f>'комплекты фурнитуры'!$Q$29</f>
        <v>4750</v>
      </c>
      <c r="BC15" s="29"/>
      <c r="BD15" s="29">
        <f>'комплекты фурнитуры'!$Q$34</f>
        <v>370</v>
      </c>
      <c r="BE15" s="29"/>
      <c r="BF15" s="29">
        <f>'комплекты фурнитуры'!$Q$35</f>
        <v>170</v>
      </c>
      <c r="BG15" s="29"/>
      <c r="BH15" s="29"/>
      <c r="BI15" s="29">
        <f>'комплекты фурнитуры'!$Q$38</f>
        <v>6440</v>
      </c>
      <c r="BJ15" s="29"/>
      <c r="BK15" s="29"/>
      <c r="BL15" s="29"/>
      <c r="BM15" s="29"/>
      <c r="BN15" s="29"/>
      <c r="BO15" s="29"/>
      <c r="BP15" s="28">
        <f>4*BB16</f>
        <v>19000</v>
      </c>
      <c r="BQ15" s="28">
        <f>BD16*4+BF16*4</f>
        <v>2160</v>
      </c>
      <c r="BR15" s="28">
        <f>Прайс[[#This Row],[Комплект ящика INNOTECH ATIRA полного выдв. с  PUSH TO OPEN , Н70,NL470,цвет серебристый]]*4</f>
        <v>25760</v>
      </c>
      <c r="BS15" s="1">
        <v>300</v>
      </c>
      <c r="BT15" s="1">
        <v>720</v>
      </c>
      <c r="BU15" s="1" t="str">
        <f>IF(OR(Прайс[[#This Row],[Тип]]="Нижний",Прайс[[#This Row],[Тип]]="Пенал"),"560",IF(Прайс[[#This Row],[Тип]]="Верхний",315,0))</f>
        <v>560</v>
      </c>
      <c r="BV15" s="28">
        <v>1.08</v>
      </c>
      <c r="BW15" s="28">
        <v>1.0649999999999999</v>
      </c>
      <c r="BX15" s="28">
        <v>0</v>
      </c>
      <c r="BY15" s="1">
        <v>0</v>
      </c>
      <c r="BZ15" s="1">
        <v>0</v>
      </c>
      <c r="CA15" s="1" t="s">
        <v>87</v>
      </c>
      <c r="CB15" s="28" t="s">
        <v>818</v>
      </c>
      <c r="CC15" s="1"/>
      <c r="CD15" s="343"/>
      <c r="CE15" t="s">
        <v>763</v>
      </c>
    </row>
    <row r="16" spans="1:83" ht="15" customHeight="1" x14ac:dyDescent="0.25">
      <c r="A16" s="337" t="s">
        <v>1</v>
      </c>
      <c r="B16" s="1" t="s">
        <v>6</v>
      </c>
      <c r="C16" s="1" t="s">
        <v>94</v>
      </c>
      <c r="D16" s="1" t="s">
        <v>89</v>
      </c>
      <c r="E16" s="1" t="s">
        <v>10</v>
      </c>
      <c r="F16" s="1" t="s">
        <v>152</v>
      </c>
      <c r="G16" s="273">
        <v>720</v>
      </c>
      <c r="H16" s="273">
        <v>720</v>
      </c>
      <c r="I16" s="273">
        <v>300</v>
      </c>
      <c r="J16" s="273">
        <v>900</v>
      </c>
      <c r="K16" s="273">
        <v>525</v>
      </c>
      <c r="L16" s="273">
        <v>560</v>
      </c>
      <c r="M16" s="1"/>
      <c r="N16" s="269"/>
      <c r="O16" s="251">
        <v>2700</v>
      </c>
      <c r="P16" s="251"/>
      <c r="Q16" s="251"/>
      <c r="R16" s="1">
        <f>'комплекты фурнитуры'!$Q$10</f>
        <v>540</v>
      </c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>
        <f>'комплекты фурнитуры'!$Q$26*2</f>
        <v>540</v>
      </c>
      <c r="AF16" s="1"/>
      <c r="AG16" s="1"/>
      <c r="AH16" s="29">
        <f>SUM(Прайс[[#This Row],[КФ НСТ11]:[KFPr-SB-ZPG]])</f>
        <v>1080</v>
      </c>
      <c r="AI16" s="29"/>
      <c r="AJ16" s="1"/>
      <c r="AK16" s="1"/>
      <c r="AL16" s="1"/>
      <c r="AM16" s="29"/>
      <c r="AN16" s="29"/>
      <c r="AO16" s="29"/>
      <c r="AP16" s="29"/>
      <c r="AQ16" s="29"/>
      <c r="AR16" s="29"/>
      <c r="AS16" s="29"/>
      <c r="AT16" s="29"/>
      <c r="AU16" s="29"/>
      <c r="AV16" s="29"/>
      <c r="AW16" s="29"/>
      <c r="AX16" s="29"/>
      <c r="AY16" s="29"/>
      <c r="AZ16" s="29"/>
      <c r="BA16" s="29"/>
      <c r="BB16" s="29">
        <f>'комплекты фурнитуры'!$Q$29</f>
        <v>4750</v>
      </c>
      <c r="BC16" s="29">
        <f>'комплекты фурнитуры'!$Q$30</f>
        <v>5810</v>
      </c>
      <c r="BD16" s="29">
        <f>'комплекты фурнитуры'!$Q$34</f>
        <v>370</v>
      </c>
      <c r="BE16" s="29">
        <f>'комплекты фурнитуры'!$Q$33</f>
        <v>940</v>
      </c>
      <c r="BF16" s="29">
        <f>'комплекты фурнитуры'!$Q$35</f>
        <v>170</v>
      </c>
      <c r="BG16" s="29"/>
      <c r="BH16" s="29">
        <f>'комплекты фурнитуры'!$Q$36</f>
        <v>5040</v>
      </c>
      <c r="BI16" s="29">
        <f>'комплекты фурнитуры'!$Q$38</f>
        <v>6440</v>
      </c>
      <c r="BJ16" s="29">
        <f>'комплекты фурнитуры'!$Q$39</f>
        <v>7970</v>
      </c>
      <c r="BK16" s="29"/>
      <c r="BL16" s="29"/>
      <c r="BM16" s="29"/>
      <c r="BN16" s="29"/>
      <c r="BO16" s="29"/>
      <c r="BP16" s="28">
        <f>Прайс[[#This Row],[KFN-SB-DWD95]]*2+Прайс[[#This Row],[KFN-SB-DWD95R]]</f>
        <v>15310</v>
      </c>
      <c r="BQ16" s="28">
        <f>Прайс[[#This Row],[KFN-SB-M86]]*2+Прайс[[#This Row],[KFN-SB-M15]]+Прайс[[#This Row],[KFN-SB-MD]]*3</f>
        <v>2190</v>
      </c>
      <c r="BR16" s="28">
        <f>Прайс[[#This Row],[Комплект ящика INNOTECH ATIRA полного выдв. с  PUSH TO OPEN , Н70,NL470,цвет серебристый]]*2+Прайс[[#This Row],[Комплект короба INNOTECH ATIRA полного выдв. с Push to open, Н176,NL470,рейлинги, цвет серебристый]]</f>
        <v>20850</v>
      </c>
      <c r="BS16" s="1">
        <v>300</v>
      </c>
      <c r="BT16" s="1">
        <v>720</v>
      </c>
      <c r="BU16" s="1" t="str">
        <f>IF(OR(Прайс[[#This Row],[Тип]]="Нижний",Прайс[[#This Row],[Тип]]="Пенал"),"560",IF(Прайс[[#This Row],[Тип]]="Верхний",315,0))</f>
        <v>560</v>
      </c>
      <c r="BV16" s="28">
        <v>1.08</v>
      </c>
      <c r="BW16" s="28">
        <v>1.0649999999999999</v>
      </c>
      <c r="BX16" s="28">
        <v>0</v>
      </c>
      <c r="BY16" s="1">
        <v>0</v>
      </c>
      <c r="BZ16" s="1">
        <v>0</v>
      </c>
      <c r="CA16" s="1" t="s">
        <v>87</v>
      </c>
      <c r="CB16" s="28" t="s">
        <v>818</v>
      </c>
      <c r="CC16" s="1"/>
      <c r="CD16" s="343"/>
      <c r="CE16" t="s">
        <v>763</v>
      </c>
    </row>
    <row r="17" spans="1:83" ht="15" customHeight="1" x14ac:dyDescent="0.25">
      <c r="A17" s="337" t="s">
        <v>19</v>
      </c>
      <c r="B17" s="1" t="s">
        <v>6</v>
      </c>
      <c r="C17" s="1" t="s">
        <v>95</v>
      </c>
      <c r="D17" s="1" t="s">
        <v>89</v>
      </c>
      <c r="E17" s="1" t="s">
        <v>10</v>
      </c>
      <c r="F17" s="1" t="s">
        <v>152</v>
      </c>
      <c r="G17" s="273">
        <v>720</v>
      </c>
      <c r="H17" s="273">
        <v>720</v>
      </c>
      <c r="I17" s="273">
        <v>300</v>
      </c>
      <c r="J17" s="273">
        <v>900</v>
      </c>
      <c r="K17" s="273">
        <v>525</v>
      </c>
      <c r="L17" s="273">
        <v>560</v>
      </c>
      <c r="M17" s="1"/>
      <c r="N17" s="269"/>
      <c r="O17" s="251">
        <v>2580</v>
      </c>
      <c r="P17" s="251"/>
      <c r="Q17" s="251"/>
      <c r="R17" s="1">
        <f>'комплекты фурнитуры'!$Q$10</f>
        <v>540</v>
      </c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>
        <f>'комплекты фурнитуры'!$Q$26*2</f>
        <v>540</v>
      </c>
      <c r="AF17" s="1"/>
      <c r="AG17" s="1"/>
      <c r="AH17" s="29">
        <f>SUM(Прайс[[#This Row],[КФ НСТ11]:[KFPr-SB-ZPG]])</f>
        <v>1080</v>
      </c>
      <c r="AI17" s="29"/>
      <c r="AJ17" s="1"/>
      <c r="AK17" s="1"/>
      <c r="AL17" s="1"/>
      <c r="AM17" s="29"/>
      <c r="AN17" s="29"/>
      <c r="AO17" s="29"/>
      <c r="AP17" s="29"/>
      <c r="AQ17" s="29"/>
      <c r="AR17" s="29"/>
      <c r="AS17" s="29"/>
      <c r="AT17" s="29"/>
      <c r="AU17" s="29"/>
      <c r="AV17" s="29"/>
      <c r="AW17" s="29"/>
      <c r="AX17" s="29"/>
      <c r="AY17" s="29"/>
      <c r="AZ17" s="29"/>
      <c r="BA17" s="29"/>
      <c r="BB17" s="29"/>
      <c r="BC17" s="29">
        <f>'комплекты фурнитуры'!$Q$30</f>
        <v>5810</v>
      </c>
      <c r="BD17" s="29"/>
      <c r="BE17" s="29">
        <f>'комплекты фурнитуры'!$Q$33</f>
        <v>940</v>
      </c>
      <c r="BF17" s="29">
        <f>'комплекты фурнитуры'!$Q$35</f>
        <v>170</v>
      </c>
      <c r="BG17" s="29"/>
      <c r="BH17" s="29">
        <f>'комплекты фурнитуры'!$Q$36</f>
        <v>5040</v>
      </c>
      <c r="BI17" s="29"/>
      <c r="BJ17" s="29">
        <f>'комплекты фурнитуры'!$Q$39</f>
        <v>7970</v>
      </c>
      <c r="BK17" s="29"/>
      <c r="BL17" s="29"/>
      <c r="BM17" s="29"/>
      <c r="BN17" s="29"/>
      <c r="BO17" s="29"/>
      <c r="BP17" s="28">
        <f>Прайс[[#This Row],[KFN-SB-DWD95R]]*2</f>
        <v>11620</v>
      </c>
      <c r="BQ17" s="28">
        <f>Прайс[[#This Row],[KFN-SB-M15]]*2+Прайс[[#This Row],[KFN-SB-MD]]*2</f>
        <v>2220</v>
      </c>
      <c r="BR17" s="28">
        <f>Прайс[[#This Row],[Комплект короба INNOTECH ATIRA полного выдв. с Push to open, Н176,NL470,рейлинги, цвет серебристый]]</f>
        <v>7970</v>
      </c>
      <c r="BS17" s="1">
        <v>300</v>
      </c>
      <c r="BT17" s="1">
        <v>720</v>
      </c>
      <c r="BU17" s="1" t="str">
        <f>IF(OR(Прайс[[#This Row],[Тип]]="Нижний",Прайс[[#This Row],[Тип]]="Пенал"),"560",IF(Прайс[[#This Row],[Тип]]="Верхний",315,0))</f>
        <v>560</v>
      </c>
      <c r="BV17" s="28">
        <v>1.08</v>
      </c>
      <c r="BW17" s="28">
        <v>1.0649999999999999</v>
      </c>
      <c r="BX17" s="28">
        <v>0</v>
      </c>
      <c r="BY17" s="1">
        <v>0</v>
      </c>
      <c r="BZ17" s="1">
        <v>0</v>
      </c>
      <c r="CA17" s="1" t="s">
        <v>87</v>
      </c>
      <c r="CB17" s="28" t="s">
        <v>818</v>
      </c>
      <c r="CC17" s="1"/>
      <c r="CD17" s="343"/>
      <c r="CE17" t="s">
        <v>763</v>
      </c>
    </row>
    <row r="18" spans="1:83" ht="15" customHeight="1" x14ac:dyDescent="0.25">
      <c r="A18" s="337" t="s">
        <v>20</v>
      </c>
      <c r="B18" s="1" t="s">
        <v>6</v>
      </c>
      <c r="C18" s="1" t="s">
        <v>112</v>
      </c>
      <c r="D18" s="1" t="s">
        <v>89</v>
      </c>
      <c r="E18" s="1" t="s">
        <v>10</v>
      </c>
      <c r="F18" s="1" t="s">
        <v>147</v>
      </c>
      <c r="G18" s="273">
        <v>720</v>
      </c>
      <c r="H18" s="273">
        <v>720</v>
      </c>
      <c r="I18" s="273">
        <v>450</v>
      </c>
      <c r="J18" s="273">
        <v>600</v>
      </c>
      <c r="K18" s="273">
        <v>525</v>
      </c>
      <c r="L18" s="273">
        <v>600</v>
      </c>
      <c r="M18" s="1"/>
      <c r="N18" s="269" t="s">
        <v>69</v>
      </c>
      <c r="O18" s="251">
        <v>2510</v>
      </c>
      <c r="P18" s="251"/>
      <c r="Q18" s="251"/>
      <c r="R18" s="1"/>
      <c r="S18" s="1">
        <f>'комплекты фурнитуры'!$Q$11</f>
        <v>460</v>
      </c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>
        <f>'комплекты фурнитуры'!$Q$26*2</f>
        <v>540</v>
      </c>
      <c r="AF18" s="1"/>
      <c r="AG18" s="1"/>
      <c r="AH18" s="29">
        <f>SUM(Прайс[[#This Row],[КФ НСТ11]:[KFPr-SB-ZPG]])</f>
        <v>1000</v>
      </c>
      <c r="AI18" s="29"/>
      <c r="AJ18" s="1"/>
      <c r="AK18" s="1"/>
      <c r="AL18" s="1"/>
      <c r="AM18" s="29"/>
      <c r="AN18" s="29"/>
      <c r="AO18" s="29"/>
      <c r="AP18" s="29"/>
      <c r="AQ18" s="29"/>
      <c r="AR18" s="29"/>
      <c r="AS18" s="29"/>
      <c r="AT18" s="29"/>
      <c r="AU18" s="29"/>
      <c r="AV18" s="29"/>
      <c r="AW18" s="29"/>
      <c r="AX18" s="29"/>
      <c r="AY18" s="29"/>
      <c r="AZ18" s="29"/>
      <c r="BA18" s="29">
        <f>'комплекты фурнитуры'!$Q$32</f>
        <v>480</v>
      </c>
      <c r="BB18" s="29"/>
      <c r="BC18" s="29"/>
      <c r="BD18" s="29"/>
      <c r="BE18" s="29"/>
      <c r="BF18" s="29">
        <f>'комплекты фурнитуры'!$Q$35</f>
        <v>170</v>
      </c>
      <c r="BG18" s="29"/>
      <c r="BH18" s="29"/>
      <c r="BI18" s="29"/>
      <c r="BJ18" s="29"/>
      <c r="BK18" s="29"/>
      <c r="BL18" s="29"/>
      <c r="BM18" s="29"/>
      <c r="BN18" s="29"/>
      <c r="BO18" s="29"/>
      <c r="BP18" s="28">
        <v>0</v>
      </c>
      <c r="BQ18" s="28">
        <f>Прайс[[#This Row],[KFN-SB-M54]]+Прайс[[#This Row],[KFN-SB-MD]]</f>
        <v>650</v>
      </c>
      <c r="BR18" s="28">
        <v>0</v>
      </c>
      <c r="BS18" s="1">
        <v>450</v>
      </c>
      <c r="BT18" s="1">
        <v>720</v>
      </c>
      <c r="BU18" s="1" t="str">
        <f>IF(OR(Прайс[[#This Row],[Тип]]="Нижний",Прайс[[#This Row],[Тип]]="Пенал"),"560",IF(Прайс[[#This Row],[Тип]]="Верхний",315,0))</f>
        <v>560</v>
      </c>
      <c r="BV18" s="28">
        <v>1.08</v>
      </c>
      <c r="BW18" s="28">
        <v>1.0649999999999999</v>
      </c>
      <c r="BX18" s="28">
        <v>0</v>
      </c>
      <c r="BY18" s="1">
        <v>0</v>
      </c>
      <c r="BZ18" s="1">
        <v>0</v>
      </c>
      <c r="CA18" s="1" t="s">
        <v>10</v>
      </c>
      <c r="CB18" s="28" t="s">
        <v>821</v>
      </c>
      <c r="CC18" s="1"/>
      <c r="CD18" s="343"/>
    </row>
    <row r="19" spans="1:83" ht="15" customHeight="1" x14ac:dyDescent="0.25">
      <c r="A19" s="337" t="s">
        <v>21</v>
      </c>
      <c r="B19" s="1" t="s">
        <v>6</v>
      </c>
      <c r="C19" s="1" t="s">
        <v>120</v>
      </c>
      <c r="D19" s="1" t="s">
        <v>91</v>
      </c>
      <c r="E19" s="1" t="s">
        <v>10</v>
      </c>
      <c r="F19" s="1" t="s">
        <v>144</v>
      </c>
      <c r="G19" s="273">
        <v>720</v>
      </c>
      <c r="H19" s="273">
        <v>720</v>
      </c>
      <c r="I19" s="273">
        <v>230</v>
      </c>
      <c r="J19" s="273">
        <v>230</v>
      </c>
      <c r="K19" s="273">
        <v>330</v>
      </c>
      <c r="L19" s="273">
        <v>600</v>
      </c>
      <c r="M19" s="1"/>
      <c r="N19" s="269" t="s">
        <v>70</v>
      </c>
      <c r="O19" s="251">
        <v>2450</v>
      </c>
      <c r="P19" s="251"/>
      <c r="Q19" s="251"/>
      <c r="R19" s="1"/>
      <c r="S19" s="1"/>
      <c r="T19" s="1"/>
      <c r="U19" s="1"/>
      <c r="V19" s="1"/>
      <c r="W19" s="1"/>
      <c r="X19" s="1"/>
      <c r="Y19" s="1">
        <f>'комплекты фурнитуры'!$Q$20</f>
        <v>740</v>
      </c>
      <c r="Z19" s="1"/>
      <c r="AA19" s="1"/>
      <c r="AB19" s="1"/>
      <c r="AC19" s="1"/>
      <c r="AD19" s="1"/>
      <c r="AE19" s="1">
        <f>'комплекты фурнитуры'!$Q$26*2</f>
        <v>540</v>
      </c>
      <c r="AF19" s="1"/>
      <c r="AG19" s="1"/>
      <c r="AH19" s="29">
        <f>SUM(Прайс[[#This Row],[КФ НСТ11]:[KFPr-SB-ZPG]])</f>
        <v>1280</v>
      </c>
      <c r="AI19" s="29"/>
      <c r="AJ19" s="1"/>
      <c r="AK19" s="1"/>
      <c r="AL19" s="1"/>
      <c r="AM19" s="29"/>
      <c r="AN19" s="29"/>
      <c r="AO19" s="29"/>
      <c r="AP19" s="29"/>
      <c r="AQ19" s="29">
        <f>'комплекты фурнитуры'!$Q$60</f>
        <v>1560</v>
      </c>
      <c r="AR19" s="29">
        <f>'комплекты фурнитуры'!$Q$61</f>
        <v>190</v>
      </c>
      <c r="AS19" s="29"/>
      <c r="AT19" s="29"/>
      <c r="AU19" s="29"/>
      <c r="AV19" s="29"/>
      <c r="AW19" s="29"/>
      <c r="AX19" s="29"/>
      <c r="AY19" s="29"/>
      <c r="AZ19" s="29"/>
      <c r="BA19" s="29"/>
      <c r="BB19" s="29"/>
      <c r="BC19" s="29"/>
      <c r="BD19" s="29"/>
      <c r="BE19" s="29"/>
      <c r="BF19" s="29"/>
      <c r="BG19" s="29"/>
      <c r="BH19" s="29"/>
      <c r="BI19" s="29"/>
      <c r="BJ19" s="29"/>
      <c r="BK19" s="29"/>
      <c r="BL19" s="29"/>
      <c r="BM19" s="29"/>
      <c r="BN19" s="29"/>
      <c r="BO19" s="29"/>
      <c r="BP19" s="28">
        <f>Прайс[[#This Row],[КKFP-SB-GT45]]*2</f>
        <v>3120</v>
      </c>
      <c r="BQ19" s="28">
        <f>Прайс[[#This Row],[KFP-SB-N45]]*2</f>
        <v>380</v>
      </c>
      <c r="BR19" s="28">
        <v>0</v>
      </c>
      <c r="BS19" s="1">
        <v>230</v>
      </c>
      <c r="BT19" s="1">
        <v>720</v>
      </c>
      <c r="BU19" s="1">
        <v>540</v>
      </c>
      <c r="BV19" s="28">
        <v>1.08</v>
      </c>
      <c r="BW19" s="28">
        <v>1.0649999999999999</v>
      </c>
      <c r="BX19" s="28">
        <v>1.3</v>
      </c>
      <c r="BY19" s="1">
        <v>0</v>
      </c>
      <c r="BZ19" s="1">
        <v>0</v>
      </c>
      <c r="CA19" s="1" t="s">
        <v>10</v>
      </c>
      <c r="CB19" s="28" t="s">
        <v>820</v>
      </c>
      <c r="CC19" s="1"/>
      <c r="CD19" s="343"/>
    </row>
    <row r="20" spans="1:83" ht="15" customHeight="1" x14ac:dyDescent="0.25">
      <c r="A20" s="338" t="s">
        <v>22</v>
      </c>
      <c r="B20" s="1" t="s">
        <v>6</v>
      </c>
      <c r="C20" s="1" t="s">
        <v>119</v>
      </c>
      <c r="D20" s="1" t="s">
        <v>92</v>
      </c>
      <c r="E20" s="1" t="s">
        <v>10</v>
      </c>
      <c r="F20" s="1" t="s">
        <v>144</v>
      </c>
      <c r="G20" s="273">
        <v>720</v>
      </c>
      <c r="H20" s="273">
        <v>720</v>
      </c>
      <c r="I20" s="273">
        <v>315</v>
      </c>
      <c r="J20" s="273">
        <v>315</v>
      </c>
      <c r="K20" s="273">
        <v>315</v>
      </c>
      <c r="L20" s="273">
        <v>600</v>
      </c>
      <c r="M20" s="1"/>
      <c r="N20" s="269" t="s">
        <v>71</v>
      </c>
      <c r="O20" s="251">
        <v>2000</v>
      </c>
      <c r="P20" s="251"/>
      <c r="Q20" s="251"/>
      <c r="R20" s="1"/>
      <c r="S20" s="1"/>
      <c r="T20" s="1"/>
      <c r="U20" s="1"/>
      <c r="V20" s="1"/>
      <c r="W20" s="1">
        <f>'комплекты фурнитуры'!$Q$18</f>
        <v>650</v>
      </c>
      <c r="X20" s="1"/>
      <c r="Y20" s="1"/>
      <c r="Z20" s="1"/>
      <c r="AA20" s="1"/>
      <c r="AB20" s="1"/>
      <c r="AC20" s="1"/>
      <c r="AD20" s="1"/>
      <c r="AE20" s="1">
        <f>'комплекты фурнитуры'!$Q$26*2</f>
        <v>540</v>
      </c>
      <c r="AF20" s="1"/>
      <c r="AG20" s="1"/>
      <c r="AH20" s="29">
        <f>SUM(Прайс[[#This Row],[КФ НСТ11]:[KFPr-SB-ZPG]])</f>
        <v>1190</v>
      </c>
      <c r="AI20" s="29"/>
      <c r="AJ20" s="1"/>
      <c r="AK20" s="1"/>
      <c r="AL20" s="1"/>
      <c r="AM20" s="29"/>
      <c r="AN20" s="29"/>
      <c r="AO20" s="29"/>
      <c r="AP20" s="29"/>
      <c r="AQ20" s="29"/>
      <c r="AR20" s="29"/>
      <c r="AS20" s="29"/>
      <c r="AT20" s="29"/>
      <c r="AU20" s="29"/>
      <c r="AV20" s="29"/>
      <c r="AW20" s="29"/>
      <c r="AX20" s="29"/>
      <c r="AY20" s="29"/>
      <c r="AZ20" s="29"/>
      <c r="BA20" s="29"/>
      <c r="BB20" s="29"/>
      <c r="BC20" s="29"/>
      <c r="BD20" s="29"/>
      <c r="BE20" s="29"/>
      <c r="BF20" s="29"/>
      <c r="BG20" s="29"/>
      <c r="BH20" s="29"/>
      <c r="BI20" s="29"/>
      <c r="BJ20" s="29"/>
      <c r="BK20" s="29"/>
      <c r="BL20" s="29"/>
      <c r="BM20" s="29"/>
      <c r="BN20" s="29"/>
      <c r="BO20" s="29"/>
      <c r="BP20" s="28">
        <v>0</v>
      </c>
      <c r="BQ20" s="28">
        <v>0</v>
      </c>
      <c r="BR20" s="28">
        <v>0</v>
      </c>
      <c r="BS20" s="1">
        <v>315</v>
      </c>
      <c r="BT20" s="1">
        <v>720</v>
      </c>
      <c r="BU20" s="1" t="str">
        <f>IF(OR(Прайс[[#This Row],[Тип]]="Нижний",Прайс[[#This Row],[Тип]]="Пенал"),"560",IF(Прайс[[#This Row],[Тип]]="Верхний",315,0))</f>
        <v>560</v>
      </c>
      <c r="BV20" s="28">
        <v>1.08</v>
      </c>
      <c r="BW20" s="28">
        <v>1.0649999999999999</v>
      </c>
      <c r="BX20" s="28">
        <v>1.3</v>
      </c>
      <c r="BY20" s="1">
        <v>0</v>
      </c>
      <c r="BZ20" s="1">
        <v>0</v>
      </c>
      <c r="CA20" s="1" t="s">
        <v>87</v>
      </c>
      <c r="CB20" s="28" t="s">
        <v>818</v>
      </c>
      <c r="CC20" s="1"/>
      <c r="CD20" s="343"/>
    </row>
    <row r="21" spans="1:83" ht="15" customHeight="1" x14ac:dyDescent="0.25">
      <c r="A21" s="338" t="s">
        <v>23</v>
      </c>
      <c r="B21" s="1" t="s">
        <v>6</v>
      </c>
      <c r="C21" s="1" t="s">
        <v>118</v>
      </c>
      <c r="D21" s="1" t="s">
        <v>92</v>
      </c>
      <c r="E21" s="1" t="s">
        <v>10</v>
      </c>
      <c r="F21" s="1" t="s">
        <v>144</v>
      </c>
      <c r="G21" s="273">
        <v>720</v>
      </c>
      <c r="H21" s="273">
        <v>720</v>
      </c>
      <c r="I21" s="273">
        <v>315</v>
      </c>
      <c r="J21" s="273">
        <v>315</v>
      </c>
      <c r="K21" s="273">
        <v>315</v>
      </c>
      <c r="L21" s="273">
        <v>600</v>
      </c>
      <c r="M21" s="1"/>
      <c r="N21" s="269" t="s">
        <v>72</v>
      </c>
      <c r="O21" s="251">
        <v>2000</v>
      </c>
      <c r="P21" s="251"/>
      <c r="Q21" s="251"/>
      <c r="R21" s="1"/>
      <c r="S21" s="1"/>
      <c r="T21" s="1"/>
      <c r="U21" s="1"/>
      <c r="V21" s="1">
        <f>'комплекты фурнитуры'!$Q$16</f>
        <v>940</v>
      </c>
      <c r="W21" s="1"/>
      <c r="X21" s="1"/>
      <c r="Y21" s="1"/>
      <c r="Z21" s="1"/>
      <c r="AA21" s="1"/>
      <c r="AB21" s="1"/>
      <c r="AC21" s="1"/>
      <c r="AD21" s="1"/>
      <c r="AE21" s="1">
        <f>'комплекты фурнитуры'!$Q$26*2</f>
        <v>540</v>
      </c>
      <c r="AF21" s="1"/>
      <c r="AG21" s="1"/>
      <c r="AH21" s="29">
        <f>SUM(Прайс[[#This Row],[КФ НСТ11]:[KFPr-SB-ZPG]])</f>
        <v>1480</v>
      </c>
      <c r="AI21" s="29"/>
      <c r="AJ21" s="1"/>
      <c r="AK21" s="1"/>
      <c r="AL21" s="1"/>
      <c r="AM21" s="29"/>
      <c r="AN21" s="29"/>
      <c r="AO21" s="29">
        <f>'комплекты фурнитуры'!$Q$62</f>
        <v>1300</v>
      </c>
      <c r="AP21" s="29">
        <f>'комплекты фурнитуры'!$Q$64</f>
        <v>480</v>
      </c>
      <c r="AQ21" s="29"/>
      <c r="AR21" s="29"/>
      <c r="AS21" s="29"/>
      <c r="AT21" s="29"/>
      <c r="AU21" s="29"/>
      <c r="AV21" s="29"/>
      <c r="AW21" s="29"/>
      <c r="AX21" s="29"/>
      <c r="AY21" s="29"/>
      <c r="AZ21" s="29"/>
      <c r="BA21" s="29"/>
      <c r="BB21" s="29"/>
      <c r="BC21" s="29"/>
      <c r="BD21" s="29"/>
      <c r="BE21" s="29"/>
      <c r="BF21" s="29"/>
      <c r="BG21" s="29"/>
      <c r="BH21" s="29"/>
      <c r="BI21" s="29"/>
      <c r="BJ21" s="29"/>
      <c r="BK21" s="29"/>
      <c r="BL21" s="29"/>
      <c r="BM21" s="29"/>
      <c r="BN21" s="29"/>
      <c r="BO21" s="29"/>
      <c r="BP21" s="28">
        <f>Прайс[[#This Row],[КФ петли вклад. 95 гр. с крестообр. планкой]]*2</f>
        <v>2600</v>
      </c>
      <c r="BQ21" s="28">
        <f>Прайс[[#This Row],[KFP-SB-PY94]]*2</f>
        <v>960</v>
      </c>
      <c r="BR21" s="28">
        <v>0</v>
      </c>
      <c r="BS21" s="1">
        <v>315</v>
      </c>
      <c r="BT21" s="1">
        <v>720</v>
      </c>
      <c r="BU21" s="1" t="str">
        <f>IF(OR(Прайс[[#This Row],[Тип]]="Нижний",Прайс[[#This Row],[Тип]]="Пенал"),"560",IF(Прайс[[#This Row],[Тип]]="Верхний",315,0))</f>
        <v>560</v>
      </c>
      <c r="BV21" s="28">
        <v>1.08</v>
      </c>
      <c r="BW21" s="28">
        <v>1.0649999999999999</v>
      </c>
      <c r="BX21" s="28">
        <v>1.3</v>
      </c>
      <c r="BY21" s="1">
        <v>0</v>
      </c>
      <c r="BZ21" s="1">
        <v>0</v>
      </c>
      <c r="CA21" s="1" t="s">
        <v>10</v>
      </c>
      <c r="CB21" s="28" t="s">
        <v>820</v>
      </c>
      <c r="CC21" s="1"/>
      <c r="CD21" s="343"/>
    </row>
    <row r="22" spans="1:83" ht="15" customHeight="1" x14ac:dyDescent="0.25">
      <c r="A22" s="338" t="s">
        <v>24</v>
      </c>
      <c r="B22" s="1" t="s">
        <v>6</v>
      </c>
      <c r="C22" s="1" t="s">
        <v>106</v>
      </c>
      <c r="D22" s="1" t="s">
        <v>89</v>
      </c>
      <c r="E22" s="1" t="s">
        <v>87</v>
      </c>
      <c r="F22" s="1" t="s">
        <v>144</v>
      </c>
      <c r="G22" s="273">
        <v>720</v>
      </c>
      <c r="H22" s="273">
        <v>720</v>
      </c>
      <c r="I22" s="273">
        <v>300</v>
      </c>
      <c r="J22" s="273">
        <v>600</v>
      </c>
      <c r="K22" s="273">
        <v>300</v>
      </c>
      <c r="L22" s="273">
        <v>700</v>
      </c>
      <c r="M22" s="1"/>
      <c r="N22" s="269"/>
      <c r="O22" s="251">
        <v>2574.8000000000002</v>
      </c>
      <c r="P22" s="251"/>
      <c r="Q22" s="251"/>
      <c r="R22" s="1">
        <f>'комплекты фурнитуры'!$Q$10</f>
        <v>540</v>
      </c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>
        <f>'комплекты фурнитуры'!$Q$26*2</f>
        <v>540</v>
      </c>
      <c r="AF22" s="1"/>
      <c r="AG22" s="1"/>
      <c r="AH22" s="29">
        <f>SUM(Прайс[[#This Row],[КФ НСТ11]:[KFPr-SB-ZPG]])</f>
        <v>1080</v>
      </c>
      <c r="AI22" s="29"/>
      <c r="AJ22" s="1"/>
      <c r="AK22" s="1"/>
      <c r="AL22" s="1"/>
      <c r="AM22" s="29">
        <f>'комплекты фурнитуры'!$Q$68</f>
        <v>500</v>
      </c>
      <c r="AN22" s="29"/>
      <c r="AO22" s="29"/>
      <c r="AP22" s="29"/>
      <c r="AQ22" s="29"/>
      <c r="AR22" s="29"/>
      <c r="AS22" s="29"/>
      <c r="AT22" s="29"/>
      <c r="AU22" s="29"/>
      <c r="AV22" s="29"/>
      <c r="AW22" s="29"/>
      <c r="AX22" s="29"/>
      <c r="AY22" s="29"/>
      <c r="AZ22" s="29"/>
      <c r="BA22" s="29"/>
      <c r="BB22" s="29"/>
      <c r="BC22" s="29"/>
      <c r="BD22" s="29"/>
      <c r="BE22" s="29"/>
      <c r="BF22" s="29"/>
      <c r="BG22" s="29"/>
      <c r="BH22" s="29"/>
      <c r="BI22" s="29"/>
      <c r="BJ22" s="29"/>
      <c r="BK22" s="29"/>
      <c r="BL22" s="29"/>
      <c r="BM22" s="29"/>
      <c r="BN22" s="29">
        <f>'комплекты фурнитуры'!$Q$87</f>
        <v>390</v>
      </c>
      <c r="BO22" s="29"/>
      <c r="BP22" s="28">
        <f>Прайс[[#This Row],[КФ петли SENS накл.110 гр. с крестообр. Планкой]]*2+Прайс[[#This Row],[КФ  крепления профиля Gola]]</f>
        <v>1390</v>
      </c>
      <c r="BQ22" s="28">
        <v>0</v>
      </c>
      <c r="BR22" s="28">
        <v>0</v>
      </c>
      <c r="BS22" s="33">
        <v>300</v>
      </c>
      <c r="BT22" s="1">
        <v>720</v>
      </c>
      <c r="BU22" s="1" t="str">
        <f>IF(OR(Прайс[[#This Row],[Тип]]="Нижний",Прайс[[#This Row],[Тип]]="Пенал"),"560",IF(Прайс[[#This Row],[Тип]]="Верхний",315,0))</f>
        <v>560</v>
      </c>
      <c r="BV22" s="28">
        <v>1.08</v>
      </c>
      <c r="BW22" s="28">
        <v>1.0649999999999999</v>
      </c>
      <c r="BX22" s="28">
        <v>1.3</v>
      </c>
      <c r="BY22" s="1">
        <v>0</v>
      </c>
      <c r="BZ22" s="1">
        <v>2</v>
      </c>
      <c r="CA22" s="1" t="s">
        <v>10</v>
      </c>
      <c r="CB22" s="28" t="s">
        <v>819</v>
      </c>
      <c r="CC22" s="1"/>
      <c r="CD22" s="343"/>
    </row>
    <row r="23" spans="1:83" ht="15" customHeight="1" x14ac:dyDescent="0.25">
      <c r="A23" s="338" t="s">
        <v>25</v>
      </c>
      <c r="B23" s="1" t="s">
        <v>6</v>
      </c>
      <c r="C23" s="1" t="s">
        <v>105</v>
      </c>
      <c r="D23" s="1" t="s">
        <v>89</v>
      </c>
      <c r="E23" s="1" t="s">
        <v>87</v>
      </c>
      <c r="F23" s="1" t="s">
        <v>144</v>
      </c>
      <c r="G23" s="273">
        <v>720</v>
      </c>
      <c r="H23" s="273">
        <v>720</v>
      </c>
      <c r="I23" s="273">
        <v>300</v>
      </c>
      <c r="J23" s="273">
        <v>600</v>
      </c>
      <c r="K23" s="273">
        <v>300</v>
      </c>
      <c r="L23" s="273">
        <v>700</v>
      </c>
      <c r="M23" s="1"/>
      <c r="N23" s="269"/>
      <c r="O23" s="251">
        <v>2224.8000000000002</v>
      </c>
      <c r="P23" s="251"/>
      <c r="Q23" s="251"/>
      <c r="R23" s="1">
        <f>'комплекты фурнитуры'!$Q$10</f>
        <v>540</v>
      </c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>
        <f>'комплекты фурнитуры'!$Q$26*2</f>
        <v>540</v>
      </c>
      <c r="AF23" s="1"/>
      <c r="AG23" s="1"/>
      <c r="AH23" s="29">
        <f>SUM(Прайс[[#This Row],[КФ НСТ11]:[KFPr-SB-ZPG]])</f>
        <v>1080</v>
      </c>
      <c r="AI23" s="29"/>
      <c r="AJ23" s="1"/>
      <c r="AK23" s="1"/>
      <c r="AL23" s="1"/>
      <c r="AM23" s="29">
        <f>'комплекты фурнитуры'!$Q$68</f>
        <v>500</v>
      </c>
      <c r="AN23" s="29"/>
      <c r="AO23" s="29"/>
      <c r="AP23" s="29"/>
      <c r="AQ23" s="29"/>
      <c r="AR23" s="29"/>
      <c r="AS23" s="29"/>
      <c r="AT23" s="29"/>
      <c r="AU23" s="29"/>
      <c r="AV23" s="29"/>
      <c r="AW23" s="29"/>
      <c r="AX23" s="29"/>
      <c r="AY23" s="29"/>
      <c r="AZ23" s="29"/>
      <c r="BA23" s="29"/>
      <c r="BB23" s="29"/>
      <c r="BC23" s="29"/>
      <c r="BD23" s="29"/>
      <c r="BE23" s="29"/>
      <c r="BF23" s="29"/>
      <c r="BG23" s="29"/>
      <c r="BH23" s="29"/>
      <c r="BI23" s="29"/>
      <c r="BJ23" s="29"/>
      <c r="BK23" s="29"/>
      <c r="BL23" s="29"/>
      <c r="BM23" s="29"/>
      <c r="BN23" s="29">
        <f>'комплекты фурнитуры'!$Q$87</f>
        <v>390</v>
      </c>
      <c r="BO23" s="29"/>
      <c r="BP23" s="28">
        <f>Прайс[[#This Row],[КФ петли SENS накл.110 гр. с крестообр. Планкой]]*4+Прайс[[#This Row],[КФ  крепления профиля Gola]]</f>
        <v>2390</v>
      </c>
      <c r="BQ23" s="28">
        <v>0</v>
      </c>
      <c r="BR23" s="28">
        <v>0</v>
      </c>
      <c r="BS23" s="33">
        <v>300</v>
      </c>
      <c r="BT23" s="1">
        <v>720</v>
      </c>
      <c r="BU23" s="1" t="str">
        <f>IF(OR(Прайс[[#This Row],[Тип]]="Нижний",Прайс[[#This Row],[Тип]]="Пенал"),"560",IF(Прайс[[#This Row],[Тип]]="Верхний",315,0))</f>
        <v>560</v>
      </c>
      <c r="BV23" s="28">
        <v>1.08</v>
      </c>
      <c r="BW23" s="28">
        <v>1.0649999999999999</v>
      </c>
      <c r="BX23" s="28">
        <v>1.3</v>
      </c>
      <c r="BY23" s="1">
        <v>0</v>
      </c>
      <c r="BZ23" s="1">
        <v>2</v>
      </c>
      <c r="CA23" s="1" t="s">
        <v>10</v>
      </c>
      <c r="CB23" s="28" t="s">
        <v>819</v>
      </c>
      <c r="CC23" s="1"/>
      <c r="CD23" s="343"/>
    </row>
    <row r="24" spans="1:83" ht="15" customHeight="1" x14ac:dyDescent="0.25">
      <c r="A24" s="338" t="s">
        <v>26</v>
      </c>
      <c r="B24" s="1" t="s">
        <v>6</v>
      </c>
      <c r="C24" s="1" t="s">
        <v>104</v>
      </c>
      <c r="D24" s="1" t="s">
        <v>89</v>
      </c>
      <c r="E24" s="1" t="s">
        <v>87</v>
      </c>
      <c r="F24" s="1" t="s">
        <v>152</v>
      </c>
      <c r="G24" s="273">
        <v>720</v>
      </c>
      <c r="H24" s="273">
        <v>720</v>
      </c>
      <c r="I24" s="273">
        <v>300</v>
      </c>
      <c r="J24" s="273">
        <v>900</v>
      </c>
      <c r="K24" s="273">
        <v>425</v>
      </c>
      <c r="L24" s="273">
        <v>560</v>
      </c>
      <c r="M24" s="1"/>
      <c r="N24" s="269" t="s">
        <v>73</v>
      </c>
      <c r="O24" s="251">
        <v>3636.4</v>
      </c>
      <c r="P24" s="251"/>
      <c r="Q24" s="251"/>
      <c r="R24" s="1">
        <f>'комплекты фурнитуры'!$Q$10</f>
        <v>540</v>
      </c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>
        <f>'комплекты фурнитуры'!$Q$26*2</f>
        <v>540</v>
      </c>
      <c r="AF24" s="1"/>
      <c r="AG24" s="1"/>
      <c r="AH24" s="29">
        <f>SUM(Прайс[[#This Row],[КФ НСТ11]:[KFPr-SB-ZPG]])</f>
        <v>1080</v>
      </c>
      <c r="AI24" s="29"/>
      <c r="AJ24" s="1"/>
      <c r="AK24" s="1"/>
      <c r="AL24" s="1"/>
      <c r="AM24" s="29"/>
      <c r="AN24" s="29"/>
      <c r="AO24" s="29"/>
      <c r="AP24" s="29"/>
      <c r="AQ24" s="29"/>
      <c r="AR24" s="29"/>
      <c r="AS24" s="29"/>
      <c r="AT24" s="29"/>
      <c r="AU24" s="29"/>
      <c r="AV24" s="29"/>
      <c r="AW24" s="29"/>
      <c r="AX24" s="29"/>
      <c r="AY24" s="29"/>
      <c r="AZ24" s="29"/>
      <c r="BA24" s="29"/>
      <c r="BB24" s="29"/>
      <c r="BC24" s="29">
        <f>'комплекты фурнитуры'!$Q$30</f>
        <v>5810</v>
      </c>
      <c r="BD24" s="29"/>
      <c r="BE24" s="29"/>
      <c r="BF24" s="29"/>
      <c r="BG24" s="29"/>
      <c r="BH24" s="29"/>
      <c r="BI24" s="29"/>
      <c r="BJ24" s="29"/>
      <c r="BK24" s="29"/>
      <c r="BL24" s="29"/>
      <c r="BM24" s="29"/>
      <c r="BN24" s="29">
        <f>'комплекты фурнитуры'!$Q$87</f>
        <v>390</v>
      </c>
      <c r="BO24" s="29"/>
      <c r="BP24" s="28">
        <f>Прайс[[#This Row],[KFN-SB-DWD95R]]*2+Прайс[[#This Row],[КФ  крепления профиля Gola]]*2</f>
        <v>12400</v>
      </c>
      <c r="BQ24" s="28">
        <v>0</v>
      </c>
      <c r="BR24" s="28">
        <v>0</v>
      </c>
      <c r="BS24" s="33">
        <v>300</v>
      </c>
      <c r="BT24" s="1">
        <v>720</v>
      </c>
      <c r="BU24" s="1" t="str">
        <f>IF(OR(Прайс[[#This Row],[Тип]]="Нижний",Прайс[[#This Row],[Тип]]="Пенал"),"560",IF(Прайс[[#This Row],[Тип]]="Верхний",315,0))</f>
        <v>560</v>
      </c>
      <c r="BV24" s="28">
        <v>1.08</v>
      </c>
      <c r="BW24" s="28">
        <v>1.0649999999999999</v>
      </c>
      <c r="BX24" s="28">
        <v>0</v>
      </c>
      <c r="BY24" s="1">
        <v>0</v>
      </c>
      <c r="BZ24" s="1">
        <v>0</v>
      </c>
      <c r="CA24" s="1" t="s">
        <v>10</v>
      </c>
      <c r="CB24" s="28" t="s">
        <v>819</v>
      </c>
      <c r="CC24" s="1"/>
      <c r="CD24" s="343"/>
    </row>
    <row r="25" spans="1:83" ht="15" customHeight="1" x14ac:dyDescent="0.25">
      <c r="A25" s="338" t="s">
        <v>27</v>
      </c>
      <c r="B25" s="1" t="s">
        <v>6</v>
      </c>
      <c r="C25" s="1" t="s">
        <v>103</v>
      </c>
      <c r="D25" s="1" t="s">
        <v>89</v>
      </c>
      <c r="E25" s="1" t="s">
        <v>87</v>
      </c>
      <c r="F25" s="1" t="s">
        <v>152</v>
      </c>
      <c r="G25" s="273">
        <v>720</v>
      </c>
      <c r="H25" s="273">
        <v>720</v>
      </c>
      <c r="I25" s="273">
        <v>300</v>
      </c>
      <c r="J25" s="273">
        <v>900</v>
      </c>
      <c r="K25" s="273">
        <v>425</v>
      </c>
      <c r="L25" s="273">
        <v>560</v>
      </c>
      <c r="M25" s="1"/>
      <c r="N25" s="269" t="s">
        <v>74</v>
      </c>
      <c r="O25" s="251">
        <v>2916</v>
      </c>
      <c r="P25" s="251"/>
      <c r="Q25" s="251"/>
      <c r="R25" s="1">
        <f>'комплекты фурнитуры'!$Q$10</f>
        <v>540</v>
      </c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>
        <f>'комплекты фурнитуры'!$Q$26*2</f>
        <v>540</v>
      </c>
      <c r="AF25" s="1"/>
      <c r="AG25" s="1"/>
      <c r="AH25" s="29">
        <f>SUM(Прайс[[#This Row],[КФ НСТ11]:[KFPr-SB-ZPG]])</f>
        <v>1080</v>
      </c>
      <c r="AI25" s="29"/>
      <c r="AJ25" s="1"/>
      <c r="AK25" s="1"/>
      <c r="AL25" s="1"/>
      <c r="AM25" s="29"/>
      <c r="AN25" s="29"/>
      <c r="AO25" s="29"/>
      <c r="AP25" s="29"/>
      <c r="AQ25" s="29"/>
      <c r="AR25" s="29"/>
      <c r="AS25" s="29"/>
      <c r="AT25" s="29"/>
      <c r="AU25" s="29"/>
      <c r="AV25" s="29"/>
      <c r="AW25" s="29"/>
      <c r="AX25" s="29"/>
      <c r="AY25" s="29"/>
      <c r="AZ25" s="29"/>
      <c r="BA25" s="29"/>
      <c r="BB25" s="29">
        <f>'комплекты фурнитуры'!$Q$29</f>
        <v>4750</v>
      </c>
      <c r="BC25" s="29">
        <f>'комплекты фурнитуры'!$Q$30</f>
        <v>5810</v>
      </c>
      <c r="BD25" s="29"/>
      <c r="BE25" s="29"/>
      <c r="BF25" s="29"/>
      <c r="BG25" s="29"/>
      <c r="BH25" s="29"/>
      <c r="BI25" s="29"/>
      <c r="BJ25" s="29"/>
      <c r="BK25" s="29"/>
      <c r="BL25" s="29"/>
      <c r="BM25" s="29"/>
      <c r="BN25" s="29">
        <f>'комплекты фурнитуры'!$Q$87</f>
        <v>390</v>
      </c>
      <c r="BO25" s="29"/>
      <c r="BP25" s="28">
        <f>Прайс[[#This Row],[KFN-SB-DWD95]]*2+Прайс[[#This Row],[KFN-SB-DWD95R]]+Прайс[[#This Row],[КФ  крепления профиля Gola]]*2</f>
        <v>16090</v>
      </c>
      <c r="BQ25" s="28">
        <v>0</v>
      </c>
      <c r="BR25" s="28">
        <v>0</v>
      </c>
      <c r="BS25" s="33">
        <v>300</v>
      </c>
      <c r="BT25" s="1">
        <v>720</v>
      </c>
      <c r="BU25" s="1" t="str">
        <f>IF(OR(Прайс[[#This Row],[Тип]]="Нижний",Прайс[[#This Row],[Тип]]="Пенал"),"560",IF(Прайс[[#This Row],[Тип]]="Верхний",315,0))</f>
        <v>560</v>
      </c>
      <c r="BV25" s="28">
        <v>1.08</v>
      </c>
      <c r="BW25" s="28">
        <v>1.0649999999999999</v>
      </c>
      <c r="BX25" s="28">
        <v>0</v>
      </c>
      <c r="BY25" s="1">
        <v>0</v>
      </c>
      <c r="BZ25" s="1">
        <v>0</v>
      </c>
      <c r="CA25" s="1" t="s">
        <v>10</v>
      </c>
      <c r="CB25" s="28" t="s">
        <v>819</v>
      </c>
      <c r="CC25" s="1"/>
      <c r="CD25" s="343"/>
    </row>
    <row r="26" spans="1:83" ht="15" customHeight="1" x14ac:dyDescent="0.25">
      <c r="A26" s="338" t="s">
        <v>701</v>
      </c>
      <c r="B26" s="1" t="s">
        <v>6</v>
      </c>
      <c r="C26" s="1" t="s">
        <v>102</v>
      </c>
      <c r="D26" s="1" t="s">
        <v>89</v>
      </c>
      <c r="E26" s="1" t="s">
        <v>87</v>
      </c>
      <c r="F26" s="1" t="s">
        <v>145</v>
      </c>
      <c r="G26" s="273">
        <v>720</v>
      </c>
      <c r="H26" s="273">
        <v>720</v>
      </c>
      <c r="I26" s="273">
        <v>150</v>
      </c>
      <c r="J26" s="273">
        <v>450</v>
      </c>
      <c r="K26" s="273">
        <v>515</v>
      </c>
      <c r="L26" s="273">
        <v>700</v>
      </c>
      <c r="M26" s="1"/>
      <c r="N26" s="269" t="s">
        <v>69</v>
      </c>
      <c r="O26" s="251">
        <v>2224.8000000000002</v>
      </c>
      <c r="P26" s="251"/>
      <c r="Q26" s="251"/>
      <c r="R26" s="1">
        <f>'комплекты фурнитуры'!$Q$10</f>
        <v>540</v>
      </c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>
        <f>'комплекты фурнитуры'!$Q$26*2</f>
        <v>540</v>
      </c>
      <c r="AF26" s="1"/>
      <c r="AG26" s="1"/>
      <c r="AH26" s="29">
        <f>SUM(Прайс[[#This Row],[КФ НСТ11]:[KFPr-SB-ZPG]])</f>
        <v>1080</v>
      </c>
      <c r="AI26" s="29"/>
      <c r="AJ26" s="1"/>
      <c r="AK26" s="1"/>
      <c r="AL26" s="1"/>
      <c r="AM26" s="29"/>
      <c r="AN26" s="29"/>
      <c r="AO26" s="29"/>
      <c r="AP26" s="29"/>
      <c r="AQ26" s="29"/>
      <c r="AR26" s="29"/>
      <c r="AS26" s="29"/>
      <c r="AT26" s="29"/>
      <c r="AU26" s="29"/>
      <c r="AV26" s="29"/>
      <c r="AW26" s="29"/>
      <c r="AX26" s="29"/>
      <c r="AY26" s="29"/>
      <c r="AZ26" s="29"/>
      <c r="BA26" s="29"/>
      <c r="BB26" s="29"/>
      <c r="BC26" s="29"/>
      <c r="BD26" s="29"/>
      <c r="BE26" s="29"/>
      <c r="BF26" s="29"/>
      <c r="BG26" s="29"/>
      <c r="BH26" s="29"/>
      <c r="BI26" s="29"/>
      <c r="BJ26" s="29"/>
      <c r="BK26" s="29">
        <f>'комплекты фурнитуры'!$Q$48</f>
        <v>11560</v>
      </c>
      <c r="BL26" s="29"/>
      <c r="BM26" s="29">
        <f>'комплекты фурнитуры'!$Q$91</f>
        <v>10</v>
      </c>
      <c r="BN26" s="29">
        <f>'комплекты фурнитуры'!$Q$87</f>
        <v>390</v>
      </c>
      <c r="BO26" s="29"/>
      <c r="BP26" s="28">
        <f>Прайс[[#This Row],[KFS-SB-BYT]]+Прайс[[#This Row],[КФ евровинт]]*2+Прайс[[#This Row],[КФ  крепления профиля Gola]]</f>
        <v>11970</v>
      </c>
      <c r="BQ26" s="28">
        <v>0</v>
      </c>
      <c r="BR26" s="28">
        <v>0</v>
      </c>
      <c r="BS26" s="33">
        <v>300</v>
      </c>
      <c r="BT26" s="1">
        <v>720</v>
      </c>
      <c r="BU26" s="1" t="str">
        <f>IF(OR(Прайс[[#This Row],[Тип]]="Нижний",Прайс[[#This Row],[Тип]]="Пенал"),"560",IF(Прайс[[#This Row],[Тип]]="Верхний",315,0))</f>
        <v>560</v>
      </c>
      <c r="BV26" s="28">
        <v>1.08</v>
      </c>
      <c r="BW26" s="28">
        <v>1.0649999999999999</v>
      </c>
      <c r="BX26" s="28">
        <v>1.3</v>
      </c>
      <c r="BY26" s="1">
        <v>0</v>
      </c>
      <c r="BZ26" s="1">
        <v>0</v>
      </c>
      <c r="CA26" s="1" t="s">
        <v>10</v>
      </c>
      <c r="CB26" s="28" t="s">
        <v>819</v>
      </c>
      <c r="CC26" s="1"/>
      <c r="CD26" s="343"/>
    </row>
    <row r="27" spans="1:83" ht="15" customHeight="1" x14ac:dyDescent="0.25">
      <c r="A27" s="338" t="s">
        <v>702</v>
      </c>
      <c r="B27" s="1" t="s">
        <v>6</v>
      </c>
      <c r="C27" s="1" t="s">
        <v>102</v>
      </c>
      <c r="D27" s="1" t="s">
        <v>89</v>
      </c>
      <c r="E27" s="1" t="s">
        <v>87</v>
      </c>
      <c r="F27" s="1" t="s">
        <v>145</v>
      </c>
      <c r="G27" s="273">
        <v>720</v>
      </c>
      <c r="H27" s="273">
        <v>720</v>
      </c>
      <c r="I27" s="273">
        <v>150</v>
      </c>
      <c r="J27" s="273">
        <v>450</v>
      </c>
      <c r="K27" s="273">
        <v>515</v>
      </c>
      <c r="L27" s="273">
        <v>700</v>
      </c>
      <c r="M27" s="1"/>
      <c r="N27" s="269" t="s">
        <v>69</v>
      </c>
      <c r="O27" s="251">
        <v>2224.8000000000002</v>
      </c>
      <c r="P27" s="251"/>
      <c r="Q27" s="251"/>
      <c r="R27" s="1">
        <f>'комплекты фурнитуры'!$Q$10</f>
        <v>540</v>
      </c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>
        <f>'комплекты фурнитуры'!$Q$26*2</f>
        <v>540</v>
      </c>
      <c r="AF27" s="1"/>
      <c r="AG27" s="1"/>
      <c r="AH27" s="29">
        <f>SUM(Прайс[[#This Row],[КФ НСТ11]:[KFPr-SB-ZPG]])</f>
        <v>1080</v>
      </c>
      <c r="AI27" s="29"/>
      <c r="AJ27" s="1"/>
      <c r="AK27" s="1"/>
      <c r="AL27" s="1"/>
      <c r="AM27" s="29"/>
      <c r="AN27" s="29"/>
      <c r="AO27" s="29"/>
      <c r="AP27" s="29"/>
      <c r="AQ27" s="29"/>
      <c r="AR27" s="29"/>
      <c r="AS27" s="29"/>
      <c r="AT27" s="29"/>
      <c r="AU27" s="29"/>
      <c r="AV27" s="29"/>
      <c r="AW27" s="29"/>
      <c r="AX27" s="29"/>
      <c r="AY27" s="29"/>
      <c r="AZ27" s="29"/>
      <c r="BA27" s="29"/>
      <c r="BB27" s="29"/>
      <c r="BC27" s="29"/>
      <c r="BD27" s="29"/>
      <c r="BE27" s="29"/>
      <c r="BF27" s="29"/>
      <c r="BG27" s="29"/>
      <c r="BH27" s="29"/>
      <c r="BI27" s="29"/>
      <c r="BJ27" s="29"/>
      <c r="BK27" s="29"/>
      <c r="BL27" s="29">
        <f>'комплекты фурнитуры'!$Q$50</f>
        <v>11370</v>
      </c>
      <c r="BM27" s="29">
        <f>'комплекты фурнитуры'!$Q$91</f>
        <v>10</v>
      </c>
      <c r="BN27" s="29">
        <f>'комплекты фурнитуры'!$Q$87</f>
        <v>390</v>
      </c>
      <c r="BO27" s="29"/>
      <c r="BP27" s="28">
        <f>Прайс[[#This Row],[Корзина с держателем для бутылок 414*500*520 мм]]+Прайс[[#This Row],[КФ евровинт]]*2+Прайс[[#This Row],[КФ  крепления профиля Gola]]</f>
        <v>11780</v>
      </c>
      <c r="BQ27" s="28">
        <v>0</v>
      </c>
      <c r="BR27" s="28">
        <v>0</v>
      </c>
      <c r="BS27" s="33">
        <v>300</v>
      </c>
      <c r="BT27" s="1">
        <v>720</v>
      </c>
      <c r="BU27" s="1" t="str">
        <f>IF(OR(Прайс[[#This Row],[Тип]]="Нижний",Прайс[[#This Row],[Тип]]="Пенал"),"560",IF(Прайс[[#This Row],[Тип]]="Верхний",315,0))</f>
        <v>560</v>
      </c>
      <c r="BV27" s="28">
        <v>1.08</v>
      </c>
      <c r="BW27" s="28">
        <v>1.0649999999999999</v>
      </c>
      <c r="BX27" s="28">
        <v>1.3</v>
      </c>
      <c r="BY27" s="1">
        <v>0</v>
      </c>
      <c r="BZ27" s="1">
        <v>0</v>
      </c>
      <c r="CA27" s="1" t="s">
        <v>10</v>
      </c>
      <c r="CB27" s="28" t="s">
        <v>819</v>
      </c>
      <c r="CC27" s="1"/>
      <c r="CD27" s="343"/>
    </row>
    <row r="28" spans="1:83" ht="15" customHeight="1" x14ac:dyDescent="0.25">
      <c r="A28" s="337" t="s">
        <v>29</v>
      </c>
      <c r="B28" s="1" t="s">
        <v>6</v>
      </c>
      <c r="C28" s="1" t="s">
        <v>110</v>
      </c>
      <c r="D28" s="1" t="s">
        <v>89</v>
      </c>
      <c r="E28" s="1" t="s">
        <v>87</v>
      </c>
      <c r="F28" s="1" t="s">
        <v>146</v>
      </c>
      <c r="G28" s="273">
        <v>720</v>
      </c>
      <c r="H28" s="273">
        <v>720</v>
      </c>
      <c r="I28" s="273">
        <v>300</v>
      </c>
      <c r="J28" s="273">
        <v>600</v>
      </c>
      <c r="K28" s="273">
        <v>300</v>
      </c>
      <c r="L28" s="273">
        <v>700</v>
      </c>
      <c r="M28" s="1"/>
      <c r="N28" s="269"/>
      <c r="O28" s="251">
        <v>2224.8000000000002</v>
      </c>
      <c r="P28" s="251"/>
      <c r="Q28" s="251"/>
      <c r="R28" s="1">
        <f>'комплекты фурнитуры'!$Q$10</f>
        <v>540</v>
      </c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>
        <f>'комплекты фурнитуры'!$Q$26*2</f>
        <v>540</v>
      </c>
      <c r="AF28" s="1"/>
      <c r="AG28" s="1"/>
      <c r="AH28" s="29">
        <f>SUM(Прайс[[#This Row],[КФ НСТ11]:[KFPr-SB-ZPG]])</f>
        <v>1080</v>
      </c>
      <c r="AI28" s="29"/>
      <c r="AJ28" s="1"/>
      <c r="AK28" s="1"/>
      <c r="AL28" s="1"/>
      <c r="AM28" s="29">
        <f>'комплекты фурнитуры'!$Q$68</f>
        <v>500</v>
      </c>
      <c r="AN28" s="29"/>
      <c r="AO28" s="29"/>
      <c r="AP28" s="29"/>
      <c r="AQ28" s="29"/>
      <c r="AR28" s="29"/>
      <c r="AS28" s="29"/>
      <c r="AT28" s="29"/>
      <c r="AU28" s="29"/>
      <c r="AV28" s="29"/>
      <c r="AW28" s="29"/>
      <c r="AX28" s="29"/>
      <c r="AY28" s="29"/>
      <c r="AZ28" s="29"/>
      <c r="BA28" s="29"/>
      <c r="BB28" s="29"/>
      <c r="BC28" s="29"/>
      <c r="BD28" s="29"/>
      <c r="BE28" s="29"/>
      <c r="BF28" s="29"/>
      <c r="BG28" s="29"/>
      <c r="BH28" s="29"/>
      <c r="BI28" s="29"/>
      <c r="BJ28" s="29"/>
      <c r="BK28" s="29"/>
      <c r="BL28" s="29"/>
      <c r="BM28" s="29"/>
      <c r="BN28" s="29">
        <f>'комплекты фурнитуры'!$Q$87</f>
        <v>390</v>
      </c>
      <c r="BO28" s="29"/>
      <c r="BP28" s="28">
        <f>Прайс[[#This Row],[КФ петли SENS накл.110 гр. с крестообр. Планкой]]*2+Прайс[[#This Row],[КФ  крепления профиля Gola]]</f>
        <v>1390</v>
      </c>
      <c r="BQ28" s="28">
        <v>0</v>
      </c>
      <c r="BR28" s="28">
        <v>0</v>
      </c>
      <c r="BS28" s="33">
        <v>300</v>
      </c>
      <c r="BT28" s="1">
        <v>720</v>
      </c>
      <c r="BU28" s="1" t="str">
        <f>IF(OR(Прайс[[#This Row],[Тип]]="Нижний",Прайс[[#This Row],[Тип]]="Пенал"),"560",IF(Прайс[[#This Row],[Тип]]="Верхний",315,0))</f>
        <v>560</v>
      </c>
      <c r="BV28" s="28">
        <v>1.08</v>
      </c>
      <c r="BW28" s="28">
        <v>1.0649999999999999</v>
      </c>
      <c r="BX28" s="28">
        <v>1.3</v>
      </c>
      <c r="BY28" s="1">
        <v>0</v>
      </c>
      <c r="BZ28" s="1">
        <v>0</v>
      </c>
      <c r="CA28" s="1" t="s">
        <v>10</v>
      </c>
      <c r="CB28" s="28" t="s">
        <v>819</v>
      </c>
      <c r="CC28" s="1"/>
      <c r="CD28" s="343"/>
    </row>
    <row r="29" spans="1:83" ht="15" customHeight="1" x14ac:dyDescent="0.25">
      <c r="A29" s="337" t="s">
        <v>30</v>
      </c>
      <c r="B29" s="1" t="s">
        <v>6</v>
      </c>
      <c r="C29" s="1" t="s">
        <v>101</v>
      </c>
      <c r="D29" s="1" t="s">
        <v>89</v>
      </c>
      <c r="E29" s="1" t="s">
        <v>87</v>
      </c>
      <c r="F29" s="1" t="s">
        <v>146</v>
      </c>
      <c r="G29" s="273">
        <v>720</v>
      </c>
      <c r="H29" s="273">
        <v>720</v>
      </c>
      <c r="I29" s="273">
        <v>600</v>
      </c>
      <c r="J29" s="273">
        <v>900</v>
      </c>
      <c r="K29" s="273">
        <v>300</v>
      </c>
      <c r="L29" s="273">
        <v>700</v>
      </c>
      <c r="M29" s="1"/>
      <c r="N29" s="269"/>
      <c r="O29" s="251">
        <v>2224.8000000000002</v>
      </c>
      <c r="P29" s="251"/>
      <c r="Q29" s="251"/>
      <c r="R29" s="1">
        <f>'комплекты фурнитуры'!$Q$10</f>
        <v>540</v>
      </c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>
        <f>'комплекты фурнитуры'!$Q$26*2</f>
        <v>540</v>
      </c>
      <c r="AF29" s="1"/>
      <c r="AG29" s="1"/>
      <c r="AH29" s="29">
        <f>SUM(Прайс[[#This Row],[КФ НСТ11]:[KFPr-SB-ZPG]])</f>
        <v>1080</v>
      </c>
      <c r="AI29" s="29"/>
      <c r="AJ29" s="1"/>
      <c r="AK29" s="1"/>
      <c r="AL29" s="1"/>
      <c r="AM29" s="29">
        <f>'комплекты фурнитуры'!$Q$68</f>
        <v>500</v>
      </c>
      <c r="AN29" s="29"/>
      <c r="AO29" s="29"/>
      <c r="AP29" s="29"/>
      <c r="AQ29" s="29"/>
      <c r="AR29" s="29"/>
      <c r="AS29" s="29"/>
      <c r="AT29" s="29"/>
      <c r="AU29" s="29"/>
      <c r="AV29" s="29"/>
      <c r="AW29" s="29"/>
      <c r="AX29" s="29"/>
      <c r="AY29" s="29"/>
      <c r="AZ29" s="29"/>
      <c r="BA29" s="29"/>
      <c r="BB29" s="29"/>
      <c r="BC29" s="29"/>
      <c r="BD29" s="29"/>
      <c r="BE29" s="29"/>
      <c r="BF29" s="29"/>
      <c r="BG29" s="29"/>
      <c r="BH29" s="29"/>
      <c r="BI29" s="29"/>
      <c r="BJ29" s="29"/>
      <c r="BK29" s="29"/>
      <c r="BL29" s="29"/>
      <c r="BM29" s="29"/>
      <c r="BN29" s="29">
        <f>'комплекты фурнитуры'!$Q$87</f>
        <v>390</v>
      </c>
      <c r="BO29" s="29"/>
      <c r="BP29" s="28">
        <f>Прайс[[#This Row],[КФ петли SENS накл.110 гр. с крестообр. Планкой]]*4+Прайс[[#This Row],[КФ  крепления профиля Gola]]</f>
        <v>2390</v>
      </c>
      <c r="BQ29" s="28">
        <v>0</v>
      </c>
      <c r="BR29" s="28">
        <v>0</v>
      </c>
      <c r="BS29" s="33">
        <v>300</v>
      </c>
      <c r="BT29" s="1">
        <v>720</v>
      </c>
      <c r="BU29" s="1" t="str">
        <f>IF(OR(Прайс[[#This Row],[Тип]]="Нижний",Прайс[[#This Row],[Тип]]="Пенал"),"560",IF(Прайс[[#This Row],[Тип]]="Верхний",315,0))</f>
        <v>560</v>
      </c>
      <c r="BV29" s="28">
        <v>1.08</v>
      </c>
      <c r="BW29" s="28">
        <v>1.0649999999999999</v>
      </c>
      <c r="BX29" s="28">
        <v>1.3</v>
      </c>
      <c r="BY29" s="1">
        <v>0</v>
      </c>
      <c r="BZ29" s="1">
        <v>0</v>
      </c>
      <c r="CA29" s="1" t="s">
        <v>10</v>
      </c>
      <c r="CB29" s="28" t="s">
        <v>819</v>
      </c>
      <c r="CC29" s="1"/>
      <c r="CD29" s="343"/>
    </row>
    <row r="30" spans="1:83" ht="15" customHeight="1" x14ac:dyDescent="0.25">
      <c r="A30" s="337" t="s">
        <v>196</v>
      </c>
      <c r="B30" s="1" t="s">
        <v>6</v>
      </c>
      <c r="C30" s="1" t="s">
        <v>729</v>
      </c>
      <c r="D30" s="1" t="s">
        <v>85</v>
      </c>
      <c r="E30" s="1" t="s">
        <v>87</v>
      </c>
      <c r="F30" s="1" t="s">
        <v>144</v>
      </c>
      <c r="G30" s="273">
        <v>720</v>
      </c>
      <c r="H30" s="273">
        <v>720</v>
      </c>
      <c r="I30" s="273">
        <v>710</v>
      </c>
      <c r="J30" s="273">
        <v>950</v>
      </c>
      <c r="K30" s="273">
        <v>360</v>
      </c>
      <c r="L30" s="273">
        <v>560</v>
      </c>
      <c r="M30" s="1"/>
      <c r="N30" s="269"/>
      <c r="O30" s="251">
        <v>3315.6</v>
      </c>
      <c r="P30" s="251"/>
      <c r="Q30" s="251"/>
      <c r="R30" s="1"/>
      <c r="S30" s="1"/>
      <c r="T30" s="1">
        <f>'комплекты фурнитуры'!$Q$13</f>
        <v>810</v>
      </c>
      <c r="U30" s="1"/>
      <c r="V30" s="1"/>
      <c r="W30" s="1"/>
      <c r="X30" s="1"/>
      <c r="Y30" s="1"/>
      <c r="Z30" s="1"/>
      <c r="AA30" s="1"/>
      <c r="AB30" s="1"/>
      <c r="AC30" s="1"/>
      <c r="AD30" s="1"/>
      <c r="AE30" s="1">
        <f>'комплекты фурнитуры'!$Q$26*2</f>
        <v>540</v>
      </c>
      <c r="AF30" s="1"/>
      <c r="AG30" s="1"/>
      <c r="AH30" s="29">
        <f>SUM(Прайс[[#This Row],[КФ НСТ11]:[KFPr-SB-ZPG]])</f>
        <v>1350</v>
      </c>
      <c r="AI30" s="29"/>
      <c r="AJ30" s="1">
        <f>'комплекты фурнитуры'!$Q$85</f>
        <v>30</v>
      </c>
      <c r="AK30" s="1"/>
      <c r="AL30" s="1"/>
      <c r="AM30" s="29"/>
      <c r="AN30" s="29"/>
      <c r="AO30" s="29">
        <f>'комплекты фурнитуры'!$Q$62</f>
        <v>1300</v>
      </c>
      <c r="AP30" s="29"/>
      <c r="AQ30" s="29"/>
      <c r="AR30" s="29"/>
      <c r="AS30" s="29"/>
      <c r="AT30" s="29"/>
      <c r="AU30" s="29"/>
      <c r="AV30" s="29"/>
      <c r="AW30" s="29"/>
      <c r="AX30" s="29"/>
      <c r="AY30" s="29"/>
      <c r="AZ30" s="29"/>
      <c r="BA30" s="29"/>
      <c r="BB30" s="29"/>
      <c r="BC30" s="29"/>
      <c r="BD30" s="29"/>
      <c r="BE30" s="29"/>
      <c r="BF30" s="29"/>
      <c r="BG30" s="29"/>
      <c r="BH30" s="29"/>
      <c r="BI30" s="29"/>
      <c r="BJ30" s="29"/>
      <c r="BK30" s="29"/>
      <c r="BL30" s="29"/>
      <c r="BM30" s="29"/>
      <c r="BN30" s="29">
        <f>'комплекты фурнитуры'!$Q$87</f>
        <v>390</v>
      </c>
      <c r="BO30" s="29"/>
      <c r="BP30" s="28">
        <f>Прайс[[#This Row],[КФ  крепления профиля Gola]]+Прайс[[#This Row],[КФ петли вклад. 95 гр. с крестообр. планкой]]+Прайс[[#This Row],[KFPr-SB-SPL]]</f>
        <v>1720</v>
      </c>
      <c r="BQ30" s="28">
        <v>0</v>
      </c>
      <c r="BR30" s="28">
        <v>0</v>
      </c>
      <c r="BS30" s="1">
        <v>750</v>
      </c>
      <c r="BT30" s="1">
        <v>720</v>
      </c>
      <c r="BU30" s="1" t="str">
        <f>IF(OR(Прайс[[#This Row],[Тип]]="Нижний",Прайс[[#This Row],[Тип]]="Пенал"),"560",IF(Прайс[[#This Row],[Тип]]="Верхний",315,0))</f>
        <v>560</v>
      </c>
      <c r="BV30" s="28">
        <v>1.08</v>
      </c>
      <c r="BW30" s="28">
        <v>1.0649999999999999</v>
      </c>
      <c r="BX30" s="28">
        <v>1.3</v>
      </c>
      <c r="BY30" s="1">
        <v>0</v>
      </c>
      <c r="BZ30" s="1">
        <v>2</v>
      </c>
      <c r="CA30" s="1" t="s">
        <v>10</v>
      </c>
      <c r="CB30" s="28" t="s">
        <v>819</v>
      </c>
      <c r="CC30" s="1"/>
      <c r="CD30" s="343"/>
    </row>
    <row r="31" spans="1:83" ht="15" customHeight="1" x14ac:dyDescent="0.25">
      <c r="A31" s="337" t="s">
        <v>195</v>
      </c>
      <c r="B31" s="1" t="s">
        <v>6</v>
      </c>
      <c r="C31" s="1" t="s">
        <v>730</v>
      </c>
      <c r="D31" s="1" t="s">
        <v>85</v>
      </c>
      <c r="E31" s="1" t="s">
        <v>87</v>
      </c>
      <c r="F31" s="1" t="s">
        <v>144</v>
      </c>
      <c r="G31" s="273">
        <v>720</v>
      </c>
      <c r="H31" s="273">
        <v>720</v>
      </c>
      <c r="I31" s="273">
        <v>710</v>
      </c>
      <c r="J31" s="273">
        <v>950</v>
      </c>
      <c r="K31" s="273">
        <v>360</v>
      </c>
      <c r="L31" s="273">
        <v>560</v>
      </c>
      <c r="M31" s="1"/>
      <c r="N31" s="269"/>
      <c r="O31" s="251">
        <v>3315.6</v>
      </c>
      <c r="P31" s="251"/>
      <c r="Q31" s="251"/>
      <c r="R31" s="1"/>
      <c r="S31" s="1"/>
      <c r="T31" s="1">
        <f>'комплекты фурнитуры'!$Q$13</f>
        <v>810</v>
      </c>
      <c r="U31" s="1"/>
      <c r="V31" s="1"/>
      <c r="W31" s="1"/>
      <c r="X31" s="1"/>
      <c r="Y31" s="1"/>
      <c r="Z31" s="1"/>
      <c r="AA31" s="1"/>
      <c r="AB31" s="1"/>
      <c r="AC31" s="1"/>
      <c r="AD31" s="1"/>
      <c r="AE31" s="1">
        <f>'комплекты фурнитуры'!$Q$26*2</f>
        <v>540</v>
      </c>
      <c r="AF31" s="1"/>
      <c r="AG31" s="1"/>
      <c r="AH31" s="29">
        <f>SUM(Прайс[[#This Row],[КФ НСТ11]:[KFPr-SB-ZPG]])</f>
        <v>1350</v>
      </c>
      <c r="AI31" s="29"/>
      <c r="AJ31" s="1">
        <f>'комплекты фурнитуры'!$Q$85</f>
        <v>30</v>
      </c>
      <c r="AK31" s="1"/>
      <c r="AL31" s="1"/>
      <c r="AM31" s="29"/>
      <c r="AN31" s="29"/>
      <c r="AO31" s="29">
        <f>'комплекты фурнитуры'!$Q$62</f>
        <v>1300</v>
      </c>
      <c r="AP31" s="29"/>
      <c r="AQ31" s="29"/>
      <c r="AR31" s="29"/>
      <c r="AS31" s="29"/>
      <c r="AT31" s="29"/>
      <c r="AU31" s="29"/>
      <c r="AV31" s="29"/>
      <c r="AW31" s="29"/>
      <c r="AX31" s="29"/>
      <c r="AY31" s="29"/>
      <c r="AZ31" s="29"/>
      <c r="BA31" s="29"/>
      <c r="BB31" s="29"/>
      <c r="BC31" s="29"/>
      <c r="BD31" s="29"/>
      <c r="BE31" s="29"/>
      <c r="BF31" s="29"/>
      <c r="BG31" s="29"/>
      <c r="BH31" s="29"/>
      <c r="BI31" s="29"/>
      <c r="BJ31" s="29"/>
      <c r="BK31" s="29"/>
      <c r="BL31" s="29"/>
      <c r="BM31" s="29"/>
      <c r="BN31" s="29">
        <f>'комплекты фурнитуры'!$Q$87</f>
        <v>390</v>
      </c>
      <c r="BO31" s="29"/>
      <c r="BP31" s="28">
        <f>Прайс[[#This Row],[КФ  крепления профиля Gola]]+Прайс[[#This Row],[КФ петли вклад. 95 гр. с крестообр. планкой]]+Прайс[[#This Row],[KFPr-SB-SPL]]</f>
        <v>1720</v>
      </c>
      <c r="BQ31" s="28">
        <v>0</v>
      </c>
      <c r="BR31" s="28">
        <v>0</v>
      </c>
      <c r="BS31" s="1">
        <v>750</v>
      </c>
      <c r="BT31" s="1">
        <v>720</v>
      </c>
      <c r="BU31" s="1" t="str">
        <f>IF(OR(Прайс[[#This Row],[Тип]]="Нижний",Прайс[[#This Row],[Тип]]="Пенал"),"560",IF(Прайс[[#This Row],[Тип]]="Верхний",315,0))</f>
        <v>560</v>
      </c>
      <c r="BV31" s="28">
        <v>1.08</v>
      </c>
      <c r="BW31" s="28">
        <v>1.0649999999999999</v>
      </c>
      <c r="BX31" s="28">
        <v>1.3</v>
      </c>
      <c r="BY31" s="1">
        <v>0</v>
      </c>
      <c r="BZ31" s="1">
        <v>2</v>
      </c>
      <c r="CA31" s="1" t="s">
        <v>10</v>
      </c>
      <c r="CB31" s="28" t="s">
        <v>819</v>
      </c>
      <c r="CC31" s="1"/>
      <c r="CD31" s="343"/>
    </row>
    <row r="32" spans="1:83" ht="15" customHeight="1" x14ac:dyDescent="0.25">
      <c r="A32" s="339" t="s">
        <v>2</v>
      </c>
      <c r="B32" s="1" t="s">
        <v>7</v>
      </c>
      <c r="C32" s="1" t="s">
        <v>127</v>
      </c>
      <c r="D32" s="1" t="s">
        <v>8</v>
      </c>
      <c r="E32" s="1" t="s">
        <v>10</v>
      </c>
      <c r="F32" s="1" t="s">
        <v>144</v>
      </c>
      <c r="G32" s="273">
        <v>360</v>
      </c>
      <c r="H32" s="273">
        <v>1250</v>
      </c>
      <c r="I32" s="273">
        <v>150</v>
      </c>
      <c r="J32" s="273">
        <v>900</v>
      </c>
      <c r="K32" s="273">
        <v>250</v>
      </c>
      <c r="L32" s="273">
        <v>560</v>
      </c>
      <c r="M32" s="1"/>
      <c r="N32" s="269"/>
      <c r="O32" s="251">
        <v>1510</v>
      </c>
      <c r="P32" s="251"/>
      <c r="Q32" s="251"/>
      <c r="R32" s="1">
        <f>'комплекты фурнитуры'!$Q$10</f>
        <v>540</v>
      </c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>
        <f>'комплекты фурнитуры'!$Q$79</f>
        <v>210</v>
      </c>
      <c r="AG32" s="1">
        <f>'комплекты фурнитуры'!$Q$80</f>
        <v>20</v>
      </c>
      <c r="AH32" s="29">
        <f>SUM(Прайс[[#This Row],[КФ НСТ11]:[KFPr-SB-ZPG]])</f>
        <v>770</v>
      </c>
      <c r="AI32" s="29"/>
      <c r="AJ32" s="1"/>
      <c r="AK32" s="1"/>
      <c r="AL32" s="1"/>
      <c r="AM32" s="29"/>
      <c r="AN32" s="29"/>
      <c r="AO32" s="29"/>
      <c r="AP32" s="29"/>
      <c r="AQ32" s="29"/>
      <c r="AR32" s="29"/>
      <c r="AS32" s="29"/>
      <c r="AT32" s="29"/>
      <c r="AU32" s="29"/>
      <c r="AV32" s="29"/>
      <c r="AW32" s="29"/>
      <c r="AX32" s="29"/>
      <c r="AY32" s="29"/>
      <c r="AZ32" s="29"/>
      <c r="BA32" s="29"/>
      <c r="BB32" s="29"/>
      <c r="BC32" s="29"/>
      <c r="BD32" s="29"/>
      <c r="BE32" s="29"/>
      <c r="BF32" s="29"/>
      <c r="BG32" s="29"/>
      <c r="BH32" s="29"/>
      <c r="BI32" s="29"/>
      <c r="BJ32" s="29"/>
      <c r="BK32" s="29"/>
      <c r="BL32" s="29"/>
      <c r="BM32" s="29"/>
      <c r="BN32" s="29"/>
      <c r="BO32" s="29"/>
      <c r="BP32" s="28">
        <v>0</v>
      </c>
      <c r="BQ32" s="28">
        <v>0</v>
      </c>
      <c r="BR32" s="28">
        <v>0</v>
      </c>
      <c r="BS32" s="1">
        <v>300</v>
      </c>
      <c r="BT32" s="1">
        <v>720</v>
      </c>
      <c r="BU32" s="1">
        <f>IF(OR(Прайс[[#This Row],[Тип]]="Нижний",Прайс[[#This Row],[Тип]]="Пенал"),"560",IF(Прайс[[#This Row],[Тип]]="Верхний",315,0))</f>
        <v>315</v>
      </c>
      <c r="BV32" s="28">
        <v>1.08</v>
      </c>
      <c r="BW32" s="28">
        <v>1.0649999999999999</v>
      </c>
      <c r="BX32" s="28">
        <v>1.3</v>
      </c>
      <c r="BY32" s="1">
        <v>0</v>
      </c>
      <c r="BZ32" s="1">
        <v>3</v>
      </c>
      <c r="CA32" s="1" t="s">
        <v>87</v>
      </c>
      <c r="CB32" s="28" t="s">
        <v>818</v>
      </c>
      <c r="CC32" s="1"/>
      <c r="CD32" s="343"/>
    </row>
    <row r="33" spans="1:86" ht="15" customHeight="1" x14ac:dyDescent="0.25">
      <c r="A33" s="339" t="s">
        <v>132</v>
      </c>
      <c r="B33" s="1" t="s">
        <v>7</v>
      </c>
      <c r="C33" s="1" t="s">
        <v>130</v>
      </c>
      <c r="D33" s="1" t="s">
        <v>89</v>
      </c>
      <c r="E33" s="1" t="s">
        <v>10</v>
      </c>
      <c r="F33" s="1" t="s">
        <v>144</v>
      </c>
      <c r="G33" s="273">
        <v>360</v>
      </c>
      <c r="H33" s="273">
        <v>1250</v>
      </c>
      <c r="I33" s="273">
        <v>400</v>
      </c>
      <c r="J33" s="273">
        <v>900</v>
      </c>
      <c r="K33" s="273">
        <v>300</v>
      </c>
      <c r="L33" s="273">
        <v>560</v>
      </c>
      <c r="M33" s="1"/>
      <c r="N33" s="269"/>
      <c r="O33" s="251">
        <v>1510</v>
      </c>
      <c r="P33" s="251"/>
      <c r="Q33" s="251">
        <v>540</v>
      </c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>
        <f>'комплекты фурнитуры'!$Q$79</f>
        <v>210</v>
      </c>
      <c r="AG33" s="1">
        <f>'комплекты фурнитуры'!$Q$80</f>
        <v>20</v>
      </c>
      <c r="AH33" s="29">
        <f>SUM(Прайс[[#This Row],[КФ НСТ11]:[KFPr-SB-ZPG]])</f>
        <v>770</v>
      </c>
      <c r="AI33" s="29"/>
      <c r="AJ33" s="1"/>
      <c r="AK33" s="1"/>
      <c r="AL33" s="1"/>
      <c r="AM33" s="29">
        <f>'комплекты фурнитуры'!$Q$68</f>
        <v>500</v>
      </c>
      <c r="AN33" s="29">
        <f>'комплекты фурнитуры'!$Q$69</f>
        <v>130</v>
      </c>
      <c r="AO33" s="29"/>
      <c r="AP33" s="29"/>
      <c r="AQ33" s="29"/>
      <c r="AR33" s="29"/>
      <c r="AS33" s="29"/>
      <c r="AT33" s="29"/>
      <c r="AU33" s="29"/>
      <c r="AV33" s="29"/>
      <c r="AW33" s="29"/>
      <c r="AX33" s="29"/>
      <c r="AY33" s="29"/>
      <c r="AZ33" s="29"/>
      <c r="BA33" s="29"/>
      <c r="BB33" s="29"/>
      <c r="BC33" s="29"/>
      <c r="BD33" s="29"/>
      <c r="BE33" s="29"/>
      <c r="BF33" s="29"/>
      <c r="BG33" s="29"/>
      <c r="BH33" s="29"/>
      <c r="BI33" s="29"/>
      <c r="BJ33" s="29"/>
      <c r="BK33" s="29"/>
      <c r="BL33" s="29"/>
      <c r="BM33" s="29"/>
      <c r="BN33" s="29"/>
      <c r="BO33" s="29"/>
      <c r="BP33" s="28">
        <f>Прайс[[#This Row],[КФ петли SENS накл.110 гр. с крестообр. Планкой]]*2</f>
        <v>1000</v>
      </c>
      <c r="BQ33" s="28">
        <f>Прайс[[#This Row],[KFP-SB-N110]]*2</f>
        <v>260</v>
      </c>
      <c r="BR33" s="28">
        <f>Прайс[[#This Row],[KFP-SB-N110]]*2</f>
        <v>260</v>
      </c>
      <c r="BS33" s="1">
        <v>300</v>
      </c>
      <c r="BT33" s="1">
        <v>720</v>
      </c>
      <c r="BU33" s="1">
        <f>IF(OR(Прайс[[#This Row],[Тип]]="Нижний",Прайс[[#This Row],[Тип]]="Пенал"),"560",IF(Прайс[[#This Row],[Тип]]="Верхний",315,0))</f>
        <v>315</v>
      </c>
      <c r="BV33" s="28">
        <v>1.08</v>
      </c>
      <c r="BW33" s="28">
        <v>1.0649999999999999</v>
      </c>
      <c r="BX33" s="28">
        <v>1.3</v>
      </c>
      <c r="BY33" s="1">
        <v>0</v>
      </c>
      <c r="BZ33" s="1">
        <v>3</v>
      </c>
      <c r="CA33" s="1" t="s">
        <v>87</v>
      </c>
      <c r="CB33" s="28" t="s">
        <v>818</v>
      </c>
      <c r="CC33" s="1"/>
      <c r="CD33" s="343"/>
    </row>
    <row r="34" spans="1:86" ht="15" customHeight="1" x14ac:dyDescent="0.25">
      <c r="A34" s="339" t="s">
        <v>133</v>
      </c>
      <c r="B34" s="1" t="s">
        <v>7</v>
      </c>
      <c r="C34" s="1" t="s">
        <v>114</v>
      </c>
      <c r="D34" s="1" t="s">
        <v>89</v>
      </c>
      <c r="E34" s="1" t="s">
        <v>10</v>
      </c>
      <c r="F34" s="1" t="s">
        <v>156</v>
      </c>
      <c r="G34" s="273">
        <v>600</v>
      </c>
      <c r="H34" s="273">
        <v>800</v>
      </c>
      <c r="I34" s="273">
        <v>450</v>
      </c>
      <c r="J34" s="273">
        <v>600</v>
      </c>
      <c r="K34" s="273">
        <v>350</v>
      </c>
      <c r="L34" s="273">
        <v>500</v>
      </c>
      <c r="M34" s="1"/>
      <c r="N34" s="269"/>
      <c r="O34" s="251">
        <v>1510</v>
      </c>
      <c r="P34" s="251">
        <v>740</v>
      </c>
      <c r="Q34" s="25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>
        <f>'комплекты фурнитуры'!$Q$79</f>
        <v>210</v>
      </c>
      <c r="AG34" s="1">
        <f>'комплекты фурнитуры'!$Q$80</f>
        <v>20</v>
      </c>
      <c r="AH34" s="29">
        <f>SUM(Прайс[[#This Row],[КФ НСТ11]:[KFPr-SB-ZPG]])</f>
        <v>970</v>
      </c>
      <c r="AI34" s="29"/>
      <c r="AJ34" s="1"/>
      <c r="AK34" s="1"/>
      <c r="AL34" s="1"/>
      <c r="AM34" s="29">
        <f>'комплекты фурнитуры'!$Q$68</f>
        <v>500</v>
      </c>
      <c r="AN34" s="29">
        <f>'комплекты фурнитуры'!$Q$69</f>
        <v>130</v>
      </c>
      <c r="AO34" s="29"/>
      <c r="AP34" s="29"/>
      <c r="AQ34" s="29"/>
      <c r="AR34" s="29"/>
      <c r="AS34" s="29"/>
      <c r="AT34" s="29"/>
      <c r="AU34" s="29"/>
      <c r="AV34" s="29"/>
      <c r="AW34" s="29"/>
      <c r="AX34" s="29"/>
      <c r="AY34" s="29"/>
      <c r="AZ34" s="29"/>
      <c r="BA34" s="29"/>
      <c r="BB34" s="29"/>
      <c r="BC34" s="29"/>
      <c r="BD34" s="29"/>
      <c r="BE34" s="29"/>
      <c r="BF34" s="29"/>
      <c r="BG34" s="29"/>
      <c r="BH34" s="29"/>
      <c r="BI34" s="29"/>
      <c r="BJ34" s="29"/>
      <c r="BK34" s="29"/>
      <c r="BL34" s="29"/>
      <c r="BM34" s="29"/>
      <c r="BN34" s="29"/>
      <c r="BO34" s="29"/>
      <c r="BP34" s="28">
        <f>Прайс[[#This Row],[КФ петли SENS накл.110 гр. с крестообр. Планкой]]*2</f>
        <v>1000</v>
      </c>
      <c r="BQ34" s="28">
        <f>Прайс[[#This Row],[KFP-SB-N110]]*2</f>
        <v>260</v>
      </c>
      <c r="BR34" s="28">
        <f>Прайс[[#This Row],[KFP-SB-N110]]*2</f>
        <v>260</v>
      </c>
      <c r="BS34" s="1">
        <v>300</v>
      </c>
      <c r="BT34" s="1">
        <v>720</v>
      </c>
      <c r="BU34" s="1">
        <f>IF(OR(Прайс[[#This Row],[Тип]]="Нижний",Прайс[[#This Row],[Тип]]="Пенал"),"560",IF(Прайс[[#This Row],[Тип]]="Верхний",315,0))</f>
        <v>315</v>
      </c>
      <c r="BV34" s="28">
        <v>1.08</v>
      </c>
      <c r="BW34" s="28">
        <v>1.0649999999999999</v>
      </c>
      <c r="BX34" s="28">
        <v>1.3</v>
      </c>
      <c r="BY34" s="1">
        <v>1</v>
      </c>
      <c r="BZ34" s="1">
        <v>1</v>
      </c>
      <c r="CA34" s="1" t="s">
        <v>87</v>
      </c>
      <c r="CB34" s="28" t="s">
        <v>818</v>
      </c>
      <c r="CC34" s="1"/>
      <c r="CD34" s="343"/>
    </row>
    <row r="35" spans="1:86" ht="15" customHeight="1" x14ac:dyDescent="0.25">
      <c r="A35" s="340" t="s">
        <v>703</v>
      </c>
      <c r="B35" s="1" t="s">
        <v>7</v>
      </c>
      <c r="C35" s="1" t="s">
        <v>733</v>
      </c>
      <c r="D35" s="1" t="s">
        <v>89</v>
      </c>
      <c r="E35" s="1" t="s">
        <v>10</v>
      </c>
      <c r="F35" s="1" t="s">
        <v>149</v>
      </c>
      <c r="G35" s="273">
        <v>240</v>
      </c>
      <c r="H35" s="273">
        <v>360</v>
      </c>
      <c r="I35" s="273">
        <v>400</v>
      </c>
      <c r="J35" s="273">
        <v>900</v>
      </c>
      <c r="K35" s="273">
        <v>300</v>
      </c>
      <c r="L35" s="273">
        <v>560</v>
      </c>
      <c r="M35" s="1"/>
      <c r="N35" s="269" t="s">
        <v>75</v>
      </c>
      <c r="O35" s="251">
        <v>1510</v>
      </c>
      <c r="P35" s="251"/>
      <c r="Q35" s="251"/>
      <c r="R35" s="1">
        <f>'комплекты фурнитуры'!$Q$10</f>
        <v>540</v>
      </c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>
        <f>'комплекты фурнитуры'!$Q$79</f>
        <v>210</v>
      </c>
      <c r="AG35" s="1">
        <f>'комплекты фурнитуры'!$Q$80</f>
        <v>20</v>
      </c>
      <c r="AH35" s="29">
        <f>SUM(Прайс[[#This Row],[КФ НСТ11]:[KFPr-SB-ZPG]])</f>
        <v>770</v>
      </c>
      <c r="AI35" s="29"/>
      <c r="AJ35" s="1"/>
      <c r="AK35" s="1"/>
      <c r="AL35" s="1"/>
      <c r="AM35" s="29"/>
      <c r="AN35" s="29">
        <f>'комплекты фурнитуры'!$Q$69</f>
        <v>130</v>
      </c>
      <c r="AO35" s="29"/>
      <c r="AP35" s="29"/>
      <c r="AQ35" s="29"/>
      <c r="AR35" s="29"/>
      <c r="AS35" s="29"/>
      <c r="AT35" s="29"/>
      <c r="AU35" s="29"/>
      <c r="AV35" s="29"/>
      <c r="AW35" s="29">
        <f>'комплекты фурнитуры'!$Q$73</f>
        <v>6080</v>
      </c>
      <c r="AX35" s="29"/>
      <c r="AY35" s="29">
        <f>'комплекты фурнитуры'!$Q$76</f>
        <v>2290</v>
      </c>
      <c r="AZ35" s="29"/>
      <c r="BA35" s="29"/>
      <c r="BB35" s="29"/>
      <c r="BC35" s="29"/>
      <c r="BD35" s="29"/>
      <c r="BE35" s="29"/>
      <c r="BF35" s="29"/>
      <c r="BG35" s="29"/>
      <c r="BH35" s="29"/>
      <c r="BI35" s="29"/>
      <c r="BJ35" s="29"/>
      <c r="BK35" s="29"/>
      <c r="BL35" s="29"/>
      <c r="BM35" s="29"/>
      <c r="BN35" s="29"/>
      <c r="BO35" s="29"/>
      <c r="BP35" s="28">
        <f>Прайс[[#This Row],[KFP-SP-PPGK]]</f>
        <v>6080</v>
      </c>
      <c r="BQ35" s="28">
        <f>Прайс[[#This Row],[KFP-SP-PPA]]+Прайс[[#This Row],[KFP-SB-N110]]*2</f>
        <v>2550</v>
      </c>
      <c r="BR35" s="28">
        <v>0</v>
      </c>
      <c r="BS35" s="1">
        <v>300</v>
      </c>
      <c r="BT35" s="1">
        <v>720</v>
      </c>
      <c r="BU35" s="1">
        <f>IF(OR(Прайс[[#This Row],[Тип]]="Нижний",Прайс[[#This Row],[Тип]]="Пенал"),"560",IF(Прайс[[#This Row],[Тип]]="Верхний",315,0))</f>
        <v>315</v>
      </c>
      <c r="BV35" s="28">
        <v>1.08</v>
      </c>
      <c r="BW35" s="28">
        <v>1.0649999999999999</v>
      </c>
      <c r="BX35" s="28">
        <v>1.3</v>
      </c>
      <c r="BY35" s="1">
        <v>0</v>
      </c>
      <c r="BZ35" s="1">
        <v>0</v>
      </c>
      <c r="CA35" s="1" t="s">
        <v>10</v>
      </c>
      <c r="CB35" s="28" t="s">
        <v>820</v>
      </c>
      <c r="CC35" s="1"/>
      <c r="CD35" s="343"/>
    </row>
    <row r="36" spans="1:86" ht="15" customHeight="1" x14ac:dyDescent="0.25">
      <c r="A36" s="340" t="s">
        <v>704</v>
      </c>
      <c r="B36" s="1" t="s">
        <v>7</v>
      </c>
      <c r="C36" s="1" t="s">
        <v>734</v>
      </c>
      <c r="D36" s="1" t="s">
        <v>89</v>
      </c>
      <c r="E36" s="1" t="s">
        <v>10</v>
      </c>
      <c r="F36" s="1" t="s">
        <v>149</v>
      </c>
      <c r="G36" s="273">
        <v>240</v>
      </c>
      <c r="H36" s="273">
        <v>360</v>
      </c>
      <c r="I36" s="273">
        <v>400</v>
      </c>
      <c r="J36" s="273">
        <v>900</v>
      </c>
      <c r="K36" s="273">
        <v>300</v>
      </c>
      <c r="L36" s="273">
        <v>560</v>
      </c>
      <c r="M36" s="1"/>
      <c r="N36" s="269"/>
      <c r="O36" s="251">
        <v>1510</v>
      </c>
      <c r="P36" s="251"/>
      <c r="Q36" s="251"/>
      <c r="R36" s="1">
        <f>'комплекты фурнитуры'!Q47</f>
        <v>7810</v>
      </c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>
        <f>'комплекты фурнитуры'!$Q$79</f>
        <v>210</v>
      </c>
      <c r="AG36" s="1">
        <f>'комплекты фурнитуры'!$Q$80</f>
        <v>20</v>
      </c>
      <c r="AH36" s="29">
        <f>SUM(Прайс[[#This Row],[КФ НСТ11]:[KFPr-SB-ZPG]])</f>
        <v>8040</v>
      </c>
      <c r="AI36" s="29"/>
      <c r="AJ36" s="1"/>
      <c r="AK36" s="1"/>
      <c r="AL36" s="1"/>
      <c r="AM36" s="29"/>
      <c r="AN36" s="29">
        <f>'комплекты фурнитуры'!$Q$69</f>
        <v>130</v>
      </c>
      <c r="AO36" s="29"/>
      <c r="AP36" s="29"/>
      <c r="AQ36" s="29"/>
      <c r="AR36" s="29"/>
      <c r="AS36" s="29"/>
      <c r="AT36" s="29"/>
      <c r="AU36" s="29"/>
      <c r="AV36" s="29"/>
      <c r="AW36" s="29"/>
      <c r="AX36" s="29">
        <f>'комплекты фурнитуры'!$Q$74</f>
        <v>6940</v>
      </c>
      <c r="AY36" s="29">
        <f>'комплекты фурнитуры'!$Q$76</f>
        <v>2290</v>
      </c>
      <c r="AZ36" s="29"/>
      <c r="BA36" s="29"/>
      <c r="BB36" s="29"/>
      <c r="BC36" s="29"/>
      <c r="BD36" s="29"/>
      <c r="BE36" s="29"/>
      <c r="BF36" s="29"/>
      <c r="BG36" s="29"/>
      <c r="BH36" s="29"/>
      <c r="BI36" s="29"/>
      <c r="BJ36" s="29"/>
      <c r="BK36" s="29"/>
      <c r="BL36" s="29"/>
      <c r="BM36" s="29"/>
      <c r="BN36" s="29"/>
      <c r="BO36" s="29"/>
      <c r="BP36" s="28">
        <f>Прайс[[#This Row],[KFP-SP-PPGK_71
]]</f>
        <v>6940</v>
      </c>
      <c r="BQ36" s="28">
        <f>Прайс[[#This Row],[KFP-SP-PPA]]+Прайс[[#This Row],[KFP-SB-N110]]*2</f>
        <v>2550</v>
      </c>
      <c r="BR36" s="28">
        <v>0</v>
      </c>
      <c r="BS36" s="1">
        <v>300</v>
      </c>
      <c r="BT36" s="1">
        <v>720</v>
      </c>
      <c r="BU36" s="1">
        <f>IF(OR(Прайс[[#This Row],[Тип]]="Нижний",Прайс[[#This Row],[Тип]]="Пенал"),"560",IF(Прайс[[#This Row],[Тип]]="Верхний",315,0))</f>
        <v>315</v>
      </c>
      <c r="BV36" s="28">
        <v>1.08</v>
      </c>
      <c r="BW36" s="28">
        <v>1.0649999999999999</v>
      </c>
      <c r="BX36" s="28">
        <v>1.3</v>
      </c>
      <c r="BY36" s="1">
        <v>0</v>
      </c>
      <c r="BZ36" s="1">
        <v>0</v>
      </c>
      <c r="CA36" s="1" t="s">
        <v>10</v>
      </c>
      <c r="CB36" s="28" t="s">
        <v>820</v>
      </c>
      <c r="CC36" s="1"/>
      <c r="CD36" s="343"/>
    </row>
    <row r="37" spans="1:86" ht="15" customHeight="1" x14ac:dyDescent="0.25">
      <c r="A37" s="339" t="s">
        <v>135</v>
      </c>
      <c r="B37" s="1" t="s">
        <v>7</v>
      </c>
      <c r="C37" s="1" t="s">
        <v>115</v>
      </c>
      <c r="D37" s="1" t="s">
        <v>89</v>
      </c>
      <c r="E37" s="1" t="s">
        <v>10</v>
      </c>
      <c r="F37" s="1" t="s">
        <v>156</v>
      </c>
      <c r="G37" s="273">
        <v>600</v>
      </c>
      <c r="H37" s="273">
        <v>800</v>
      </c>
      <c r="I37" s="273">
        <v>450</v>
      </c>
      <c r="J37" s="273">
        <v>600</v>
      </c>
      <c r="K37" s="273">
        <v>350</v>
      </c>
      <c r="L37" s="273">
        <v>500</v>
      </c>
      <c r="M37" s="1"/>
      <c r="N37" s="269"/>
      <c r="O37" s="251">
        <v>1510</v>
      </c>
      <c r="P37" s="251"/>
      <c r="Q37" s="251"/>
      <c r="R37" s="1"/>
      <c r="S37" s="1"/>
      <c r="T37" s="1"/>
      <c r="U37" s="1"/>
      <c r="V37" s="1"/>
      <c r="W37" s="1"/>
      <c r="X37" s="1"/>
      <c r="Y37" s="1">
        <f>'комплекты фурнитуры'!$Q$20</f>
        <v>740</v>
      </c>
      <c r="Z37" s="1"/>
      <c r="AA37" s="1"/>
      <c r="AB37" s="1"/>
      <c r="AC37" s="1"/>
      <c r="AD37" s="1"/>
      <c r="AE37" s="1"/>
      <c r="AF37" s="1">
        <f>'комплекты фурнитуры'!$Q$79</f>
        <v>210</v>
      </c>
      <c r="AG37" s="1">
        <f>'комплекты фурнитуры'!$Q$80</f>
        <v>20</v>
      </c>
      <c r="AH37" s="29">
        <f>SUM(Прайс[[#This Row],[КФ НСТ11]:[KFPr-SB-ZPG]])</f>
        <v>970</v>
      </c>
      <c r="AI37" s="29"/>
      <c r="AJ37" s="1"/>
      <c r="AK37" s="1"/>
      <c r="AL37" s="1"/>
      <c r="AM37" s="29"/>
      <c r="AN37" s="29">
        <f>'комплекты фурнитуры'!$Q$69</f>
        <v>130</v>
      </c>
      <c r="AO37" s="29"/>
      <c r="AP37" s="29"/>
      <c r="AQ37" s="29"/>
      <c r="AR37" s="29"/>
      <c r="AS37" s="29"/>
      <c r="AT37" s="29"/>
      <c r="AU37" s="29"/>
      <c r="AV37" s="29"/>
      <c r="AW37" s="29">
        <f>'комплекты фурнитуры'!$Q$73</f>
        <v>6080</v>
      </c>
      <c r="AX37" s="29"/>
      <c r="AY37" s="29">
        <f>'комплекты фурнитуры'!$Q$76</f>
        <v>2290</v>
      </c>
      <c r="AZ37" s="29"/>
      <c r="BA37" s="29"/>
      <c r="BB37" s="29"/>
      <c r="BC37" s="29"/>
      <c r="BD37" s="29"/>
      <c r="BE37" s="29"/>
      <c r="BF37" s="29"/>
      <c r="BG37" s="29"/>
      <c r="BH37" s="29"/>
      <c r="BI37" s="29"/>
      <c r="BJ37" s="29"/>
      <c r="BK37" s="29"/>
      <c r="BL37" s="29"/>
      <c r="BM37" s="29"/>
      <c r="BN37" s="29"/>
      <c r="BO37" s="29"/>
      <c r="BP37" s="28">
        <f>Прайс[[#This Row],[KFP-SP-PPGK]]</f>
        <v>6080</v>
      </c>
      <c r="BQ37" s="28">
        <f>Прайс[[#This Row],[KFP-SP-PPA]]+Прайс[[#This Row],[KFP-SB-N110]]*2</f>
        <v>2550</v>
      </c>
      <c r="BR37" s="28">
        <v>0</v>
      </c>
      <c r="BS37" s="1">
        <v>600</v>
      </c>
      <c r="BT37" s="1">
        <v>720</v>
      </c>
      <c r="BU37" s="1">
        <v>350</v>
      </c>
      <c r="BV37" s="28">
        <v>1.08</v>
      </c>
      <c r="BW37" s="28">
        <v>1.0649999999999999</v>
      </c>
      <c r="BX37" s="28">
        <v>1.3</v>
      </c>
      <c r="BY37" s="1">
        <v>0</v>
      </c>
      <c r="BZ37" s="1">
        <v>0</v>
      </c>
      <c r="CA37" s="1" t="s">
        <v>10</v>
      </c>
      <c r="CB37" s="28" t="s">
        <v>820</v>
      </c>
      <c r="CC37" s="1"/>
      <c r="CD37" s="343"/>
    </row>
    <row r="38" spans="1:86" ht="15" customHeight="1" x14ac:dyDescent="0.25">
      <c r="A38" s="339" t="s">
        <v>136</v>
      </c>
      <c r="B38" s="1" t="s">
        <v>7</v>
      </c>
      <c r="C38" s="1" t="s">
        <v>131</v>
      </c>
      <c r="D38" s="1" t="s">
        <v>89</v>
      </c>
      <c r="E38" s="1" t="s">
        <v>10</v>
      </c>
      <c r="F38" s="1" t="s">
        <v>144</v>
      </c>
      <c r="G38" s="353">
        <v>360</v>
      </c>
      <c r="H38" s="353">
        <v>1250</v>
      </c>
      <c r="I38" s="353">
        <v>400</v>
      </c>
      <c r="J38" s="353">
        <v>900</v>
      </c>
      <c r="K38" s="353">
        <v>250</v>
      </c>
      <c r="L38" s="353">
        <v>560</v>
      </c>
      <c r="M38" s="1"/>
      <c r="N38" s="269"/>
      <c r="O38" s="251">
        <v>1510</v>
      </c>
      <c r="P38" s="251"/>
      <c r="Q38" s="251">
        <v>540</v>
      </c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>
        <f>'комплекты фурнитуры'!$Q$79</f>
        <v>210</v>
      </c>
      <c r="AG38" s="1">
        <f>'комплекты фурнитуры'!$Q$80</f>
        <v>20</v>
      </c>
      <c r="AH38" s="29">
        <f>SUM(Прайс[[#This Row],[КФ НСТ11]:[KFPr-SB-ZPG]])</f>
        <v>770</v>
      </c>
      <c r="AI38" s="29"/>
      <c r="AJ38" s="1"/>
      <c r="AK38" s="1"/>
      <c r="AL38" s="1"/>
      <c r="AM38" s="29">
        <f>'комплекты фурнитуры'!$Q$68</f>
        <v>500</v>
      </c>
      <c r="AN38" s="29">
        <f>'комплекты фурнитуры'!$Q$69</f>
        <v>130</v>
      </c>
      <c r="AO38" s="29"/>
      <c r="AP38" s="29"/>
      <c r="AQ38" s="29"/>
      <c r="AR38" s="29"/>
      <c r="AS38" s="29"/>
      <c r="AT38" s="29"/>
      <c r="AU38" s="29"/>
      <c r="AV38" s="29"/>
      <c r="AW38" s="29"/>
      <c r="AX38" s="29"/>
      <c r="AY38" s="29"/>
      <c r="AZ38" s="29"/>
      <c r="BA38" s="29"/>
      <c r="BB38" s="29"/>
      <c r="BC38" s="29"/>
      <c r="BD38" s="29"/>
      <c r="BE38" s="29"/>
      <c r="BF38" s="29"/>
      <c r="BG38" s="29"/>
      <c r="BH38" s="29"/>
      <c r="BI38" s="29"/>
      <c r="BJ38" s="29"/>
      <c r="BK38" s="29"/>
      <c r="BL38" s="29"/>
      <c r="BM38" s="29"/>
      <c r="BN38" s="29"/>
      <c r="BO38" s="29"/>
      <c r="BP38" s="28">
        <f>Прайс[[#This Row],[КФ петли SENS накл.110 гр. с крестообр. Планкой]]*4</f>
        <v>2000</v>
      </c>
      <c r="BQ38" s="28">
        <f>Прайс[[#This Row],[KFP-SB-N110]]*4</f>
        <v>520</v>
      </c>
      <c r="BR38" s="28">
        <f>Прайс[[#This Row],[KFP-SB-N110]]*4</f>
        <v>520</v>
      </c>
      <c r="BS38" s="1">
        <v>300</v>
      </c>
      <c r="BT38" s="1">
        <v>720</v>
      </c>
      <c r="BU38" s="1">
        <f>IF(OR(Прайс[[#This Row],[Тип]]="Нижний",Прайс[[#This Row],[Тип]]="Пенал"),"560",IF(Прайс[[#This Row],[Тип]]="Верхний",315,0))</f>
        <v>315</v>
      </c>
      <c r="BV38" s="28">
        <v>1.08</v>
      </c>
      <c r="BW38" s="28">
        <v>1.0649999999999999</v>
      </c>
      <c r="BX38" s="28">
        <v>1.3</v>
      </c>
      <c r="BY38" s="351">
        <v>0</v>
      </c>
      <c r="BZ38" s="351">
        <v>3</v>
      </c>
      <c r="CA38" s="351" t="s">
        <v>87</v>
      </c>
      <c r="CB38" s="352" t="s">
        <v>818</v>
      </c>
      <c r="CC38" s="351">
        <v>0</v>
      </c>
      <c r="CD38" s="351" t="s">
        <v>87</v>
      </c>
      <c r="CF38" t="s">
        <v>906</v>
      </c>
    </row>
    <row r="39" spans="1:86" ht="15" customHeight="1" x14ac:dyDescent="0.25">
      <c r="A39" s="340" t="s">
        <v>32</v>
      </c>
      <c r="B39" s="1" t="s">
        <v>7</v>
      </c>
      <c r="C39" s="1" t="s">
        <v>116</v>
      </c>
      <c r="D39" s="1" t="s">
        <v>89</v>
      </c>
      <c r="E39" s="1" t="s">
        <v>10</v>
      </c>
      <c r="F39" s="1" t="s">
        <v>149</v>
      </c>
      <c r="G39" s="353">
        <v>720</v>
      </c>
      <c r="H39" s="353">
        <v>720</v>
      </c>
      <c r="I39" s="353">
        <v>400</v>
      </c>
      <c r="J39" s="353">
        <v>900</v>
      </c>
      <c r="K39" s="353">
        <v>300</v>
      </c>
      <c r="L39" s="353">
        <v>400</v>
      </c>
      <c r="M39" s="1"/>
      <c r="N39" s="269" t="s">
        <v>76</v>
      </c>
      <c r="O39" s="251">
        <v>1510</v>
      </c>
      <c r="P39" s="251"/>
      <c r="Q39" s="251"/>
      <c r="R39" s="1">
        <f>'комплекты фурнитуры'!$Q$10</f>
        <v>540</v>
      </c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>
        <f>'комплекты фурнитуры'!$Q$79</f>
        <v>210</v>
      </c>
      <c r="AG39" s="1">
        <f>'комплекты фурнитуры'!$Q$80</f>
        <v>20</v>
      </c>
      <c r="AH39" s="29">
        <f>SUM(Прайс[[#This Row],[КФ НСТ11]:[KFPr-SB-ZPG]])</f>
        <v>770</v>
      </c>
      <c r="AI39" s="29"/>
      <c r="AJ39" s="1"/>
      <c r="AK39" s="1"/>
      <c r="AL39" s="1"/>
      <c r="AM39" s="29"/>
      <c r="AN39" s="29"/>
      <c r="AO39" s="29"/>
      <c r="AP39" s="29"/>
      <c r="AQ39" s="29"/>
      <c r="AR39" s="29"/>
      <c r="AS39" s="29"/>
      <c r="AT39" s="29"/>
      <c r="AU39" s="29"/>
      <c r="AV39" s="29"/>
      <c r="AW39" s="29"/>
      <c r="AX39" s="29"/>
      <c r="AY39" s="29"/>
      <c r="AZ39" s="29">
        <f>'комплекты фурнитуры'!$Q$75</f>
        <v>13990</v>
      </c>
      <c r="BA39" s="29"/>
      <c r="BB39" s="29"/>
      <c r="BC39" s="29"/>
      <c r="BD39" s="29"/>
      <c r="BE39" s="29"/>
      <c r="BF39" s="29"/>
      <c r="BG39" s="29"/>
      <c r="BH39" s="29"/>
      <c r="BI39" s="29"/>
      <c r="BJ39" s="29"/>
      <c r="BK39" s="29"/>
      <c r="BL39" s="29"/>
      <c r="BM39" s="29"/>
      <c r="BN39" s="29"/>
      <c r="BO39" s="29"/>
      <c r="BP39" s="28">
        <f>Прайс[[#This Row],[KFP-SB-PPHF_W]]</f>
        <v>13990</v>
      </c>
      <c r="BQ39" s="28">
        <v>0</v>
      </c>
      <c r="BR39" s="28">
        <v>0</v>
      </c>
      <c r="BS39" s="1">
        <v>300</v>
      </c>
      <c r="BT39" s="1">
        <v>720</v>
      </c>
      <c r="BU39" s="1">
        <f>IF(OR(Прайс[[#This Row],[Тип]]="Нижний",Прайс[[#This Row],[Тип]]="Пенал"),"560",IF(Прайс[[#This Row],[Тип]]="Верхний",315,0))</f>
        <v>315</v>
      </c>
      <c r="BV39" s="28">
        <v>1.08</v>
      </c>
      <c r="BW39" s="28">
        <v>1.0649999999999999</v>
      </c>
      <c r="BX39" s="28">
        <v>1.3</v>
      </c>
      <c r="BY39" s="351">
        <v>1</v>
      </c>
      <c r="BZ39" s="351">
        <v>1</v>
      </c>
      <c r="CA39" s="351" t="s">
        <v>10</v>
      </c>
      <c r="CB39" s="352" t="s">
        <v>819</v>
      </c>
      <c r="CC39" s="351">
        <v>1</v>
      </c>
      <c r="CD39" s="351" t="s">
        <v>87</v>
      </c>
    </row>
    <row r="40" spans="1:86" ht="15" customHeight="1" x14ac:dyDescent="0.25">
      <c r="A40" s="340" t="s">
        <v>816</v>
      </c>
      <c r="B40" s="1" t="s">
        <v>7</v>
      </c>
      <c r="C40" s="1" t="s">
        <v>111</v>
      </c>
      <c r="D40" s="1" t="s">
        <v>85</v>
      </c>
      <c r="E40" s="1" t="s">
        <v>10</v>
      </c>
      <c r="F40" s="1" t="s">
        <v>144</v>
      </c>
      <c r="G40" s="353">
        <v>360</v>
      </c>
      <c r="H40" s="353">
        <v>1250</v>
      </c>
      <c r="I40" s="353">
        <v>595</v>
      </c>
      <c r="J40" s="353">
        <v>1000</v>
      </c>
      <c r="K40" s="353">
        <v>315</v>
      </c>
      <c r="L40" s="353">
        <v>560</v>
      </c>
      <c r="M40" s="1"/>
      <c r="N40" s="269"/>
      <c r="O40" s="251">
        <v>2580</v>
      </c>
      <c r="P40" s="251"/>
      <c r="Q40" s="251"/>
      <c r="R40" s="1"/>
      <c r="S40" s="1"/>
      <c r="T40" s="1"/>
      <c r="U40" s="1"/>
      <c r="V40" s="1"/>
      <c r="W40" s="1"/>
      <c r="X40" s="1"/>
      <c r="Y40" s="1"/>
      <c r="Z40" s="1"/>
      <c r="AA40" s="1">
        <f>'комплекты фурнитуры'!$Q$22</f>
        <v>1130</v>
      </c>
      <c r="AB40" s="1"/>
      <c r="AC40" s="1"/>
      <c r="AD40" s="1"/>
      <c r="AE40" s="1"/>
      <c r="AF40" s="1">
        <f>'комплекты фурнитуры'!$Q$79</f>
        <v>210</v>
      </c>
      <c r="AG40" s="1">
        <f>'комплекты фурнитуры'!$Q$80</f>
        <v>20</v>
      </c>
      <c r="AH40" s="29">
        <f>SUM(Прайс[[#This Row],[КФ НСТ11]:[KFPr-SB-ZPG]])</f>
        <v>1360</v>
      </c>
      <c r="AI40" s="29"/>
      <c r="AJ40" s="1">
        <f>'комплекты фурнитуры'!$Q$85</f>
        <v>30</v>
      </c>
      <c r="AK40" s="1">
        <f>'комплекты фурнитуры'!$Q$97</f>
        <v>20</v>
      </c>
      <c r="AL40" s="1"/>
      <c r="AM40" s="29"/>
      <c r="AN40" s="29"/>
      <c r="AO40" s="29">
        <f>'комплекты фурнитуры'!$Q$62</f>
        <v>1300</v>
      </c>
      <c r="AP40" s="29">
        <f>'комплекты фурнитуры'!$Q$64</f>
        <v>480</v>
      </c>
      <c r="AQ40" s="29"/>
      <c r="AR40" s="29"/>
      <c r="AS40" s="29"/>
      <c r="AT40" s="29"/>
      <c r="AU40" s="29"/>
      <c r="AV40" s="29"/>
      <c r="AW40" s="29"/>
      <c r="AX40" s="29"/>
      <c r="AY40" s="29"/>
      <c r="AZ40" s="29"/>
      <c r="BA40" s="29"/>
      <c r="BB40" s="29"/>
      <c r="BC40" s="29"/>
      <c r="BD40" s="29"/>
      <c r="BE40" s="29"/>
      <c r="BF40" s="29"/>
      <c r="BG40" s="29"/>
      <c r="BH40" s="29"/>
      <c r="BI40" s="29"/>
      <c r="BJ40" s="29"/>
      <c r="BK40" s="29"/>
      <c r="BL40" s="29"/>
      <c r="BM40" s="29"/>
      <c r="BN40" s="29"/>
      <c r="BO40" s="29"/>
      <c r="BP40" s="28">
        <f>Прайс[[#This Row],[KFPr-SB-SPL]]+Прайс[[#This Row],[KFPr-SB-SMRZ_16мм]]+Прайс[[#This Row],[КФ петли вклад. 95 гр. с крестообр. планкой]]*2</f>
        <v>2650</v>
      </c>
      <c r="BQ40" s="28">
        <f>Прайс[[#This Row],[KFPr-SB-SPL]]+Прайс[[#This Row],[KFPr-SB-SMRZ_16мм]]+Прайс[[#This Row],[KFP-SB-PY94]]*2</f>
        <v>1010</v>
      </c>
      <c r="BR40" s="28">
        <f>Прайс[[#This Row],[KFPr-SB-SPL]]+Прайс[[#This Row],[KFPr-SB-SMRZ_16мм]]+Прайс[[#This Row],[KFP-SB-PY94]]*2</f>
        <v>1010</v>
      </c>
      <c r="BS40" s="1">
        <v>600</v>
      </c>
      <c r="BT40" s="1">
        <v>720</v>
      </c>
      <c r="BU40" s="1">
        <f>IF(OR(Прайс[[#This Row],[Тип]]="Нижний",Прайс[[#This Row],[Тип]]="Пенал"),"560",IF(Прайс[[#This Row],[Тип]]="Верхний",315,0))</f>
        <v>315</v>
      </c>
      <c r="BV40" s="28">
        <v>1.08</v>
      </c>
      <c r="BW40" s="28">
        <v>1.0649999999999999</v>
      </c>
      <c r="BX40" s="28">
        <v>0</v>
      </c>
      <c r="BY40" s="351">
        <v>0</v>
      </c>
      <c r="BZ40" s="351">
        <v>2</v>
      </c>
      <c r="CA40" s="351" t="s">
        <v>87</v>
      </c>
      <c r="CB40" s="352" t="s">
        <v>818</v>
      </c>
      <c r="CC40" s="351">
        <v>0</v>
      </c>
      <c r="CD40" s="351" t="s">
        <v>87</v>
      </c>
      <c r="CF40" t="s">
        <v>896</v>
      </c>
    </row>
    <row r="41" spans="1:86" ht="15" customHeight="1" x14ac:dyDescent="0.25">
      <c r="A41" s="355" t="s">
        <v>897</v>
      </c>
      <c r="B41" s="1" t="s">
        <v>7</v>
      </c>
      <c r="C41" s="1" t="s">
        <v>899</v>
      </c>
      <c r="D41" s="1" t="s">
        <v>89</v>
      </c>
      <c r="E41" s="1" t="s">
        <v>10</v>
      </c>
      <c r="F41" s="1" t="s">
        <v>150</v>
      </c>
      <c r="G41" s="353">
        <v>440</v>
      </c>
      <c r="H41" s="353">
        <v>1210</v>
      </c>
      <c r="I41" s="353">
        <v>500</v>
      </c>
      <c r="J41" s="353">
        <v>600</v>
      </c>
      <c r="K41" s="353">
        <v>300</v>
      </c>
      <c r="L41" s="353">
        <v>400</v>
      </c>
      <c r="M41" s="1"/>
      <c r="N41" s="269"/>
      <c r="O41" s="251">
        <v>2540</v>
      </c>
      <c r="P41" s="251"/>
      <c r="Q41" s="25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>
        <f>'комплекты фурнитуры'!$Q$24</f>
        <v>750</v>
      </c>
      <c r="AD41" s="1"/>
      <c r="AE41" s="1"/>
      <c r="AF41" s="1">
        <f>'комплекты фурнитуры'!$Q$79</f>
        <v>210</v>
      </c>
      <c r="AG41" s="1">
        <f>'комплекты фурнитуры'!$Q$80</f>
        <v>20</v>
      </c>
      <c r="AH41" s="29">
        <f>SUM(Прайс[[#This Row],[КФ НСТ11]:[KFPr-SB-ZPG]])</f>
        <v>980</v>
      </c>
      <c r="AI41" s="29"/>
      <c r="AJ41" s="1"/>
      <c r="AK41" s="1"/>
      <c r="AL41" s="1"/>
      <c r="AM41" s="29">
        <f>'комплекты фурнитуры'!$Q$68</f>
        <v>500</v>
      </c>
      <c r="AN41" s="29">
        <f>'комплекты фурнитуры'!$Q$69</f>
        <v>130</v>
      </c>
      <c r="AO41" s="29"/>
      <c r="AP41" s="29"/>
      <c r="AQ41" s="29"/>
      <c r="AR41" s="29"/>
      <c r="AS41" s="29"/>
      <c r="AT41" s="29"/>
      <c r="AU41" s="29"/>
      <c r="AV41" s="29"/>
      <c r="AW41" s="29"/>
      <c r="AX41" s="29"/>
      <c r="AY41" s="29"/>
      <c r="AZ41" s="29"/>
      <c r="BA41" s="29"/>
      <c r="BB41" s="29"/>
      <c r="BC41" s="29"/>
      <c r="BD41" s="29"/>
      <c r="BE41" s="29"/>
      <c r="BF41" s="29"/>
      <c r="BG41" s="29"/>
      <c r="BH41" s="29"/>
      <c r="BI41" s="29"/>
      <c r="BJ41" s="29"/>
      <c r="BK41" s="29"/>
      <c r="BL41" s="29"/>
      <c r="BM41" s="29"/>
      <c r="BN41" s="29"/>
      <c r="BO41" s="29"/>
      <c r="BP41" s="28">
        <f>Прайс[[#This Row],[КФ петли SENS накл.110 гр. с крестообр. Планкой]]*2</f>
        <v>1000</v>
      </c>
      <c r="BQ41" s="28">
        <f>Прайс[[#This Row],[KFP-SB-N110]]*2</f>
        <v>260</v>
      </c>
      <c r="BR41" s="28">
        <f>Прайс[[#This Row],[KFP-SB-N110]]*2</f>
        <v>260</v>
      </c>
      <c r="BS41" s="1">
        <v>500</v>
      </c>
      <c r="BT41" s="1">
        <v>680</v>
      </c>
      <c r="BU41" s="1">
        <f>IF(OR(Прайс[[#This Row],[Тип]]="Нижний",Прайс[[#This Row],[Тип]]="Пенал"),"560",IF(Прайс[[#This Row],[Тип]]="Верхний",315,0))</f>
        <v>315</v>
      </c>
      <c r="BV41" s="28">
        <v>1.095</v>
      </c>
      <c r="BW41" s="28">
        <v>1.0649999999999999</v>
      </c>
      <c r="BX41" s="28">
        <v>1.3</v>
      </c>
      <c r="BY41" s="351">
        <v>1</v>
      </c>
      <c r="BZ41" s="351">
        <v>2</v>
      </c>
      <c r="CA41" s="351" t="s">
        <v>87</v>
      </c>
      <c r="CB41" s="352" t="s">
        <v>818</v>
      </c>
      <c r="CC41" s="351">
        <v>1</v>
      </c>
      <c r="CD41" s="351" t="s">
        <v>10</v>
      </c>
      <c r="CF41" t="s">
        <v>895</v>
      </c>
    </row>
    <row r="42" spans="1:86" ht="15" customHeight="1" x14ac:dyDescent="0.25">
      <c r="A42" s="355" t="s">
        <v>898</v>
      </c>
      <c r="B42" s="1" t="s">
        <v>7</v>
      </c>
      <c r="C42" s="1" t="s">
        <v>900</v>
      </c>
      <c r="D42" s="1" t="s">
        <v>89</v>
      </c>
      <c r="E42" s="1" t="s">
        <v>10</v>
      </c>
      <c r="F42" s="1" t="s">
        <v>150</v>
      </c>
      <c r="G42" s="353">
        <v>440</v>
      </c>
      <c r="H42" s="353">
        <v>1210</v>
      </c>
      <c r="I42" s="353">
        <v>500</v>
      </c>
      <c r="J42" s="353">
        <v>600</v>
      </c>
      <c r="K42" s="353">
        <v>300</v>
      </c>
      <c r="L42" s="353">
        <v>400</v>
      </c>
      <c r="M42" s="1"/>
      <c r="N42" s="269"/>
      <c r="O42" s="251">
        <v>2540</v>
      </c>
      <c r="P42" s="251"/>
      <c r="Q42" s="25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>
        <f>'комплекты фурнитуры'!$Q$24</f>
        <v>750</v>
      </c>
      <c r="AD42" s="1"/>
      <c r="AE42" s="1"/>
      <c r="AF42" s="1">
        <f>'комплекты фурнитуры'!$Q$79</f>
        <v>210</v>
      </c>
      <c r="AG42" s="1">
        <f>'комплекты фурнитуры'!$Q$80</f>
        <v>20</v>
      </c>
      <c r="AH42" s="29">
        <f>SUM(Прайс[[#This Row],[КФ НСТ11]:[KFPr-SB-ZPG]])</f>
        <v>980</v>
      </c>
      <c r="AI42" s="29"/>
      <c r="AJ42" s="1"/>
      <c r="AK42" s="1"/>
      <c r="AL42" s="1"/>
      <c r="AM42" s="29">
        <f>'комплекты фурнитуры'!$Q$68</f>
        <v>500</v>
      </c>
      <c r="AN42" s="29">
        <f>'комплекты фурнитуры'!$Q$69</f>
        <v>130</v>
      </c>
      <c r="AO42" s="29"/>
      <c r="AP42" s="29"/>
      <c r="AQ42" s="29"/>
      <c r="AR42" s="29"/>
      <c r="AS42" s="29"/>
      <c r="AT42" s="29"/>
      <c r="AU42" s="29"/>
      <c r="AV42" s="29"/>
      <c r="AW42" s="29"/>
      <c r="AX42" s="29"/>
      <c r="AY42" s="29"/>
      <c r="AZ42" s="29"/>
      <c r="BA42" s="29"/>
      <c r="BB42" s="29"/>
      <c r="BC42" s="29"/>
      <c r="BD42" s="29"/>
      <c r="BE42" s="29"/>
      <c r="BF42" s="29"/>
      <c r="BG42" s="29"/>
      <c r="BH42" s="29"/>
      <c r="BI42" s="29"/>
      <c r="BJ42" s="29"/>
      <c r="BK42" s="29"/>
      <c r="BL42" s="29"/>
      <c r="BM42" s="29"/>
      <c r="BN42" s="29"/>
      <c r="BO42" s="29"/>
      <c r="BP42" s="28">
        <f>Прайс[[#This Row],[КФ петли SENS накл.110 гр. с крестообр. Планкой]]*2</f>
        <v>1000</v>
      </c>
      <c r="BQ42" s="28">
        <f>Прайс[[#This Row],[KFP-SB-N110]]*2</f>
        <v>260</v>
      </c>
      <c r="BR42" s="28">
        <f>Прайс[[#This Row],[KFP-SB-N110]]*2</f>
        <v>260</v>
      </c>
      <c r="BS42" s="1">
        <v>500</v>
      </c>
      <c r="BT42" s="1">
        <v>680</v>
      </c>
      <c r="BU42" s="1">
        <f>IF(OR(Прайс[[#This Row],[Тип]]="Нижний",Прайс[[#This Row],[Тип]]="Пенал"),"560",IF(Прайс[[#This Row],[Тип]]="Верхний",315,0))</f>
        <v>315</v>
      </c>
      <c r="BV42" s="28">
        <v>1.095</v>
      </c>
      <c r="BW42" s="28">
        <v>1.0649999999999999</v>
      </c>
      <c r="BX42" s="28">
        <v>1.3</v>
      </c>
      <c r="BY42" s="351">
        <v>1</v>
      </c>
      <c r="BZ42" s="351">
        <v>2</v>
      </c>
      <c r="CA42" s="351" t="s">
        <v>87</v>
      </c>
      <c r="CB42" s="352" t="s">
        <v>818</v>
      </c>
      <c r="CC42" s="351">
        <v>2</v>
      </c>
      <c r="CD42" s="351" t="s">
        <v>10</v>
      </c>
    </row>
    <row r="43" spans="1:86" ht="15" customHeight="1" x14ac:dyDescent="0.25">
      <c r="A43" s="355" t="s">
        <v>902</v>
      </c>
      <c r="B43" s="1" t="s">
        <v>7</v>
      </c>
      <c r="C43" s="1" t="s">
        <v>901</v>
      </c>
      <c r="D43" s="1" t="s">
        <v>89</v>
      </c>
      <c r="E43" s="1" t="s">
        <v>10</v>
      </c>
      <c r="F43" s="1" t="s">
        <v>150</v>
      </c>
      <c r="G43" s="353">
        <v>440</v>
      </c>
      <c r="H43" s="353">
        <v>1210</v>
      </c>
      <c r="I43" s="353">
        <v>600</v>
      </c>
      <c r="J43" s="353">
        <v>900</v>
      </c>
      <c r="K43" s="353">
        <v>300</v>
      </c>
      <c r="L43" s="353">
        <v>400</v>
      </c>
      <c r="M43" s="1"/>
      <c r="N43" s="269"/>
      <c r="O43" s="251">
        <v>2540</v>
      </c>
      <c r="P43" s="251"/>
      <c r="Q43" s="25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>
        <f>'комплекты фурнитуры'!$Q$24</f>
        <v>750</v>
      </c>
      <c r="AD43" s="1"/>
      <c r="AE43" s="1"/>
      <c r="AF43" s="1">
        <f>'комплекты фурнитуры'!$Q$79</f>
        <v>210</v>
      </c>
      <c r="AG43" s="1">
        <f>'комплекты фурнитуры'!$Q$80</f>
        <v>20</v>
      </c>
      <c r="AH43" s="29">
        <f>SUM(Прайс[[#This Row],[КФ НСТ11]:[KFPr-SB-ZPG]])</f>
        <v>980</v>
      </c>
      <c r="AI43" s="29"/>
      <c r="AJ43" s="1"/>
      <c r="AK43" s="1"/>
      <c r="AL43" s="1"/>
      <c r="AM43" s="29">
        <f>'комплекты фурнитуры'!$Q$68</f>
        <v>500</v>
      </c>
      <c r="AN43" s="29">
        <f>'комплекты фурнитуры'!$Q$69</f>
        <v>130</v>
      </c>
      <c r="AO43" s="29"/>
      <c r="AP43" s="29"/>
      <c r="AQ43" s="29"/>
      <c r="AR43" s="29"/>
      <c r="AS43" s="29"/>
      <c r="AT43" s="29"/>
      <c r="AU43" s="29"/>
      <c r="AV43" s="29"/>
      <c r="AW43" s="29"/>
      <c r="AX43" s="29"/>
      <c r="AY43" s="29"/>
      <c r="AZ43" s="29"/>
      <c r="BA43" s="29"/>
      <c r="BB43" s="29"/>
      <c r="BC43" s="29"/>
      <c r="BD43" s="29"/>
      <c r="BE43" s="29"/>
      <c r="BF43" s="29"/>
      <c r="BG43" s="29"/>
      <c r="BH43" s="29"/>
      <c r="BI43" s="29"/>
      <c r="BJ43" s="29"/>
      <c r="BK43" s="29"/>
      <c r="BL43" s="29"/>
      <c r="BM43" s="29"/>
      <c r="BN43" s="29"/>
      <c r="BO43" s="29"/>
      <c r="BP43" s="28">
        <f>Прайс[[#This Row],[КФ петли SENS накл.110 гр. с крестообр. Планкой]]*4</f>
        <v>2000</v>
      </c>
      <c r="BQ43" s="28">
        <f>Прайс[[#This Row],[KFP-SB-N110]]*4</f>
        <v>520</v>
      </c>
      <c r="BR43" s="28">
        <f>Прайс[[#This Row],[KFP-SB-N110]]*4</f>
        <v>520</v>
      </c>
      <c r="BS43" s="1">
        <v>500</v>
      </c>
      <c r="BT43" s="1">
        <v>720</v>
      </c>
      <c r="BU43" s="1">
        <f>IF(OR(Прайс[[#This Row],[Тип]]="Нижний",Прайс[[#This Row],[Тип]]="Пенал"),"560",IF(Прайс[[#This Row],[Тип]]="Верхний",315,0))</f>
        <v>315</v>
      </c>
      <c r="BV43" s="28">
        <v>1.095</v>
      </c>
      <c r="BW43" s="28">
        <v>1.0649999999999999</v>
      </c>
      <c r="BX43" s="28">
        <v>1.3</v>
      </c>
      <c r="BY43" s="351">
        <v>1</v>
      </c>
      <c r="BZ43" s="351">
        <v>2</v>
      </c>
      <c r="CA43" s="351" t="s">
        <v>87</v>
      </c>
      <c r="CB43" s="352" t="s">
        <v>818</v>
      </c>
      <c r="CC43" s="351">
        <v>1</v>
      </c>
      <c r="CD43" s="351" t="s">
        <v>10</v>
      </c>
      <c r="CF43" t="s">
        <v>894</v>
      </c>
    </row>
    <row r="44" spans="1:86" ht="15" customHeight="1" x14ac:dyDescent="0.25">
      <c r="A44" s="355" t="s">
        <v>903</v>
      </c>
      <c r="B44" s="1" t="s">
        <v>7</v>
      </c>
      <c r="C44" s="1" t="s">
        <v>904</v>
      </c>
      <c r="D44" s="1" t="s">
        <v>89</v>
      </c>
      <c r="E44" s="1" t="s">
        <v>10</v>
      </c>
      <c r="F44" s="1" t="s">
        <v>150</v>
      </c>
      <c r="G44" s="353">
        <v>440</v>
      </c>
      <c r="H44" s="353">
        <v>1210</v>
      </c>
      <c r="I44" s="353">
        <v>600</v>
      </c>
      <c r="J44" s="353">
        <v>900</v>
      </c>
      <c r="K44" s="353">
        <v>300</v>
      </c>
      <c r="L44" s="353">
        <v>400</v>
      </c>
      <c r="M44" s="1"/>
      <c r="N44" s="269"/>
      <c r="O44" s="251">
        <v>2540</v>
      </c>
      <c r="P44" s="251"/>
      <c r="Q44" s="25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>
        <f>'комплекты фурнитуры'!$Q$24</f>
        <v>750</v>
      </c>
      <c r="AD44" s="1"/>
      <c r="AE44" s="1"/>
      <c r="AF44" s="1">
        <f>'комплекты фурнитуры'!$Q$79</f>
        <v>210</v>
      </c>
      <c r="AG44" s="1">
        <f>'комплекты фурнитуры'!$Q$80</f>
        <v>20</v>
      </c>
      <c r="AH44" s="29">
        <f>SUM(Прайс[[#This Row],[КФ НСТ11]:[KFPr-SB-ZPG]])</f>
        <v>980</v>
      </c>
      <c r="AI44" s="29"/>
      <c r="AJ44" s="1"/>
      <c r="AK44" s="1"/>
      <c r="AL44" s="1"/>
      <c r="AM44" s="29">
        <f>'комплекты фурнитуры'!$Q$68</f>
        <v>500</v>
      </c>
      <c r="AN44" s="29">
        <f>'комплекты фурнитуры'!$Q$69</f>
        <v>130</v>
      </c>
      <c r="AO44" s="29"/>
      <c r="AP44" s="29"/>
      <c r="AQ44" s="29"/>
      <c r="AR44" s="29"/>
      <c r="AS44" s="29"/>
      <c r="AT44" s="29"/>
      <c r="AU44" s="29"/>
      <c r="AV44" s="29"/>
      <c r="AW44" s="29"/>
      <c r="AX44" s="29"/>
      <c r="AY44" s="29"/>
      <c r="AZ44" s="29"/>
      <c r="BA44" s="29"/>
      <c r="BB44" s="29"/>
      <c r="BC44" s="29"/>
      <c r="BD44" s="29"/>
      <c r="BE44" s="29"/>
      <c r="BF44" s="29"/>
      <c r="BG44" s="29"/>
      <c r="BH44" s="29"/>
      <c r="BI44" s="29"/>
      <c r="BJ44" s="29"/>
      <c r="BK44" s="29"/>
      <c r="BL44" s="29"/>
      <c r="BM44" s="29"/>
      <c r="BN44" s="29"/>
      <c r="BO44" s="29"/>
      <c r="BP44" s="28">
        <f>Прайс[[#This Row],[КФ петли SENS накл.110 гр. с крестообр. Планкой]]*4</f>
        <v>2000</v>
      </c>
      <c r="BQ44" s="28">
        <f>Прайс[[#This Row],[KFP-SB-N110]]*4</f>
        <v>520</v>
      </c>
      <c r="BR44" s="28">
        <f>Прайс[[#This Row],[KFP-SB-N110]]*4</f>
        <v>520</v>
      </c>
      <c r="BS44" s="1">
        <v>500</v>
      </c>
      <c r="BT44" s="1">
        <v>720</v>
      </c>
      <c r="BU44" s="1">
        <f>IF(OR(Прайс[[#This Row],[Тип]]="Нижний",Прайс[[#This Row],[Тип]]="Пенал"),"560",IF(Прайс[[#This Row],[Тип]]="Верхний",315,0))</f>
        <v>315</v>
      </c>
      <c r="BV44" s="28">
        <v>1.095</v>
      </c>
      <c r="BW44" s="28">
        <v>1.0649999999999999</v>
      </c>
      <c r="BX44" s="28">
        <v>1.3</v>
      </c>
      <c r="BY44" s="351">
        <v>1</v>
      </c>
      <c r="BZ44" s="351">
        <v>2</v>
      </c>
      <c r="CA44" s="351" t="s">
        <v>87</v>
      </c>
      <c r="CB44" s="352" t="s">
        <v>818</v>
      </c>
      <c r="CC44" s="351">
        <v>2</v>
      </c>
      <c r="CD44" s="351" t="s">
        <v>10</v>
      </c>
    </row>
    <row r="45" spans="1:86" ht="15" customHeight="1" x14ac:dyDescent="0.25">
      <c r="A45" s="340" t="s">
        <v>36</v>
      </c>
      <c r="B45" s="1" t="s">
        <v>7</v>
      </c>
      <c r="C45" s="1" t="s">
        <v>117</v>
      </c>
      <c r="D45" s="1" t="s">
        <v>90</v>
      </c>
      <c r="E45" s="1" t="s">
        <v>10</v>
      </c>
      <c r="F45" s="1" t="s">
        <v>144</v>
      </c>
      <c r="G45" s="353">
        <v>360</v>
      </c>
      <c r="H45" s="353">
        <v>960</v>
      </c>
      <c r="I45" s="353">
        <v>600</v>
      </c>
      <c r="J45" s="353">
        <v>600</v>
      </c>
      <c r="K45" s="353">
        <v>600</v>
      </c>
      <c r="L45" s="353">
        <v>600</v>
      </c>
      <c r="M45" s="1"/>
      <c r="N45" s="269" t="s">
        <v>69</v>
      </c>
      <c r="O45" s="251">
        <v>2530</v>
      </c>
      <c r="P45" s="251"/>
      <c r="Q45" s="251"/>
      <c r="R45" s="1">
        <f>'комплекты фурнитуры'!$Q$10</f>
        <v>540</v>
      </c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>
        <f>'комплекты фурнитуры'!$Q$79</f>
        <v>210</v>
      </c>
      <c r="AG45" s="1">
        <f>'комплекты фурнитуры'!$Q$80</f>
        <v>20</v>
      </c>
      <c r="AH45" s="29">
        <f>SUM(Прайс[[#This Row],[КФ НСТ11]:[KFPr-SB-ZPG]])</f>
        <v>770</v>
      </c>
      <c r="AI45" s="29"/>
      <c r="AJ45" s="1"/>
      <c r="AK45" s="1"/>
      <c r="AL45" s="1"/>
      <c r="AM45" s="29"/>
      <c r="AN45" s="29"/>
      <c r="AO45" s="29"/>
      <c r="AP45" s="29"/>
      <c r="AQ45" s="29">
        <f>'комплекты фурнитуры'!$Q$60</f>
        <v>1560</v>
      </c>
      <c r="AR45" s="29">
        <f>'комплекты фурнитуры'!$Q$61</f>
        <v>190</v>
      </c>
      <c r="AS45" s="29"/>
      <c r="AT45" s="29"/>
      <c r="AU45" s="29"/>
      <c r="AV45" s="29"/>
      <c r="AW45" s="29"/>
      <c r="AX45" s="29"/>
      <c r="AY45" s="29"/>
      <c r="AZ45" s="29"/>
      <c r="BA45" s="29"/>
      <c r="BB45" s="29"/>
      <c r="BC45" s="29"/>
      <c r="BD45" s="29"/>
      <c r="BE45" s="29"/>
      <c r="BF45" s="29"/>
      <c r="BG45" s="29"/>
      <c r="BH45" s="29"/>
      <c r="BI45" s="29"/>
      <c r="BJ45" s="29"/>
      <c r="BK45" s="29"/>
      <c r="BL45" s="29"/>
      <c r="BM45" s="29"/>
      <c r="BN45" s="29"/>
      <c r="BO45" s="29"/>
      <c r="BP45" s="28">
        <f>Прайс[[#This Row],[КKFP-SB-GT45]]*2</f>
        <v>3120</v>
      </c>
      <c r="BQ45" s="28">
        <f>Прайс[[#This Row],[KFP-SB-N45]]*2</f>
        <v>380</v>
      </c>
      <c r="BR45" s="28">
        <f>Прайс[[#This Row],[KFP-SB-N45]]*2</f>
        <v>380</v>
      </c>
      <c r="BS45" s="1">
        <v>600</v>
      </c>
      <c r="BT45" s="1">
        <v>720</v>
      </c>
      <c r="BU45" s="1">
        <v>600</v>
      </c>
      <c r="BV45" s="28">
        <v>1.08</v>
      </c>
      <c r="BW45" s="28">
        <v>1.0649999999999999</v>
      </c>
      <c r="BX45" s="28">
        <v>0</v>
      </c>
      <c r="BY45" s="351">
        <v>0</v>
      </c>
      <c r="BZ45" s="351">
        <v>3</v>
      </c>
      <c r="CA45" s="351" t="s">
        <v>87</v>
      </c>
      <c r="CB45" s="352" t="s">
        <v>818</v>
      </c>
      <c r="CC45" s="351">
        <v>0</v>
      </c>
      <c r="CD45" s="351" t="s">
        <v>87</v>
      </c>
      <c r="CF45" t="s">
        <v>893</v>
      </c>
    </row>
    <row r="46" spans="1:86" ht="15" customHeight="1" x14ac:dyDescent="0.25">
      <c r="A46" s="340" t="s">
        <v>705</v>
      </c>
      <c r="B46" s="1" t="s">
        <v>7</v>
      </c>
      <c r="C46" s="1" t="s">
        <v>721</v>
      </c>
      <c r="D46" s="1" t="s">
        <v>89</v>
      </c>
      <c r="E46" s="1" t="s">
        <v>10</v>
      </c>
      <c r="F46" s="1" t="s">
        <v>151</v>
      </c>
      <c r="G46" s="353">
        <v>601</v>
      </c>
      <c r="H46" s="353">
        <v>1250</v>
      </c>
      <c r="I46" s="353">
        <v>450</v>
      </c>
      <c r="J46" s="353">
        <v>450</v>
      </c>
      <c r="K46" s="353">
        <v>315</v>
      </c>
      <c r="L46" s="353">
        <v>360</v>
      </c>
      <c r="M46" s="1"/>
      <c r="N46" s="269" t="s">
        <v>78</v>
      </c>
      <c r="O46" s="251">
        <v>1460</v>
      </c>
      <c r="P46" s="251"/>
      <c r="Q46" s="251"/>
      <c r="R46" s="1"/>
      <c r="S46" s="1"/>
      <c r="T46" s="1"/>
      <c r="U46" s="1"/>
      <c r="V46" s="1"/>
      <c r="W46" s="1"/>
      <c r="X46" s="1"/>
      <c r="Y46" s="1"/>
      <c r="Z46" s="1"/>
      <c r="AA46" s="1"/>
      <c r="AB46" s="1">
        <f>'комплекты фурнитуры'!$Q$23</f>
        <v>340</v>
      </c>
      <c r="AC46" s="1"/>
      <c r="AD46" s="1"/>
      <c r="AE46" s="1"/>
      <c r="AF46" s="1">
        <f>'комплекты фурнитуры'!$Q$79</f>
        <v>210</v>
      </c>
      <c r="AG46" s="1">
        <f>'комплекты фурнитуры'!$Q$80</f>
        <v>20</v>
      </c>
      <c r="AH46" s="29">
        <f>SUM(Прайс[[#This Row],[КФ НСТ11]:[KFPr-SB-ZPG]])</f>
        <v>570</v>
      </c>
      <c r="AI46" s="29"/>
      <c r="AJ46" s="1"/>
      <c r="AK46" s="1"/>
      <c r="AL46" s="1"/>
      <c r="AM46" s="29">
        <f>'комплекты фурнитуры'!$Q$68</f>
        <v>500</v>
      </c>
      <c r="AN46" s="29">
        <f>'комплекты фурнитуры'!$Q$69</f>
        <v>130</v>
      </c>
      <c r="AO46" s="29"/>
      <c r="AP46" s="29"/>
      <c r="AQ46" s="29"/>
      <c r="AR46" s="29"/>
      <c r="AS46" s="29">
        <f>'комплекты фурнитуры'!$Q$44</f>
        <v>1590</v>
      </c>
      <c r="AT46" s="29"/>
      <c r="AU46" s="29"/>
      <c r="AV46" s="29"/>
      <c r="AW46" s="29"/>
      <c r="AX46" s="29"/>
      <c r="AY46" s="29"/>
      <c r="AZ46" s="29"/>
      <c r="BA46" s="29"/>
      <c r="BB46" s="29"/>
      <c r="BC46" s="29"/>
      <c r="BD46" s="29"/>
      <c r="BE46" s="29"/>
      <c r="BF46" s="29"/>
      <c r="BG46" s="29"/>
      <c r="BH46" s="29"/>
      <c r="BI46" s="29"/>
      <c r="BJ46" s="29"/>
      <c r="BK46" s="29"/>
      <c r="BL46" s="29"/>
      <c r="BM46" s="29"/>
      <c r="BN46" s="29"/>
      <c r="BO46" s="29"/>
      <c r="BP46" s="28">
        <f>Прайс[[#This Row],[КФ петли SENS накл.110 гр. с крестообр. Планкой]]*2+Прайс[[#This Row],[KFS-SB-45 (посудосушители)]]</f>
        <v>2590</v>
      </c>
      <c r="BQ46" s="28">
        <f>Прайс[[#This Row],[KFP-SB-N110]]*2+Прайс[[#This Row],[KFS-SB-45 (посудосушители)]]</f>
        <v>1850</v>
      </c>
      <c r="BR46" s="28">
        <f>Прайс[[#This Row],[KFP-SB-N110]]*2+Прайс[[#This Row],[KFS-SB-45 (посудосушители)]]</f>
        <v>1850</v>
      </c>
      <c r="BS46" s="1">
        <v>450</v>
      </c>
      <c r="BT46" s="1">
        <v>720</v>
      </c>
      <c r="BU46" s="1">
        <f>IF(OR(Прайс[[#This Row],[Тип]]="Нижний",Прайс[[#This Row],[Тип]]="Пенал"),"560",IF(Прайс[[#This Row],[Тип]]="Верхний",315,0))</f>
        <v>315</v>
      </c>
      <c r="BV46" s="28">
        <v>1.095</v>
      </c>
      <c r="BW46" s="28">
        <v>1.0649999999999999</v>
      </c>
      <c r="BX46" s="28">
        <v>1.3</v>
      </c>
      <c r="BY46" s="351">
        <v>0</v>
      </c>
      <c r="BZ46" s="351">
        <v>2</v>
      </c>
      <c r="CA46" s="351" t="s">
        <v>87</v>
      </c>
      <c r="CB46" s="352" t="s">
        <v>818</v>
      </c>
      <c r="CC46" s="1"/>
      <c r="CD46" s="351" t="s">
        <v>87</v>
      </c>
    </row>
    <row r="47" spans="1:86" ht="15" customHeight="1" x14ac:dyDescent="0.25">
      <c r="A47" s="340" t="s">
        <v>706</v>
      </c>
      <c r="B47" s="1" t="s">
        <v>7</v>
      </c>
      <c r="C47" s="1" t="s">
        <v>722</v>
      </c>
      <c r="D47" s="1" t="s">
        <v>89</v>
      </c>
      <c r="E47" s="1" t="s">
        <v>10</v>
      </c>
      <c r="F47" s="1" t="s">
        <v>151</v>
      </c>
      <c r="G47" s="353">
        <v>601</v>
      </c>
      <c r="H47" s="353">
        <v>1250</v>
      </c>
      <c r="I47" s="353">
        <v>600</v>
      </c>
      <c r="J47" s="353">
        <v>600</v>
      </c>
      <c r="K47" s="353">
        <v>315</v>
      </c>
      <c r="L47" s="353">
        <v>360</v>
      </c>
      <c r="M47" s="1"/>
      <c r="N47" s="269" t="s">
        <v>78</v>
      </c>
      <c r="O47" s="251">
        <v>1460</v>
      </c>
      <c r="P47" s="251"/>
      <c r="Q47" s="251"/>
      <c r="R47" s="1"/>
      <c r="S47" s="1"/>
      <c r="T47" s="1"/>
      <c r="U47" s="1"/>
      <c r="V47" s="1"/>
      <c r="W47" s="1"/>
      <c r="X47" s="1"/>
      <c r="Y47" s="1"/>
      <c r="Z47" s="1"/>
      <c r="AA47" s="1"/>
      <c r="AB47" s="1">
        <f>'комплекты фурнитуры'!$Q$23</f>
        <v>340</v>
      </c>
      <c r="AC47" s="1"/>
      <c r="AD47" s="1"/>
      <c r="AE47" s="1"/>
      <c r="AF47" s="1">
        <f>'комплекты фурнитуры'!$Q$79</f>
        <v>210</v>
      </c>
      <c r="AG47" s="1">
        <f>'комплекты фурнитуры'!$Q$80</f>
        <v>20</v>
      </c>
      <c r="AH47" s="29">
        <f>SUM(Прайс[[#This Row],[КФ НСТ11]:[KFPr-SB-ZPG]])</f>
        <v>570</v>
      </c>
      <c r="AI47" s="29"/>
      <c r="AJ47" s="1"/>
      <c r="AK47" s="1"/>
      <c r="AL47" s="1"/>
      <c r="AM47" s="29">
        <f>'комплекты фурнитуры'!$Q$68</f>
        <v>500</v>
      </c>
      <c r="AN47" s="29">
        <f>'комплекты фурнитуры'!$Q$69</f>
        <v>130</v>
      </c>
      <c r="AO47" s="29"/>
      <c r="AP47" s="29"/>
      <c r="AQ47" s="29"/>
      <c r="AR47" s="29"/>
      <c r="AS47" s="29"/>
      <c r="AT47" s="29">
        <f>'комплекты фурнитуры'!$Q$41</f>
        <v>4920</v>
      </c>
      <c r="AU47" s="29"/>
      <c r="AV47" s="29"/>
      <c r="AW47" s="29"/>
      <c r="AX47" s="29"/>
      <c r="AY47" s="29"/>
      <c r="AZ47" s="29"/>
      <c r="BA47" s="29"/>
      <c r="BB47" s="29"/>
      <c r="BC47" s="29"/>
      <c r="BD47" s="29"/>
      <c r="BE47" s="29"/>
      <c r="BF47" s="29"/>
      <c r="BG47" s="29"/>
      <c r="BH47" s="29"/>
      <c r="BI47" s="29"/>
      <c r="BJ47" s="29"/>
      <c r="BK47" s="29"/>
      <c r="BL47" s="29"/>
      <c r="BM47" s="29"/>
      <c r="BN47" s="29"/>
      <c r="BO47" s="29"/>
      <c r="BP47" s="28">
        <f>Прайс[[#This Row],[КФ петли SENS накл.110 гр. с крестообр. Планкой]]*2+Прайс[[#This Row],[КФ Сушка AFF 600]]</f>
        <v>5920</v>
      </c>
      <c r="BQ47" s="28">
        <f>Прайс[[#This Row],[KFP-SB-N110]]*2+Прайс[[#This Row],[КФ Сушка AFF 600]]</f>
        <v>5180</v>
      </c>
      <c r="BR47" s="28">
        <f>Прайс[[#This Row],[KFP-SB-N110]]*2+Прайс[[#This Row],[КФ Сушка AFF 600]]</f>
        <v>5180</v>
      </c>
      <c r="BS47" s="1">
        <v>450</v>
      </c>
      <c r="BT47" s="1">
        <v>720</v>
      </c>
      <c r="BU47" s="1">
        <f>IF(OR(Прайс[[#This Row],[Тип]]="Нижний",Прайс[[#This Row],[Тип]]="Пенал"),"560",IF(Прайс[[#This Row],[Тип]]="Верхний",315,0))</f>
        <v>315</v>
      </c>
      <c r="BV47" s="28">
        <v>1.095</v>
      </c>
      <c r="BW47" s="28">
        <v>1.0649999999999999</v>
      </c>
      <c r="BX47" s="28">
        <v>1.3</v>
      </c>
      <c r="BY47" s="351">
        <v>0</v>
      </c>
      <c r="BZ47" s="351">
        <v>2</v>
      </c>
      <c r="CA47" s="351" t="s">
        <v>87</v>
      </c>
      <c r="CB47" s="352" t="s">
        <v>818</v>
      </c>
      <c r="CC47" s="1"/>
      <c r="CD47" s="351" t="s">
        <v>87</v>
      </c>
      <c r="CF47" t="s">
        <v>892</v>
      </c>
      <c r="CH47" t="s">
        <v>905</v>
      </c>
    </row>
    <row r="48" spans="1:86" ht="15" customHeight="1" x14ac:dyDescent="0.25">
      <c r="A48" s="340" t="s">
        <v>707</v>
      </c>
      <c r="B48" s="1" t="s">
        <v>7</v>
      </c>
      <c r="C48" s="1" t="s">
        <v>723</v>
      </c>
      <c r="D48" s="1" t="s">
        <v>89</v>
      </c>
      <c r="E48" s="1" t="s">
        <v>10</v>
      </c>
      <c r="F48" s="1" t="s">
        <v>151</v>
      </c>
      <c r="G48" s="353">
        <v>601</v>
      </c>
      <c r="H48" s="353">
        <v>1250</v>
      </c>
      <c r="I48" s="353">
        <v>600</v>
      </c>
      <c r="J48" s="353">
        <v>600</v>
      </c>
      <c r="K48" s="353">
        <v>315</v>
      </c>
      <c r="L48" s="353">
        <v>360</v>
      </c>
      <c r="M48" s="1"/>
      <c r="N48" s="269" t="s">
        <v>77</v>
      </c>
      <c r="O48" s="251">
        <v>1460</v>
      </c>
      <c r="P48" s="251"/>
      <c r="Q48" s="251"/>
      <c r="R48" s="1"/>
      <c r="S48" s="1"/>
      <c r="T48" s="1"/>
      <c r="U48" s="1"/>
      <c r="V48" s="1"/>
      <c r="W48" s="1"/>
      <c r="X48" s="1"/>
      <c r="Y48" s="1"/>
      <c r="Z48" s="1"/>
      <c r="AA48" s="1"/>
      <c r="AB48" s="1">
        <f>'комплекты фурнитуры'!$Q$23</f>
        <v>340</v>
      </c>
      <c r="AC48" s="1"/>
      <c r="AD48" s="1"/>
      <c r="AE48" s="1"/>
      <c r="AF48" s="1">
        <f>'комплекты фурнитуры'!$Q$79</f>
        <v>210</v>
      </c>
      <c r="AG48" s="1">
        <f>'комплекты фурнитуры'!$Q$80</f>
        <v>20</v>
      </c>
      <c r="AH48" s="29">
        <f>SUM(Прайс[[#This Row],[КФ НСТ11]:[KFPr-SB-ZPG]])</f>
        <v>570</v>
      </c>
      <c r="AI48" s="29"/>
      <c r="AJ48" s="1"/>
      <c r="AK48" s="1"/>
      <c r="AL48" s="1"/>
      <c r="AM48" s="29">
        <f>'комплекты фурнитуры'!$Q$68</f>
        <v>500</v>
      </c>
      <c r="AN48" s="29">
        <f>'комплекты фурнитуры'!$Q$69</f>
        <v>130</v>
      </c>
      <c r="AO48" s="29"/>
      <c r="AP48" s="29"/>
      <c r="AQ48" s="29"/>
      <c r="AR48" s="29"/>
      <c r="AS48" s="29"/>
      <c r="AT48" s="29">
        <f>'комплекты фурнитуры'!$Q$41</f>
        <v>4920</v>
      </c>
      <c r="AU48" s="29"/>
      <c r="AV48" s="29"/>
      <c r="AW48" s="29"/>
      <c r="AX48" s="29"/>
      <c r="AY48" s="29"/>
      <c r="AZ48" s="29"/>
      <c r="BA48" s="29"/>
      <c r="BB48" s="29"/>
      <c r="BC48" s="29"/>
      <c r="BD48" s="29"/>
      <c r="BE48" s="29"/>
      <c r="BF48" s="29"/>
      <c r="BG48" s="29"/>
      <c r="BH48" s="29"/>
      <c r="BI48" s="29"/>
      <c r="BJ48" s="29"/>
      <c r="BK48" s="29"/>
      <c r="BL48" s="29"/>
      <c r="BM48" s="29"/>
      <c r="BN48" s="29"/>
      <c r="BO48" s="29"/>
      <c r="BP48" s="28">
        <f>Прайс[[#This Row],[КФ петли SENS накл.110 гр. с крестообр. Планкой]]*4+Прайс[[#This Row],[КФ Сушка AFF 600]]</f>
        <v>6920</v>
      </c>
      <c r="BQ48" s="28">
        <f>Прайс[[#This Row],[KFP-SB-N110]]*4+Прайс[[#This Row],[КФ Сушка AFF 600]]</f>
        <v>5440</v>
      </c>
      <c r="BR48" s="28">
        <f>Прайс[[#This Row],[KFP-SB-N110]]*4+Прайс[[#This Row],[КФ Сушка AFF 600]]</f>
        <v>5440</v>
      </c>
      <c r="BS48" s="1">
        <v>450</v>
      </c>
      <c r="BT48" s="1">
        <v>720</v>
      </c>
      <c r="BU48" s="1">
        <f>IF(OR(Прайс[[#This Row],[Тип]]="Нижний",Прайс[[#This Row],[Тип]]="Пенал"),"560",IF(Прайс[[#This Row],[Тип]]="Верхний",315,0))</f>
        <v>315</v>
      </c>
      <c r="BV48" s="28">
        <v>1.095</v>
      </c>
      <c r="BW48" s="28">
        <v>1.0649999999999999</v>
      </c>
      <c r="BX48" s="28">
        <v>1.3</v>
      </c>
      <c r="BY48" s="351">
        <v>0</v>
      </c>
      <c r="BZ48" s="351">
        <v>2</v>
      </c>
      <c r="CA48" s="351" t="s">
        <v>10</v>
      </c>
      <c r="CB48" s="352" t="s">
        <v>820</v>
      </c>
      <c r="CC48" s="1"/>
      <c r="CD48" s="351" t="s">
        <v>87</v>
      </c>
    </row>
    <row r="49" spans="1:86" ht="15" customHeight="1" x14ac:dyDescent="0.25">
      <c r="A49" s="340" t="s">
        <v>708</v>
      </c>
      <c r="B49" s="1" t="s">
        <v>7</v>
      </c>
      <c r="C49" s="1" t="s">
        <v>724</v>
      </c>
      <c r="D49" s="1" t="s">
        <v>89</v>
      </c>
      <c r="E49" s="1" t="s">
        <v>10</v>
      </c>
      <c r="F49" s="1" t="s">
        <v>151</v>
      </c>
      <c r="G49" s="353">
        <v>601</v>
      </c>
      <c r="H49" s="353">
        <v>1250</v>
      </c>
      <c r="I49" s="353">
        <v>800</v>
      </c>
      <c r="J49" s="353">
        <v>800</v>
      </c>
      <c r="K49" s="353">
        <v>315</v>
      </c>
      <c r="L49" s="353">
        <v>360</v>
      </c>
      <c r="M49" s="1"/>
      <c r="N49" s="269" t="s">
        <v>77</v>
      </c>
      <c r="O49" s="251">
        <v>1460</v>
      </c>
      <c r="P49" s="251"/>
      <c r="Q49" s="251"/>
      <c r="R49" s="1"/>
      <c r="S49" s="1"/>
      <c r="T49" s="1"/>
      <c r="U49" s="1"/>
      <c r="V49" s="1"/>
      <c r="W49" s="1"/>
      <c r="X49" s="1"/>
      <c r="Y49" s="1"/>
      <c r="Z49" s="1"/>
      <c r="AA49" s="1"/>
      <c r="AB49" s="1">
        <f>'комплекты фурнитуры'!$Q$23</f>
        <v>340</v>
      </c>
      <c r="AC49" s="1"/>
      <c r="AD49" s="1"/>
      <c r="AE49" s="1"/>
      <c r="AF49" s="1">
        <f>'комплекты фурнитуры'!$Q$79</f>
        <v>210</v>
      </c>
      <c r="AG49" s="1">
        <f>'комплекты фурнитуры'!$Q$80</f>
        <v>20</v>
      </c>
      <c r="AH49" s="29">
        <f>SUM(Прайс[[#This Row],[КФ НСТ11]:[KFPr-SB-ZPG]])</f>
        <v>570</v>
      </c>
      <c r="AI49" s="29"/>
      <c r="AJ49" s="1"/>
      <c r="AK49" s="1"/>
      <c r="AL49" s="1"/>
      <c r="AM49" s="29">
        <f>'комплекты фурнитуры'!$Q$68</f>
        <v>500</v>
      </c>
      <c r="AN49" s="29">
        <f>'комплекты фурнитуры'!$Q$69</f>
        <v>130</v>
      </c>
      <c r="AO49" s="29"/>
      <c r="AP49" s="29"/>
      <c r="AQ49" s="29"/>
      <c r="AR49" s="29"/>
      <c r="AS49" s="29"/>
      <c r="AT49" s="29"/>
      <c r="AU49" s="29">
        <f>'комплекты фурнитуры'!$Q$42</f>
        <v>5530</v>
      </c>
      <c r="AV49" s="29"/>
      <c r="AW49" s="29"/>
      <c r="AX49" s="29"/>
      <c r="AY49" s="29"/>
      <c r="AZ49" s="29"/>
      <c r="BA49" s="29"/>
      <c r="BB49" s="29"/>
      <c r="BC49" s="29"/>
      <c r="BD49" s="29"/>
      <c r="BE49" s="29"/>
      <c r="BF49" s="29"/>
      <c r="BG49" s="29"/>
      <c r="BH49" s="29"/>
      <c r="BI49" s="29"/>
      <c r="BJ49" s="29"/>
      <c r="BK49" s="29"/>
      <c r="BL49" s="29"/>
      <c r="BM49" s="29"/>
      <c r="BN49" s="29"/>
      <c r="BO49" s="29"/>
      <c r="BP49" s="28">
        <f>Прайс[[#This Row],[КФ петли SENS накл.110 гр. с крестообр. Планкой]]*4+Прайс[[#This Row],[КФ Сушка AFF 800]]</f>
        <v>7530</v>
      </c>
      <c r="BQ49" s="28">
        <f>Прайс[[#This Row],[KFP-SB-N110]]*4+Прайс[[#This Row],[КФ Сушка AFF 800]]</f>
        <v>6050</v>
      </c>
      <c r="BR49" s="28">
        <f>Прайс[[#This Row],[KFP-SB-N110]]*4+Прайс[[#This Row],[КФ Сушка AFF 800]]</f>
        <v>6050</v>
      </c>
      <c r="BS49" s="1">
        <v>450</v>
      </c>
      <c r="BT49" s="1">
        <v>720</v>
      </c>
      <c r="BU49" s="1">
        <f>IF(OR(Прайс[[#This Row],[Тип]]="Нижний",Прайс[[#This Row],[Тип]]="Пенал"),"560",IF(Прайс[[#This Row],[Тип]]="Верхний",315,0))</f>
        <v>315</v>
      </c>
      <c r="BV49" s="28">
        <v>1.095</v>
      </c>
      <c r="BW49" s="28">
        <v>1.0649999999999999</v>
      </c>
      <c r="BX49" s="28">
        <v>1.3</v>
      </c>
      <c r="BY49" s="351">
        <v>0</v>
      </c>
      <c r="BZ49" s="351">
        <v>2</v>
      </c>
      <c r="CA49" s="351" t="s">
        <v>10</v>
      </c>
      <c r="CB49" s="352" t="s">
        <v>820</v>
      </c>
      <c r="CC49" s="1"/>
      <c r="CD49" s="351" t="s">
        <v>87</v>
      </c>
    </row>
    <row r="50" spans="1:86" ht="15" customHeight="1" x14ac:dyDescent="0.25">
      <c r="A50" s="340" t="s">
        <v>709</v>
      </c>
      <c r="B50" s="1" t="s">
        <v>7</v>
      </c>
      <c r="C50" s="1" t="s">
        <v>725</v>
      </c>
      <c r="D50" s="1" t="s">
        <v>89</v>
      </c>
      <c r="E50" s="1" t="s">
        <v>10</v>
      </c>
      <c r="F50" s="1" t="s">
        <v>151</v>
      </c>
      <c r="G50" s="353">
        <v>601</v>
      </c>
      <c r="H50" s="353">
        <v>1250</v>
      </c>
      <c r="I50" s="353">
        <v>900</v>
      </c>
      <c r="J50" s="353">
        <v>900</v>
      </c>
      <c r="K50" s="353">
        <v>315</v>
      </c>
      <c r="L50" s="353">
        <v>360</v>
      </c>
      <c r="M50" s="1"/>
      <c r="N50" s="269" t="s">
        <v>77</v>
      </c>
      <c r="O50" s="251">
        <v>1460</v>
      </c>
      <c r="P50" s="251"/>
      <c r="Q50" s="251"/>
      <c r="R50" s="1"/>
      <c r="S50" s="1"/>
      <c r="T50" s="1"/>
      <c r="U50" s="1"/>
      <c r="V50" s="1"/>
      <c r="W50" s="1"/>
      <c r="X50" s="1"/>
      <c r="Y50" s="1"/>
      <c r="Z50" s="1"/>
      <c r="AA50" s="1"/>
      <c r="AB50" s="1">
        <f>'комплекты фурнитуры'!$Q$23</f>
        <v>340</v>
      </c>
      <c r="AC50" s="1"/>
      <c r="AD50" s="1"/>
      <c r="AE50" s="1"/>
      <c r="AF50" s="1">
        <f>'комплекты фурнитуры'!$Q$79</f>
        <v>210</v>
      </c>
      <c r="AG50" s="1">
        <f>'комплекты фурнитуры'!$Q$80</f>
        <v>20</v>
      </c>
      <c r="AH50" s="29">
        <f>SUM(Прайс[[#This Row],[КФ НСТ11]:[KFPr-SB-ZPG]])</f>
        <v>570</v>
      </c>
      <c r="AI50" s="29"/>
      <c r="AJ50" s="1"/>
      <c r="AK50" s="1"/>
      <c r="AL50" s="1"/>
      <c r="AM50" s="29">
        <f>'комплекты фурнитуры'!$Q$68</f>
        <v>500</v>
      </c>
      <c r="AN50" s="29">
        <f>'комплекты фурнитуры'!$Q$69</f>
        <v>130</v>
      </c>
      <c r="AO50" s="29"/>
      <c r="AP50" s="29"/>
      <c r="AQ50" s="29"/>
      <c r="AR50" s="29"/>
      <c r="AS50" s="29"/>
      <c r="AT50" s="29"/>
      <c r="AU50" s="29"/>
      <c r="AV50" s="29">
        <f>'комплекты фурнитуры'!$Q$43</f>
        <v>6130</v>
      </c>
      <c r="AW50" s="29"/>
      <c r="AX50" s="29"/>
      <c r="AY50" s="29"/>
      <c r="AZ50" s="29"/>
      <c r="BA50" s="29"/>
      <c r="BB50" s="29"/>
      <c r="BC50" s="29"/>
      <c r="BD50" s="29"/>
      <c r="BE50" s="29"/>
      <c r="BF50" s="29"/>
      <c r="BG50" s="29"/>
      <c r="BH50" s="29"/>
      <c r="BI50" s="29"/>
      <c r="BJ50" s="29"/>
      <c r="BK50" s="29"/>
      <c r="BL50" s="29"/>
      <c r="BM50" s="29"/>
      <c r="BN50" s="29"/>
      <c r="BO50" s="29"/>
      <c r="BP50" s="28">
        <f>Прайс[[#This Row],[КФ петли SENS накл.110 гр. с крестообр. Планкой]]*4+Прайс[[#This Row],[КФ Сушка AFF 900]]</f>
        <v>8130</v>
      </c>
      <c r="BQ50" s="28">
        <f>Прайс[[#This Row],[KFP-SB-N110]]*4+Прайс[[#This Row],[КФ Сушка AFF 900]]</f>
        <v>6650</v>
      </c>
      <c r="BR50" s="28">
        <f>Прайс[[#This Row],[KFP-SB-N110]]*4+Прайс[[#This Row],[КФ Сушка AFF 900]]</f>
        <v>6650</v>
      </c>
      <c r="BS50" s="1">
        <v>450</v>
      </c>
      <c r="BT50" s="1">
        <v>720</v>
      </c>
      <c r="BU50" s="1">
        <f>IF(OR(Прайс[[#This Row],[Тип]]="Нижний",Прайс[[#This Row],[Тип]]="Пенал"),"560",IF(Прайс[[#This Row],[Тип]]="Верхний",315,0))</f>
        <v>315</v>
      </c>
      <c r="BV50" s="28">
        <v>1.095</v>
      </c>
      <c r="BW50" s="28">
        <v>1.0649999999999999</v>
      </c>
      <c r="BX50" s="28">
        <v>1.3</v>
      </c>
      <c r="BY50" s="351">
        <v>0</v>
      </c>
      <c r="BZ50" s="351">
        <v>2</v>
      </c>
      <c r="CA50" s="351" t="s">
        <v>10</v>
      </c>
      <c r="CB50" s="352" t="s">
        <v>820</v>
      </c>
      <c r="CC50" s="1"/>
      <c r="CD50" s="351" t="s">
        <v>87</v>
      </c>
      <c r="CF50" t="s">
        <v>892</v>
      </c>
    </row>
    <row r="51" spans="1:86" ht="15" customHeight="1" x14ac:dyDescent="0.25">
      <c r="A51" s="340" t="s">
        <v>710</v>
      </c>
      <c r="B51" s="1" t="s">
        <v>7</v>
      </c>
      <c r="C51" s="1" t="s">
        <v>726</v>
      </c>
      <c r="D51" s="1" t="s">
        <v>89</v>
      </c>
      <c r="E51" s="1" t="s">
        <v>10</v>
      </c>
      <c r="F51" s="1" t="s">
        <v>151</v>
      </c>
      <c r="G51" s="353">
        <v>720</v>
      </c>
      <c r="H51" s="353">
        <v>720</v>
      </c>
      <c r="I51" s="353">
        <v>450</v>
      </c>
      <c r="J51" s="353">
        <v>450</v>
      </c>
      <c r="K51" s="353">
        <v>315</v>
      </c>
      <c r="L51" s="353">
        <v>315</v>
      </c>
      <c r="M51" s="1"/>
      <c r="N51" s="269"/>
      <c r="O51" s="251">
        <v>1460</v>
      </c>
      <c r="P51" s="251"/>
      <c r="Q51" s="251"/>
      <c r="R51" s="1"/>
      <c r="S51" s="1"/>
      <c r="T51" s="1"/>
      <c r="U51" s="1"/>
      <c r="V51" s="1"/>
      <c r="W51" s="1"/>
      <c r="X51" s="1"/>
      <c r="Y51" s="1"/>
      <c r="Z51" s="1"/>
      <c r="AA51" s="1"/>
      <c r="AB51" s="1">
        <f>'комплекты фурнитуры'!$Q$23</f>
        <v>340</v>
      </c>
      <c r="AC51" s="1"/>
      <c r="AD51" s="1"/>
      <c r="AE51" s="1"/>
      <c r="AF51" s="1">
        <f>'комплекты фурнитуры'!$Q$79</f>
        <v>210</v>
      </c>
      <c r="AG51" s="1">
        <f>'комплекты фурнитуры'!$Q$80</f>
        <v>20</v>
      </c>
      <c r="AH51" s="29">
        <f>SUM(Прайс[[#This Row],[КФ НСТ11]:[KFPr-SB-ZPG]])</f>
        <v>570</v>
      </c>
      <c r="AI51" s="29"/>
      <c r="AJ51" s="1"/>
      <c r="AK51" s="1"/>
      <c r="AL51" s="1"/>
      <c r="AM51" s="29"/>
      <c r="AN51" s="29"/>
      <c r="AO51" s="29"/>
      <c r="AP51" s="29"/>
      <c r="AQ51" s="29"/>
      <c r="AR51" s="29"/>
      <c r="AS51" s="29">
        <f>'комплекты фурнитуры'!$Q$44</f>
        <v>1590</v>
      </c>
      <c r="AT51" s="29"/>
      <c r="AU51" s="29"/>
      <c r="AV51" s="29"/>
      <c r="AW51" s="29"/>
      <c r="AX51" s="29"/>
      <c r="AY51" s="29"/>
      <c r="AZ51" s="29">
        <f>'комплекты фурнитуры'!$Q$75</f>
        <v>13990</v>
      </c>
      <c r="BA51" s="29"/>
      <c r="BB51" s="29"/>
      <c r="BC51" s="29"/>
      <c r="BD51" s="29"/>
      <c r="BE51" s="29"/>
      <c r="BF51" s="29"/>
      <c r="BG51" s="29"/>
      <c r="BH51" s="29"/>
      <c r="BI51" s="29"/>
      <c r="BJ51" s="29"/>
      <c r="BK51" s="29"/>
      <c r="BL51" s="29"/>
      <c r="BM51" s="29"/>
      <c r="BN51" s="29"/>
      <c r="BO51" s="29"/>
      <c r="BP51" s="28">
        <f>Прайс[[#This Row],[KFS-SB-45 (посудосушители)]]+Прайс[[#This Row],[KFP-SB-PPHF_W]]</f>
        <v>15580</v>
      </c>
      <c r="BQ51" s="28">
        <v>0</v>
      </c>
      <c r="BR51" s="28">
        <v>0</v>
      </c>
      <c r="BS51" s="1">
        <v>450</v>
      </c>
      <c r="BT51" s="1">
        <v>720</v>
      </c>
      <c r="BU51" s="1">
        <f>IF(OR(Прайс[[#This Row],[Тип]]="Нижний",Прайс[[#This Row],[Тип]]="Пенал"),"560",IF(Прайс[[#This Row],[Тип]]="Верхний",315,0))</f>
        <v>315</v>
      </c>
      <c r="BV51" s="28">
        <v>1.08</v>
      </c>
      <c r="BW51" s="28">
        <v>1.0649999999999999</v>
      </c>
      <c r="BX51" s="28">
        <v>1.3</v>
      </c>
      <c r="BY51" s="351">
        <v>0</v>
      </c>
      <c r="BZ51" s="351">
        <v>0</v>
      </c>
      <c r="CA51" s="351" t="s">
        <v>10</v>
      </c>
      <c r="CB51" s="352" t="s">
        <v>819</v>
      </c>
      <c r="CC51" s="351">
        <v>0</v>
      </c>
      <c r="CD51" s="351" t="s">
        <v>10</v>
      </c>
    </row>
    <row r="52" spans="1:86" ht="15" customHeight="1" x14ac:dyDescent="0.25">
      <c r="A52" s="341" t="s">
        <v>711</v>
      </c>
      <c r="B52" s="1" t="s">
        <v>7</v>
      </c>
      <c r="C52" s="1" t="s">
        <v>727</v>
      </c>
      <c r="D52" s="1" t="s">
        <v>89</v>
      </c>
      <c r="E52" s="1" t="s">
        <v>10</v>
      </c>
      <c r="F52" s="1" t="s">
        <v>151</v>
      </c>
      <c r="G52" s="353">
        <v>240</v>
      </c>
      <c r="H52" s="353">
        <v>600</v>
      </c>
      <c r="I52" s="353">
        <v>450</v>
      </c>
      <c r="J52" s="353">
        <v>450</v>
      </c>
      <c r="K52" s="353">
        <v>315</v>
      </c>
      <c r="L52" s="353">
        <v>360</v>
      </c>
      <c r="M52" s="1"/>
      <c r="N52" s="269" t="s">
        <v>79</v>
      </c>
      <c r="O52" s="251">
        <v>1510</v>
      </c>
      <c r="P52" s="251"/>
      <c r="Q52" s="251"/>
      <c r="R52" s="1"/>
      <c r="S52" s="1"/>
      <c r="T52" s="1"/>
      <c r="U52" s="1"/>
      <c r="V52" s="1"/>
      <c r="W52" s="1"/>
      <c r="X52" s="1"/>
      <c r="Y52" s="1"/>
      <c r="Z52" s="1"/>
      <c r="AA52" s="1"/>
      <c r="AB52" s="1">
        <f>'комплекты фурнитуры'!$Q$23</f>
        <v>340</v>
      </c>
      <c r="AC52" s="1"/>
      <c r="AD52" s="1"/>
      <c r="AE52" s="1"/>
      <c r="AF52" s="1">
        <f>'комплекты фурнитуры'!$Q$79</f>
        <v>210</v>
      </c>
      <c r="AG52" s="1">
        <f>'комплекты фурнитуры'!$Q$80</f>
        <v>20</v>
      </c>
      <c r="AH52" s="29">
        <f>SUM(Прайс[[#This Row],[КФ НСТ11]:[KFPr-SB-ZPG]])</f>
        <v>570</v>
      </c>
      <c r="AI52" s="29"/>
      <c r="AJ52" s="1"/>
      <c r="AK52" s="1"/>
      <c r="AL52" s="1"/>
      <c r="AM52" s="29"/>
      <c r="AN52" s="29"/>
      <c r="AO52" s="29"/>
      <c r="AP52" s="29"/>
      <c r="AQ52" s="29"/>
      <c r="AR52" s="29"/>
      <c r="AS52" s="29">
        <f>'комплекты фурнитуры'!$Q$44</f>
        <v>1590</v>
      </c>
      <c r="AT52" s="29"/>
      <c r="AU52" s="29"/>
      <c r="AV52" s="29"/>
      <c r="AW52" s="29">
        <f>'комплекты фурнитуры'!$Q$73</f>
        <v>6080</v>
      </c>
      <c r="AX52" s="29"/>
      <c r="AY52" s="29"/>
      <c r="AZ52" s="29"/>
      <c r="BA52" s="29"/>
      <c r="BB52" s="29"/>
      <c r="BC52" s="29"/>
      <c r="BD52" s="29"/>
      <c r="BE52" s="29"/>
      <c r="BF52" s="29"/>
      <c r="BG52" s="29"/>
      <c r="BH52" s="29"/>
      <c r="BI52" s="29"/>
      <c r="BJ52" s="29"/>
      <c r="BK52" s="29"/>
      <c r="BL52" s="29"/>
      <c r="BM52" s="29"/>
      <c r="BN52" s="29"/>
      <c r="BO52" s="29"/>
      <c r="BP52" s="28">
        <f>Прайс[[#This Row],[KFP-SP-PPGK]]+Прайс[[#This Row],[KFS-SB-45 (посудосушители)]]</f>
        <v>7670</v>
      </c>
      <c r="BQ52" s="28">
        <v>0</v>
      </c>
      <c r="BR52" s="28">
        <v>0</v>
      </c>
      <c r="BS52" s="1">
        <v>300</v>
      </c>
      <c r="BT52" s="1">
        <v>720</v>
      </c>
      <c r="BU52" s="1">
        <f>IF(OR(Прайс[[#This Row],[Тип]]="Нижний",Прайс[[#This Row],[Тип]]="Пенал"),"560",IF(Прайс[[#This Row],[Тип]]="Верхний",315,0))</f>
        <v>315</v>
      </c>
      <c r="BV52" s="28">
        <v>1.08</v>
      </c>
      <c r="BW52" s="28">
        <v>1.0649999999999999</v>
      </c>
      <c r="BX52" s="28">
        <v>1.3</v>
      </c>
      <c r="BY52" s="351">
        <v>0</v>
      </c>
      <c r="BZ52" s="351">
        <v>0</v>
      </c>
      <c r="CA52" s="351" t="s">
        <v>10</v>
      </c>
      <c r="CB52" s="352" t="s">
        <v>819</v>
      </c>
      <c r="CC52" s="351">
        <v>0</v>
      </c>
      <c r="CD52" s="351" t="s">
        <v>10</v>
      </c>
    </row>
    <row r="53" spans="1:86" ht="15" customHeight="1" x14ac:dyDescent="0.25">
      <c r="A53" s="341" t="s">
        <v>712</v>
      </c>
      <c r="B53" s="1" t="s">
        <v>7</v>
      </c>
      <c r="C53" s="1" t="s">
        <v>728</v>
      </c>
      <c r="D53" s="1" t="s">
        <v>89</v>
      </c>
      <c r="E53" s="1" t="s">
        <v>10</v>
      </c>
      <c r="F53" s="1" t="s">
        <v>151</v>
      </c>
      <c r="G53" s="353">
        <v>240</v>
      </c>
      <c r="H53" s="353">
        <v>600</v>
      </c>
      <c r="I53" s="353">
        <v>600</v>
      </c>
      <c r="J53" s="353">
        <v>600</v>
      </c>
      <c r="K53" s="353">
        <v>315</v>
      </c>
      <c r="L53" s="353">
        <v>360</v>
      </c>
      <c r="M53" s="1"/>
      <c r="N53" s="269" t="s">
        <v>79</v>
      </c>
      <c r="O53" s="251">
        <v>1510</v>
      </c>
      <c r="P53" s="251"/>
      <c r="Q53" s="251"/>
      <c r="R53" s="1"/>
      <c r="S53" s="1"/>
      <c r="T53" s="1"/>
      <c r="U53" s="1"/>
      <c r="V53" s="1"/>
      <c r="W53" s="1"/>
      <c r="X53" s="1"/>
      <c r="Y53" s="1"/>
      <c r="Z53" s="1"/>
      <c r="AA53" s="1"/>
      <c r="AB53" s="1">
        <f>'комплекты фурнитуры'!$Q$23</f>
        <v>340</v>
      </c>
      <c r="AC53" s="1"/>
      <c r="AD53" s="1"/>
      <c r="AE53" s="1"/>
      <c r="AF53" s="1">
        <f>'комплекты фурнитуры'!$Q$79</f>
        <v>210</v>
      </c>
      <c r="AG53" s="1">
        <f>'комплекты фурнитуры'!$Q$80</f>
        <v>20</v>
      </c>
      <c r="AH53" s="29">
        <f>SUM(Прайс[[#This Row],[КФ НСТ11]:[KFPr-SB-ZPG]])</f>
        <v>570</v>
      </c>
      <c r="AI53" s="29"/>
      <c r="AJ53" s="1"/>
      <c r="AK53" s="1"/>
      <c r="AL53" s="1"/>
      <c r="AM53" s="29"/>
      <c r="AN53" s="29"/>
      <c r="AO53" s="29"/>
      <c r="AP53" s="29"/>
      <c r="AQ53" s="29"/>
      <c r="AR53" s="29"/>
      <c r="AS53" s="29"/>
      <c r="AT53" s="29">
        <f>'комплекты фурнитуры'!$Q$41</f>
        <v>4920</v>
      </c>
      <c r="AU53" s="29"/>
      <c r="AV53" s="29"/>
      <c r="AW53" s="29">
        <f>'комплекты фурнитуры'!$Q$73</f>
        <v>6080</v>
      </c>
      <c r="AX53" s="29"/>
      <c r="AY53" s="29"/>
      <c r="AZ53" s="29"/>
      <c r="BA53" s="29"/>
      <c r="BB53" s="29"/>
      <c r="BC53" s="29"/>
      <c r="BD53" s="29"/>
      <c r="BE53" s="29"/>
      <c r="BF53" s="29"/>
      <c r="BG53" s="29"/>
      <c r="BH53" s="29"/>
      <c r="BI53" s="29"/>
      <c r="BJ53" s="29"/>
      <c r="BK53" s="29"/>
      <c r="BL53" s="29"/>
      <c r="BM53" s="29"/>
      <c r="BN53" s="29"/>
      <c r="BO53" s="29"/>
      <c r="BP53" s="28">
        <f>Прайс[[#This Row],[KFP-SP-PPGK]]+Прайс[[#This Row],[КФ Сушка AFF 600]]</f>
        <v>11000</v>
      </c>
      <c r="BQ53" s="28">
        <v>0</v>
      </c>
      <c r="BR53" s="28">
        <v>0</v>
      </c>
      <c r="BS53" s="1">
        <v>300</v>
      </c>
      <c r="BT53" s="1">
        <v>720</v>
      </c>
      <c r="BU53" s="1">
        <f>IF(OR(Прайс[[#This Row],[Тип]]="Нижний",Прайс[[#This Row],[Тип]]="Пенал"),"560",IF(Прайс[[#This Row],[Тип]]="Верхний",315,0))</f>
        <v>315</v>
      </c>
      <c r="BV53" s="28">
        <v>1.08</v>
      </c>
      <c r="BW53" s="28">
        <v>1.0649999999999999</v>
      </c>
      <c r="BX53" s="28">
        <v>1.3</v>
      </c>
      <c r="BY53" s="351">
        <v>0</v>
      </c>
      <c r="BZ53" s="351">
        <v>0</v>
      </c>
      <c r="CA53" s="351" t="s">
        <v>10</v>
      </c>
      <c r="CB53" s="352" t="s">
        <v>819</v>
      </c>
      <c r="CC53" s="351">
        <v>0</v>
      </c>
      <c r="CD53" s="351" t="s">
        <v>10</v>
      </c>
    </row>
    <row r="54" spans="1:86" ht="15" customHeight="1" x14ac:dyDescent="0.25">
      <c r="A54" s="341" t="s">
        <v>877</v>
      </c>
      <c r="B54" s="1" t="s">
        <v>7</v>
      </c>
      <c r="C54" s="1" t="s">
        <v>876</v>
      </c>
      <c r="D54" s="1" t="s">
        <v>89</v>
      </c>
      <c r="E54" s="1" t="s">
        <v>10</v>
      </c>
      <c r="F54" s="1" t="s">
        <v>151</v>
      </c>
      <c r="G54" s="353">
        <v>240</v>
      </c>
      <c r="H54" s="353">
        <v>600</v>
      </c>
      <c r="I54" s="353">
        <v>900</v>
      </c>
      <c r="J54" s="353">
        <v>900</v>
      </c>
      <c r="K54" s="353">
        <v>315</v>
      </c>
      <c r="L54" s="353">
        <v>360</v>
      </c>
      <c r="M54" s="1"/>
      <c r="N54" s="269" t="s">
        <v>79</v>
      </c>
      <c r="O54" s="251">
        <v>1510</v>
      </c>
      <c r="P54" s="251"/>
      <c r="Q54" s="251"/>
      <c r="R54" s="1"/>
      <c r="S54" s="1"/>
      <c r="T54" s="1"/>
      <c r="U54" s="1"/>
      <c r="V54" s="1"/>
      <c r="W54" s="1"/>
      <c r="X54" s="1"/>
      <c r="Y54" s="1"/>
      <c r="Z54" s="1"/>
      <c r="AA54" s="1"/>
      <c r="AB54" s="1">
        <f>'комплекты фурнитуры'!$Q$23</f>
        <v>340</v>
      </c>
      <c r="AC54" s="1"/>
      <c r="AD54" s="1"/>
      <c r="AE54" s="1"/>
      <c r="AF54" s="1">
        <f>'комплекты фурнитуры'!$Q$79</f>
        <v>210</v>
      </c>
      <c r="AG54" s="1">
        <f>'комплекты фурнитуры'!$Q$80</f>
        <v>20</v>
      </c>
      <c r="AH54" s="29">
        <f>SUM(Прайс[[#This Row],[КФ НСТ11]:[KFPr-SB-ZPG]])</f>
        <v>570</v>
      </c>
      <c r="AI54" s="29"/>
      <c r="AJ54" s="1"/>
      <c r="AK54" s="1"/>
      <c r="AL54" s="1"/>
      <c r="AM54" s="29"/>
      <c r="AN54" s="29"/>
      <c r="AO54" s="29"/>
      <c r="AP54" s="29"/>
      <c r="AQ54" s="29"/>
      <c r="AR54" s="29"/>
      <c r="AS54" s="29"/>
      <c r="AT54" s="29">
        <f>'комплекты фурнитуры'!$Q$41</f>
        <v>4920</v>
      </c>
      <c r="AU54" s="29"/>
      <c r="AV54" s="29"/>
      <c r="AW54" s="29">
        <f>'комплекты фурнитуры'!$Q$73</f>
        <v>6080</v>
      </c>
      <c r="AX54" s="29"/>
      <c r="AY54" s="29"/>
      <c r="AZ54" s="29"/>
      <c r="BA54" s="29"/>
      <c r="BB54" s="29"/>
      <c r="BC54" s="29"/>
      <c r="BD54" s="29"/>
      <c r="BE54" s="29"/>
      <c r="BF54" s="29"/>
      <c r="BG54" s="29"/>
      <c r="BH54" s="29"/>
      <c r="BI54" s="29"/>
      <c r="BJ54" s="29"/>
      <c r="BK54" s="29"/>
      <c r="BL54" s="29"/>
      <c r="BM54" s="29"/>
      <c r="BN54" s="29"/>
      <c r="BO54" s="29"/>
      <c r="BP54" s="28">
        <f>Прайс[[#This Row],[KFP-SP-PPGK]]+Прайс[[#This Row],[КФ Сушка AFF 600]]</f>
        <v>11000</v>
      </c>
      <c r="BQ54" s="28">
        <v>0</v>
      </c>
      <c r="BR54" s="28">
        <v>0</v>
      </c>
      <c r="BS54" s="1">
        <v>300</v>
      </c>
      <c r="BT54" s="1">
        <v>720</v>
      </c>
      <c r="BU54" s="1">
        <f>IF(OR(Прайс[[#This Row],[Тип]]="Нижний",Прайс[[#This Row],[Тип]]="Пенал"),"560",IF(Прайс[[#This Row],[Тип]]="Верхний",315,0))</f>
        <v>315</v>
      </c>
      <c r="BV54" s="28">
        <v>1.08</v>
      </c>
      <c r="BW54" s="28">
        <v>1.0649999999999999</v>
      </c>
      <c r="BX54" s="28">
        <v>1.3</v>
      </c>
      <c r="BY54" s="351">
        <v>0</v>
      </c>
      <c r="BZ54" s="351">
        <v>0</v>
      </c>
      <c r="CA54" s="351" t="s">
        <v>10</v>
      </c>
      <c r="CB54" s="352" t="s">
        <v>819</v>
      </c>
      <c r="CC54" s="351">
        <v>0</v>
      </c>
      <c r="CD54" s="351" t="s">
        <v>10</v>
      </c>
    </row>
    <row r="55" spans="1:86" ht="15" customHeight="1" x14ac:dyDescent="0.25">
      <c r="A55" s="340" t="s">
        <v>880</v>
      </c>
      <c r="B55" s="1" t="s">
        <v>7</v>
      </c>
      <c r="C55" s="1" t="s">
        <v>884</v>
      </c>
      <c r="D55" s="1" t="s">
        <v>92</v>
      </c>
      <c r="E55" s="1" t="s">
        <v>10</v>
      </c>
      <c r="F55" s="1" t="s">
        <v>144</v>
      </c>
      <c r="G55" s="353">
        <v>480</v>
      </c>
      <c r="H55" s="353">
        <v>480</v>
      </c>
      <c r="I55" s="353">
        <v>315</v>
      </c>
      <c r="J55" s="353">
        <v>315</v>
      </c>
      <c r="K55" s="353">
        <v>315</v>
      </c>
      <c r="L55" s="353">
        <v>315</v>
      </c>
      <c r="M55" s="1"/>
      <c r="N55" s="269" t="s">
        <v>80</v>
      </c>
      <c r="O55" s="251">
        <v>1770</v>
      </c>
      <c r="P55" s="251"/>
      <c r="Q55" s="251"/>
      <c r="R55" s="1"/>
      <c r="S55" s="1"/>
      <c r="T55" s="1"/>
      <c r="U55" s="1"/>
      <c r="V55" s="1"/>
      <c r="W55" s="1"/>
      <c r="X55" s="1">
        <f>'комплекты фурнитуры'!$Q$19</f>
        <v>840</v>
      </c>
      <c r="Y55" s="1"/>
      <c r="Z55" s="1"/>
      <c r="AA55" s="1"/>
      <c r="AB55" s="1"/>
      <c r="AC55" s="1"/>
      <c r="AD55" s="1"/>
      <c r="AE55" s="1"/>
      <c r="AF55" s="1">
        <f>'комплекты фурнитуры'!$Q$79</f>
        <v>210</v>
      </c>
      <c r="AG55" s="1">
        <f>'комплекты фурнитуры'!$Q$80</f>
        <v>20</v>
      </c>
      <c r="AH55" s="29">
        <f>SUM(Прайс[[#This Row],[КФ НСТ11]:[KFPr-SB-ZPG]])</f>
        <v>1070</v>
      </c>
      <c r="AI55" s="29">
        <f>'комплекты фурнитуры'!$Q$86</f>
        <v>40</v>
      </c>
      <c r="AJ55" s="1"/>
      <c r="AK55" s="1"/>
      <c r="AL55" s="1"/>
      <c r="AM55" s="29">
        <f>'комплекты фурнитуры'!$Q$68</f>
        <v>500</v>
      </c>
      <c r="AN55" s="29">
        <f>'комплекты фурнитуры'!$Q$69</f>
        <v>130</v>
      </c>
      <c r="AO55" s="29"/>
      <c r="AP55" s="29"/>
      <c r="AQ55" s="29"/>
      <c r="AR55" s="29"/>
      <c r="AS55" s="29"/>
      <c r="AT55" s="29"/>
      <c r="AU55" s="29"/>
      <c r="AV55" s="29"/>
      <c r="AW55" s="29"/>
      <c r="AX55" s="29"/>
      <c r="AY55" s="29"/>
      <c r="AZ55" s="29"/>
      <c r="BA55" s="29"/>
      <c r="BB55" s="29"/>
      <c r="BC55" s="29"/>
      <c r="BD55" s="29"/>
      <c r="BE55" s="29"/>
      <c r="BF55" s="29"/>
      <c r="BG55" s="29"/>
      <c r="BH55" s="29"/>
      <c r="BI55" s="29"/>
      <c r="BJ55" s="29"/>
      <c r="BK55" s="29"/>
      <c r="BL55" s="29"/>
      <c r="BM55" s="29"/>
      <c r="BN55" s="29"/>
      <c r="BO55" s="29"/>
      <c r="BP55" s="28">
        <f>Прайс[[#This Row],[ KFPr-SB-StK ]]*2+Прайс[[#This Row],[КФ петли SENS накл.110 гр. с крестообр. Планкой]]*2</f>
        <v>1080</v>
      </c>
      <c r="BQ55" s="28">
        <f>Прайс[[#This Row],[ KFPr-SB-StK ]]*2+Прайс[[#This Row],[KFP-SB-N110]]*2</f>
        <v>340</v>
      </c>
      <c r="BR55" s="28">
        <v>0</v>
      </c>
      <c r="BS55" s="1">
        <v>315</v>
      </c>
      <c r="BT55" s="1">
        <v>720</v>
      </c>
      <c r="BU55" s="1">
        <f>IF(OR(Прайс[[#This Row],[Тип]]="Нижний",Прайс[[#This Row],[Тип]]="Пенал"),"560",IF(Прайс[[#This Row],[Тип]]="Верхний",315,0))</f>
        <v>315</v>
      </c>
      <c r="BV55" s="28">
        <v>1.08</v>
      </c>
      <c r="BW55" s="28">
        <v>1.0649999999999999</v>
      </c>
      <c r="BX55" s="28">
        <v>0</v>
      </c>
      <c r="BY55" s="351">
        <v>1</v>
      </c>
      <c r="BZ55" s="351">
        <v>1</v>
      </c>
      <c r="CA55" s="351" t="s">
        <v>10</v>
      </c>
      <c r="CB55" s="352" t="s">
        <v>818</v>
      </c>
      <c r="CC55" s="351">
        <v>1</v>
      </c>
      <c r="CD55" s="351" t="s">
        <v>10</v>
      </c>
      <c r="CF55" s="354" t="s">
        <v>879</v>
      </c>
      <c r="CH55" t="s">
        <v>878</v>
      </c>
    </row>
    <row r="56" spans="1:86" ht="15" customHeight="1" x14ac:dyDescent="0.25">
      <c r="A56" s="340" t="s">
        <v>881</v>
      </c>
      <c r="B56" s="1" t="s">
        <v>7</v>
      </c>
      <c r="C56" s="1" t="s">
        <v>885</v>
      </c>
      <c r="D56" s="1" t="s">
        <v>92</v>
      </c>
      <c r="E56" s="1" t="s">
        <v>10</v>
      </c>
      <c r="F56" s="1" t="s">
        <v>144</v>
      </c>
      <c r="G56" s="353">
        <v>600</v>
      </c>
      <c r="H56" s="353">
        <v>600</v>
      </c>
      <c r="I56" s="353">
        <v>315</v>
      </c>
      <c r="J56" s="353">
        <v>315</v>
      </c>
      <c r="K56" s="353">
        <v>315</v>
      </c>
      <c r="L56" s="353">
        <v>315</v>
      </c>
      <c r="M56" s="1"/>
      <c r="N56" s="269" t="s">
        <v>80</v>
      </c>
      <c r="O56" s="251">
        <v>1770</v>
      </c>
      <c r="P56" s="251"/>
      <c r="Q56" s="251"/>
      <c r="R56" s="1"/>
      <c r="S56" s="1"/>
      <c r="T56" s="1"/>
      <c r="U56" s="1"/>
      <c r="V56" s="1"/>
      <c r="W56" s="1"/>
      <c r="X56" s="1">
        <f>'комплекты фурнитуры'!$Q$19</f>
        <v>840</v>
      </c>
      <c r="Y56" s="1"/>
      <c r="Z56" s="1"/>
      <c r="AA56" s="1"/>
      <c r="AB56" s="1"/>
      <c r="AC56" s="1"/>
      <c r="AD56" s="1"/>
      <c r="AE56" s="1"/>
      <c r="AF56" s="1">
        <f>'комплекты фурнитуры'!$Q$79</f>
        <v>210</v>
      </c>
      <c r="AG56" s="1">
        <f>'комплекты фурнитуры'!$Q$80</f>
        <v>20</v>
      </c>
      <c r="AH56" s="29">
        <f>SUM(Прайс[[#This Row],[КФ НСТ11]:[KFPr-SB-ZPG]])</f>
        <v>1070</v>
      </c>
      <c r="AI56" s="29">
        <f>'комплекты фурнитуры'!$Q$86</f>
        <v>40</v>
      </c>
      <c r="AJ56" s="1"/>
      <c r="AK56" s="1"/>
      <c r="AL56" s="1"/>
      <c r="AM56" s="29">
        <f>'комплекты фурнитуры'!$Q$68</f>
        <v>500</v>
      </c>
      <c r="AN56" s="29">
        <f>'комплекты фурнитуры'!$Q$69</f>
        <v>130</v>
      </c>
      <c r="AO56" s="29"/>
      <c r="AP56" s="29"/>
      <c r="AQ56" s="29"/>
      <c r="AR56" s="29"/>
      <c r="AS56" s="29"/>
      <c r="AT56" s="29"/>
      <c r="AU56" s="29"/>
      <c r="AV56" s="29"/>
      <c r="AW56" s="29"/>
      <c r="AX56" s="29"/>
      <c r="AY56" s="29"/>
      <c r="AZ56" s="29"/>
      <c r="BA56" s="29"/>
      <c r="BB56" s="29"/>
      <c r="BC56" s="29"/>
      <c r="BD56" s="29"/>
      <c r="BE56" s="29"/>
      <c r="BF56" s="29"/>
      <c r="BG56" s="29"/>
      <c r="BH56" s="29"/>
      <c r="BI56" s="29"/>
      <c r="BJ56" s="29"/>
      <c r="BK56" s="29"/>
      <c r="BL56" s="29"/>
      <c r="BM56" s="29"/>
      <c r="BN56" s="29"/>
      <c r="BO56" s="29"/>
      <c r="BP56" s="28">
        <f>Прайс[[#This Row],[ KFPr-SB-StK ]]*2+Прайс[[#This Row],[КФ петли SENS накл.110 гр. с крестообр. Планкой]]*2</f>
        <v>1080</v>
      </c>
      <c r="BQ56" s="28">
        <f>Прайс[[#This Row],[ KFPr-SB-StK ]]*2+Прайс[[#This Row],[KFP-SB-N110]]*2</f>
        <v>340</v>
      </c>
      <c r="BR56" s="28">
        <v>0</v>
      </c>
      <c r="BS56" s="1">
        <v>315</v>
      </c>
      <c r="BT56" s="1">
        <v>720</v>
      </c>
      <c r="BU56" s="1">
        <f>IF(OR(Прайс[[#This Row],[Тип]]="Нижний",Прайс[[#This Row],[Тип]]="Пенал"),"560",IF(Прайс[[#This Row],[Тип]]="Верхний",315,0))</f>
        <v>315</v>
      </c>
      <c r="BV56" s="28">
        <v>1.08</v>
      </c>
      <c r="BW56" s="28">
        <v>1.0649999999999999</v>
      </c>
      <c r="BX56" s="28">
        <v>0</v>
      </c>
      <c r="BY56" s="351">
        <v>2</v>
      </c>
      <c r="BZ56" s="351">
        <v>2</v>
      </c>
      <c r="CA56" s="351" t="s">
        <v>10</v>
      </c>
      <c r="CB56" s="352" t="s">
        <v>818</v>
      </c>
      <c r="CC56" s="351">
        <v>2</v>
      </c>
      <c r="CD56" s="351" t="s">
        <v>10</v>
      </c>
      <c r="CF56" s="354"/>
    </row>
    <row r="57" spans="1:86" ht="15" customHeight="1" x14ac:dyDescent="0.25">
      <c r="A57" s="340" t="s">
        <v>882</v>
      </c>
      <c r="B57" s="1" t="s">
        <v>7</v>
      </c>
      <c r="C57" s="1" t="s">
        <v>885</v>
      </c>
      <c r="D57" s="1" t="s">
        <v>92</v>
      </c>
      <c r="E57" s="1" t="s">
        <v>10</v>
      </c>
      <c r="F57" s="1" t="s">
        <v>144</v>
      </c>
      <c r="G57" s="353">
        <v>720</v>
      </c>
      <c r="H57" s="353">
        <v>720</v>
      </c>
      <c r="I57" s="353">
        <v>315</v>
      </c>
      <c r="J57" s="353">
        <v>315</v>
      </c>
      <c r="K57" s="353">
        <v>315</v>
      </c>
      <c r="L57" s="353">
        <v>315</v>
      </c>
      <c r="M57" s="1"/>
      <c r="N57" s="269" t="s">
        <v>80</v>
      </c>
      <c r="O57" s="251">
        <v>1770</v>
      </c>
      <c r="P57" s="251"/>
      <c r="Q57" s="251"/>
      <c r="R57" s="1"/>
      <c r="S57" s="1"/>
      <c r="T57" s="1"/>
      <c r="U57" s="1"/>
      <c r="V57" s="1"/>
      <c r="W57" s="1"/>
      <c r="X57" s="1">
        <f>'комплекты фурнитуры'!$Q$19</f>
        <v>840</v>
      </c>
      <c r="Y57" s="1"/>
      <c r="Z57" s="1"/>
      <c r="AA57" s="1"/>
      <c r="AB57" s="1"/>
      <c r="AC57" s="1"/>
      <c r="AD57" s="1"/>
      <c r="AE57" s="1"/>
      <c r="AF57" s="1">
        <f>'комплекты фурнитуры'!$Q$79</f>
        <v>210</v>
      </c>
      <c r="AG57" s="1">
        <f>'комплекты фурнитуры'!$Q$80</f>
        <v>20</v>
      </c>
      <c r="AH57" s="29">
        <f>SUM(Прайс[[#This Row],[КФ НСТ11]:[KFPr-SB-ZPG]])</f>
        <v>1070</v>
      </c>
      <c r="AI57" s="29">
        <f>'комплекты фурнитуры'!$Q$86</f>
        <v>40</v>
      </c>
      <c r="AJ57" s="1"/>
      <c r="AK57" s="1"/>
      <c r="AL57" s="1"/>
      <c r="AM57" s="29">
        <f>'комплекты фурнитуры'!$Q$68</f>
        <v>500</v>
      </c>
      <c r="AN57" s="29">
        <f>'комплекты фурнитуры'!$Q$69</f>
        <v>130</v>
      </c>
      <c r="AO57" s="29"/>
      <c r="AP57" s="29"/>
      <c r="AQ57" s="29"/>
      <c r="AR57" s="29"/>
      <c r="AS57" s="29"/>
      <c r="AT57" s="29"/>
      <c r="AU57" s="29"/>
      <c r="AV57" s="29"/>
      <c r="AW57" s="29"/>
      <c r="AX57" s="29"/>
      <c r="AY57" s="29"/>
      <c r="AZ57" s="29"/>
      <c r="BA57" s="29"/>
      <c r="BB57" s="29"/>
      <c r="BC57" s="29"/>
      <c r="BD57" s="29"/>
      <c r="BE57" s="29"/>
      <c r="BF57" s="29"/>
      <c r="BG57" s="29"/>
      <c r="BH57" s="29"/>
      <c r="BI57" s="29"/>
      <c r="BJ57" s="29"/>
      <c r="BK57" s="29"/>
      <c r="BL57" s="29"/>
      <c r="BM57" s="29"/>
      <c r="BN57" s="29"/>
      <c r="BO57" s="29"/>
      <c r="BP57" s="28">
        <f>Прайс[[#This Row],[ KFPr-SB-StK ]]*2+Прайс[[#This Row],[КФ петли SENS накл.110 гр. с крестообр. Планкой]]*2</f>
        <v>1080</v>
      </c>
      <c r="BQ57" s="28">
        <f>Прайс[[#This Row],[ KFPr-SB-StK ]]*2+Прайс[[#This Row],[KFP-SB-N110]]*2</f>
        <v>340</v>
      </c>
      <c r="BR57" s="28">
        <v>0</v>
      </c>
      <c r="BS57" s="1">
        <v>315</v>
      </c>
      <c r="BT57" s="1">
        <v>720</v>
      </c>
      <c r="BU57" s="1">
        <f>IF(OR(Прайс[[#This Row],[Тип]]="Нижний",Прайс[[#This Row],[Тип]]="Пенал"),"560",IF(Прайс[[#This Row],[Тип]]="Верхний",315,0))</f>
        <v>315</v>
      </c>
      <c r="BV57" s="28">
        <v>1.08</v>
      </c>
      <c r="BW57" s="28">
        <v>1.0649999999999999</v>
      </c>
      <c r="BX57" s="28">
        <v>0</v>
      </c>
      <c r="BY57" s="351">
        <v>2</v>
      </c>
      <c r="BZ57" s="351">
        <v>2</v>
      </c>
      <c r="CA57" s="351" t="s">
        <v>10</v>
      </c>
      <c r="CB57" s="352" t="s">
        <v>818</v>
      </c>
      <c r="CC57" s="351">
        <v>2</v>
      </c>
      <c r="CD57" s="351" t="s">
        <v>10</v>
      </c>
      <c r="CF57" s="354"/>
    </row>
    <row r="58" spans="1:86" ht="15" customHeight="1" x14ac:dyDescent="0.25">
      <c r="A58" s="340" t="s">
        <v>883</v>
      </c>
      <c r="B58" s="1" t="s">
        <v>7</v>
      </c>
      <c r="C58" s="1" t="s">
        <v>886</v>
      </c>
      <c r="D58" s="1" t="s">
        <v>92</v>
      </c>
      <c r="E58" s="1" t="s">
        <v>10</v>
      </c>
      <c r="F58" s="1" t="s">
        <v>144</v>
      </c>
      <c r="G58" s="353">
        <v>960</v>
      </c>
      <c r="H58" s="353">
        <v>960</v>
      </c>
      <c r="I58" s="353">
        <v>315</v>
      </c>
      <c r="J58" s="353">
        <v>315</v>
      </c>
      <c r="K58" s="353">
        <v>315</v>
      </c>
      <c r="L58" s="353">
        <v>315</v>
      </c>
      <c r="M58" s="1"/>
      <c r="N58" s="269" t="s">
        <v>80</v>
      </c>
      <c r="O58" s="251">
        <v>1770</v>
      </c>
      <c r="P58" s="251"/>
      <c r="Q58" s="251"/>
      <c r="R58" s="1"/>
      <c r="S58" s="1"/>
      <c r="T58" s="1"/>
      <c r="U58" s="1"/>
      <c r="V58" s="1"/>
      <c r="W58" s="1"/>
      <c r="X58" s="1">
        <f>'комплекты фурнитуры'!$Q$19</f>
        <v>840</v>
      </c>
      <c r="Y58" s="1"/>
      <c r="Z58" s="1"/>
      <c r="AA58" s="1"/>
      <c r="AB58" s="1"/>
      <c r="AC58" s="1"/>
      <c r="AD58" s="1"/>
      <c r="AE58" s="1"/>
      <c r="AF58" s="1">
        <f>'комплекты фурнитуры'!$Q$79</f>
        <v>210</v>
      </c>
      <c r="AG58" s="1">
        <f>'комплекты фурнитуры'!$Q$80</f>
        <v>20</v>
      </c>
      <c r="AH58" s="29">
        <f>SUM(Прайс[[#This Row],[КФ НСТ11]:[KFPr-SB-ZPG]])</f>
        <v>1070</v>
      </c>
      <c r="AI58" s="29">
        <f>'комплекты фурнитуры'!$Q$86</f>
        <v>40</v>
      </c>
      <c r="AJ58" s="1"/>
      <c r="AK58" s="1"/>
      <c r="AL58" s="1"/>
      <c r="AM58" s="29">
        <f>'комплекты фурнитуры'!$Q$68</f>
        <v>500</v>
      </c>
      <c r="AN58" s="29">
        <f>'комплекты фурнитуры'!$Q$69</f>
        <v>130</v>
      </c>
      <c r="AO58" s="29"/>
      <c r="AP58" s="29"/>
      <c r="AQ58" s="29"/>
      <c r="AR58" s="29"/>
      <c r="AS58" s="29"/>
      <c r="AT58" s="29"/>
      <c r="AU58" s="29"/>
      <c r="AV58" s="29"/>
      <c r="AW58" s="29"/>
      <c r="AX58" s="29"/>
      <c r="AY58" s="29"/>
      <c r="AZ58" s="29"/>
      <c r="BA58" s="29"/>
      <c r="BB58" s="29"/>
      <c r="BC58" s="29"/>
      <c r="BD58" s="29"/>
      <c r="BE58" s="29"/>
      <c r="BF58" s="29"/>
      <c r="BG58" s="29"/>
      <c r="BH58" s="29"/>
      <c r="BI58" s="29"/>
      <c r="BJ58" s="29"/>
      <c r="BK58" s="29"/>
      <c r="BL58" s="29"/>
      <c r="BM58" s="29"/>
      <c r="BN58" s="29"/>
      <c r="BO58" s="29"/>
      <c r="BP58" s="28">
        <f>Прайс[[#This Row],[ KFPr-SB-StK ]]*2+Прайс[[#This Row],[КФ петли SENS накл.110 гр. с крестообр. Планкой]]*2</f>
        <v>1080</v>
      </c>
      <c r="BQ58" s="28">
        <f>Прайс[[#This Row],[ KFPr-SB-StK ]]*2+Прайс[[#This Row],[KFP-SB-N110]]*2</f>
        <v>340</v>
      </c>
      <c r="BR58" s="28">
        <v>0</v>
      </c>
      <c r="BS58" s="1">
        <v>315</v>
      </c>
      <c r="BT58" s="1">
        <v>720</v>
      </c>
      <c r="BU58" s="1">
        <f>IF(OR(Прайс[[#This Row],[Тип]]="Нижний",Прайс[[#This Row],[Тип]]="Пенал"),"560",IF(Прайс[[#This Row],[Тип]]="Верхний",315,0))</f>
        <v>315</v>
      </c>
      <c r="BV58" s="28">
        <v>1.08</v>
      </c>
      <c r="BW58" s="28">
        <v>1.0649999999999999</v>
      </c>
      <c r="BX58" s="28">
        <v>0</v>
      </c>
      <c r="BY58" s="351">
        <v>3</v>
      </c>
      <c r="BZ58" s="351">
        <v>3</v>
      </c>
      <c r="CA58" s="351" t="s">
        <v>10</v>
      </c>
      <c r="CB58" s="352" t="s">
        <v>818</v>
      </c>
      <c r="CC58" s="351">
        <v>3</v>
      </c>
      <c r="CD58" s="351" t="s">
        <v>10</v>
      </c>
      <c r="CF58" s="354"/>
    </row>
    <row r="59" spans="1:86" ht="15" customHeight="1" x14ac:dyDescent="0.25">
      <c r="A59" s="340" t="s">
        <v>139</v>
      </c>
      <c r="B59" s="1" t="s">
        <v>7</v>
      </c>
      <c r="C59" s="1" t="s">
        <v>107</v>
      </c>
      <c r="D59" s="1" t="s">
        <v>89</v>
      </c>
      <c r="E59" s="1" t="s">
        <v>87</v>
      </c>
      <c r="F59" s="1" t="s">
        <v>144</v>
      </c>
      <c r="G59" s="353">
        <v>360</v>
      </c>
      <c r="H59" s="353">
        <v>960</v>
      </c>
      <c r="I59" s="353">
        <v>150</v>
      </c>
      <c r="J59" s="353">
        <v>600</v>
      </c>
      <c r="K59" s="353">
        <v>250</v>
      </c>
      <c r="L59" s="353">
        <v>560</v>
      </c>
      <c r="M59" s="1"/>
      <c r="N59" s="269"/>
      <c r="O59" s="251">
        <v>1510</v>
      </c>
      <c r="P59" s="251"/>
      <c r="Q59" s="251"/>
      <c r="R59" s="1">
        <f>'комплекты фурнитуры'!$Q$10</f>
        <v>540</v>
      </c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>
        <f>'комплекты фурнитуры'!$Q$79</f>
        <v>210</v>
      </c>
      <c r="AG59" s="1">
        <f>'комплекты фурнитуры'!$Q$80</f>
        <v>20</v>
      </c>
      <c r="AH59" s="29">
        <f>SUM(Прайс[[#This Row],[КФ НСТ11]:[KFPr-SB-ZPG]])</f>
        <v>770</v>
      </c>
      <c r="AI59" s="29"/>
      <c r="AJ59" s="1"/>
      <c r="AK59" s="1"/>
      <c r="AL59" s="1"/>
      <c r="AM59" s="29">
        <f>'комплекты фурнитуры'!$Q$68</f>
        <v>500</v>
      </c>
      <c r="AN59" s="29">
        <f>'комплекты фурнитуры'!$Q$69</f>
        <v>130</v>
      </c>
      <c r="AO59" s="29"/>
      <c r="AP59" s="29"/>
      <c r="AQ59" s="29"/>
      <c r="AR59" s="29"/>
      <c r="AS59" s="29"/>
      <c r="AT59" s="29"/>
      <c r="AU59" s="29"/>
      <c r="AV59" s="29"/>
      <c r="AW59" s="29"/>
      <c r="AX59" s="29"/>
      <c r="AY59" s="29"/>
      <c r="AZ59" s="29"/>
      <c r="BA59" s="29"/>
      <c r="BB59" s="29"/>
      <c r="BC59" s="29"/>
      <c r="BD59" s="29"/>
      <c r="BE59" s="29"/>
      <c r="BF59" s="29"/>
      <c r="BG59" s="29"/>
      <c r="BH59" s="29"/>
      <c r="BI59" s="29"/>
      <c r="BJ59" s="29"/>
      <c r="BK59" s="29"/>
      <c r="BL59" s="29"/>
      <c r="BM59" s="29"/>
      <c r="BN59" s="29"/>
      <c r="BO59" s="29">
        <f>'комплекты фурнитуры'!$Q$88</f>
        <v>1110</v>
      </c>
      <c r="BP59" s="28">
        <f>Прайс[[#This Row],[ KFPr-SB-StK ]]*2+Прайс[[#This Row],[КФ петли SENS накл.110 гр. с крестообр. Планкой]]*2</f>
        <v>1000</v>
      </c>
      <c r="BQ59" s="28">
        <f>Прайс[[#This Row],[ KFPr-SB-StK ]]*2+Прайс[[#This Row],[KFP-SB-N110]]*2</f>
        <v>260</v>
      </c>
      <c r="BR59" s="28">
        <v>0</v>
      </c>
      <c r="BS59" s="1">
        <v>300</v>
      </c>
      <c r="BT59" s="1">
        <v>720</v>
      </c>
      <c r="BU59" s="1">
        <f>IF(OR(Прайс[[#This Row],[Тип]]="Нижний",Прайс[[#This Row],[Тип]]="Пенал"),"560",IF(Прайс[[#This Row],[Тип]]="Верхний",315,0))</f>
        <v>315</v>
      </c>
      <c r="BV59" s="28">
        <v>1.08</v>
      </c>
      <c r="BW59" s="28">
        <v>1.0649999999999999</v>
      </c>
      <c r="BX59" s="28">
        <v>1.3</v>
      </c>
      <c r="BY59" s="351">
        <v>0</v>
      </c>
      <c r="BZ59" s="351">
        <v>3</v>
      </c>
      <c r="CA59" s="351" t="s">
        <v>10</v>
      </c>
      <c r="CB59" s="352" t="s">
        <v>820</v>
      </c>
      <c r="CC59" s="351">
        <v>0</v>
      </c>
      <c r="CD59" s="351" t="s">
        <v>87</v>
      </c>
      <c r="CF59" t="s">
        <v>888</v>
      </c>
    </row>
    <row r="60" spans="1:86" ht="15" customHeight="1" x14ac:dyDescent="0.25">
      <c r="A60" s="340" t="s">
        <v>41</v>
      </c>
      <c r="B60" s="1" t="s">
        <v>7</v>
      </c>
      <c r="C60" s="1" t="s">
        <v>108</v>
      </c>
      <c r="D60" s="1" t="s">
        <v>89</v>
      </c>
      <c r="E60" s="1" t="s">
        <v>87</v>
      </c>
      <c r="F60" s="1" t="s">
        <v>144</v>
      </c>
      <c r="G60" s="353">
        <v>360</v>
      </c>
      <c r="H60" s="353">
        <v>960</v>
      </c>
      <c r="I60" s="353">
        <v>400</v>
      </c>
      <c r="J60" s="353">
        <v>900</v>
      </c>
      <c r="K60" s="353">
        <v>250</v>
      </c>
      <c r="L60" s="353">
        <v>560</v>
      </c>
      <c r="M60" s="1"/>
      <c r="N60" s="269"/>
      <c r="O60" s="251">
        <v>1510</v>
      </c>
      <c r="P60" s="251"/>
      <c r="Q60" s="251"/>
      <c r="R60" s="1">
        <f>'комплекты фурнитуры'!$Q$10</f>
        <v>540</v>
      </c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>
        <f>'комплекты фурнитуры'!$Q$79</f>
        <v>210</v>
      </c>
      <c r="AG60" s="1">
        <f>'комплекты фурнитуры'!$Q$80</f>
        <v>20</v>
      </c>
      <c r="AH60" s="29">
        <f>SUM(Прайс[[#This Row],[КФ НСТ11]:[KFPr-SB-ZPG]])</f>
        <v>770</v>
      </c>
      <c r="AI60" s="29"/>
      <c r="AJ60" s="1"/>
      <c r="AK60" s="1"/>
      <c r="AL60" s="1"/>
      <c r="AM60" s="29">
        <f>'комплекты фурнитуры'!$Q$68</f>
        <v>500</v>
      </c>
      <c r="AN60" s="29">
        <f>'комплекты фурнитуры'!$Q$69</f>
        <v>130</v>
      </c>
      <c r="AO60" s="29"/>
      <c r="AP60" s="29"/>
      <c r="AQ60" s="29"/>
      <c r="AR60" s="29"/>
      <c r="AS60" s="29"/>
      <c r="AT60" s="29"/>
      <c r="AU60" s="29"/>
      <c r="AV60" s="29"/>
      <c r="AW60" s="29"/>
      <c r="AX60" s="29"/>
      <c r="AY60" s="29"/>
      <c r="AZ60" s="29"/>
      <c r="BA60" s="29"/>
      <c r="BB60" s="29"/>
      <c r="BC60" s="29"/>
      <c r="BD60" s="29"/>
      <c r="BE60" s="29"/>
      <c r="BF60" s="29"/>
      <c r="BG60" s="29"/>
      <c r="BH60" s="29"/>
      <c r="BI60" s="29"/>
      <c r="BJ60" s="29"/>
      <c r="BK60" s="29"/>
      <c r="BL60" s="29"/>
      <c r="BM60" s="29"/>
      <c r="BN60" s="29"/>
      <c r="BO60" s="29">
        <f>'комплекты фурнитуры'!$Q$88</f>
        <v>1110</v>
      </c>
      <c r="BP60" s="28">
        <f>Прайс[[#This Row],[ KFPr-SB-StK ]]*2+Прайс[[#This Row],[КФ петли SENS накл.110 гр. с крестообр. Планкой]]*4</f>
        <v>2000</v>
      </c>
      <c r="BQ60" s="28">
        <f>Прайс[[#This Row],[ KFPr-SB-StK ]]*2+Прайс[[#This Row],[KFP-SB-N110]]*4</f>
        <v>520</v>
      </c>
      <c r="BR60" s="28">
        <v>0</v>
      </c>
      <c r="BS60" s="1">
        <v>300</v>
      </c>
      <c r="BT60" s="1">
        <v>720</v>
      </c>
      <c r="BU60" s="1">
        <f>IF(OR(Прайс[[#This Row],[Тип]]="Нижний",Прайс[[#This Row],[Тип]]="Пенал"),"560",IF(Прайс[[#This Row],[Тип]]="Верхний",315,0))</f>
        <v>315</v>
      </c>
      <c r="BV60" s="28">
        <v>1.08</v>
      </c>
      <c r="BW60" s="28">
        <v>1.0649999999999999</v>
      </c>
      <c r="BX60" s="28">
        <v>1.3</v>
      </c>
      <c r="BY60" s="351">
        <v>0</v>
      </c>
      <c r="BZ60" s="351">
        <v>3</v>
      </c>
      <c r="CA60" s="351" t="s">
        <v>10</v>
      </c>
      <c r="CB60" s="352" t="s">
        <v>820</v>
      </c>
      <c r="CC60" s="351">
        <v>0</v>
      </c>
      <c r="CD60" s="351" t="s">
        <v>87</v>
      </c>
      <c r="CF60" t="s">
        <v>887</v>
      </c>
    </row>
    <row r="61" spans="1:86" ht="15" customHeight="1" x14ac:dyDescent="0.25">
      <c r="A61" s="340" t="s">
        <v>42</v>
      </c>
      <c r="B61" s="1" t="s">
        <v>7</v>
      </c>
      <c r="C61" s="1" t="s">
        <v>109</v>
      </c>
      <c r="D61" s="1" t="s">
        <v>89</v>
      </c>
      <c r="E61" s="1" t="s">
        <v>87</v>
      </c>
      <c r="F61" s="1" t="s">
        <v>149</v>
      </c>
      <c r="G61" s="353">
        <v>720</v>
      </c>
      <c r="H61" s="353">
        <v>720</v>
      </c>
      <c r="I61" s="353">
        <v>400</v>
      </c>
      <c r="J61" s="353">
        <v>900</v>
      </c>
      <c r="K61" s="353">
        <v>300</v>
      </c>
      <c r="L61" s="353">
        <v>400</v>
      </c>
      <c r="M61" s="1"/>
      <c r="N61" s="269"/>
      <c r="O61" s="251">
        <v>1510</v>
      </c>
      <c r="P61" s="251"/>
      <c r="Q61" s="251"/>
      <c r="R61" s="1">
        <f>'комплекты фурнитуры'!$Q$10</f>
        <v>540</v>
      </c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>
        <f>'комплекты фурнитуры'!$Q$79</f>
        <v>210</v>
      </c>
      <c r="AG61" s="1">
        <f>'комплекты фурнитуры'!$Q$80</f>
        <v>20</v>
      </c>
      <c r="AH61" s="29">
        <f>SUM(Прайс[[#This Row],[КФ НСТ11]:[KFPr-SB-ZPG]])</f>
        <v>770</v>
      </c>
      <c r="AI61" s="29"/>
      <c r="AJ61" s="1"/>
      <c r="AK61" s="1"/>
      <c r="AL61" s="1"/>
      <c r="AM61" s="29"/>
      <c r="AN61" s="29"/>
      <c r="AO61" s="29"/>
      <c r="AP61" s="29"/>
      <c r="AQ61" s="29"/>
      <c r="AR61" s="29"/>
      <c r="AS61" s="29"/>
      <c r="AT61" s="29"/>
      <c r="AU61" s="29"/>
      <c r="AV61" s="29"/>
      <c r="AW61" s="29"/>
      <c r="AX61" s="29"/>
      <c r="AY61" s="29"/>
      <c r="AZ61" s="29">
        <f>'комплекты фурнитуры'!$Q$75</f>
        <v>13990</v>
      </c>
      <c r="BA61" s="29"/>
      <c r="BB61" s="29"/>
      <c r="BC61" s="29"/>
      <c r="BD61" s="29"/>
      <c r="BE61" s="29"/>
      <c r="BF61" s="29"/>
      <c r="BG61" s="29"/>
      <c r="BH61" s="29"/>
      <c r="BI61" s="29"/>
      <c r="BJ61" s="29"/>
      <c r="BK61" s="29"/>
      <c r="BL61" s="29"/>
      <c r="BM61" s="29"/>
      <c r="BN61" s="29"/>
      <c r="BO61" s="29">
        <f>'комплекты фурнитуры'!$Q$88</f>
        <v>1110</v>
      </c>
      <c r="BP61" s="28">
        <f>Прайс[[#This Row],[KFP-SB-PPHF_W]]</f>
        <v>13990</v>
      </c>
      <c r="BQ61" s="28">
        <v>0</v>
      </c>
      <c r="BR61" s="28">
        <v>0</v>
      </c>
      <c r="BS61" s="1">
        <v>300</v>
      </c>
      <c r="BT61" s="1">
        <v>720</v>
      </c>
      <c r="BU61" s="1">
        <f>IF(OR(Прайс[[#This Row],[Тип]]="Нижний",Прайс[[#This Row],[Тип]]="Пенал"),"560",IF(Прайс[[#This Row],[Тип]]="Верхний",315,0))</f>
        <v>315</v>
      </c>
      <c r="BV61" s="28">
        <v>1.08</v>
      </c>
      <c r="BW61" s="28">
        <v>1.0649999999999999</v>
      </c>
      <c r="BX61" s="28">
        <v>1.3</v>
      </c>
      <c r="BY61" s="351">
        <v>1</v>
      </c>
      <c r="BZ61" s="351">
        <v>1</v>
      </c>
      <c r="CA61" s="351" t="s">
        <v>10</v>
      </c>
      <c r="CB61" s="352" t="s">
        <v>819</v>
      </c>
      <c r="CC61" s="351">
        <v>1</v>
      </c>
      <c r="CD61" s="351" t="s">
        <v>87</v>
      </c>
    </row>
    <row r="62" spans="1:86" ht="15" customHeight="1" x14ac:dyDescent="0.25">
      <c r="A62" s="340" t="s">
        <v>43</v>
      </c>
      <c r="B62" s="1" t="s">
        <v>7</v>
      </c>
      <c r="C62" s="1" t="s">
        <v>100</v>
      </c>
      <c r="D62" s="1" t="s">
        <v>85</v>
      </c>
      <c r="E62" s="1" t="s">
        <v>87</v>
      </c>
      <c r="F62" s="1" t="s">
        <v>144</v>
      </c>
      <c r="G62" s="353">
        <v>360</v>
      </c>
      <c r="H62" s="353">
        <v>960</v>
      </c>
      <c r="I62" s="353">
        <v>595</v>
      </c>
      <c r="J62" s="353">
        <v>1000</v>
      </c>
      <c r="K62" s="353">
        <v>315</v>
      </c>
      <c r="L62" s="353">
        <v>560</v>
      </c>
      <c r="M62" s="1"/>
      <c r="N62" s="269"/>
      <c r="O62" s="251">
        <v>2580</v>
      </c>
      <c r="P62" s="251"/>
      <c r="Q62" s="251"/>
      <c r="R62" s="1"/>
      <c r="S62" s="1"/>
      <c r="T62" s="1"/>
      <c r="U62" s="1"/>
      <c r="V62" s="1"/>
      <c r="W62" s="1"/>
      <c r="X62" s="1"/>
      <c r="Y62" s="1"/>
      <c r="Z62" s="1"/>
      <c r="AA62" s="1">
        <f>'комплекты фурнитуры'!$Q$22</f>
        <v>1130</v>
      </c>
      <c r="AB62" s="1"/>
      <c r="AC62" s="1"/>
      <c r="AD62" s="1"/>
      <c r="AE62" s="1"/>
      <c r="AF62" s="1">
        <f>'комплекты фурнитуры'!$Q$79</f>
        <v>210</v>
      </c>
      <c r="AG62" s="1">
        <f>'комплекты фурнитуры'!$Q$80</f>
        <v>20</v>
      </c>
      <c r="AH62" s="29">
        <f>SUM(Прайс[[#This Row],[КФ НСТ11]:[KFPr-SB-ZPG]])</f>
        <v>1360</v>
      </c>
      <c r="AI62" s="29"/>
      <c r="AJ62" s="1">
        <f>'комплекты фурнитуры'!$Q$85</f>
        <v>30</v>
      </c>
      <c r="AK62" s="1"/>
      <c r="AL62" s="1"/>
      <c r="AM62" s="29"/>
      <c r="AN62" s="29"/>
      <c r="AO62" s="29">
        <f>'комплекты фурнитуры'!$Q$62</f>
        <v>1300</v>
      </c>
      <c r="AP62" s="29">
        <f>'комплекты фурнитуры'!$Q$64</f>
        <v>480</v>
      </c>
      <c r="AQ62" s="29"/>
      <c r="AR62" s="29"/>
      <c r="AS62" s="29"/>
      <c r="AT62" s="29"/>
      <c r="AU62" s="29"/>
      <c r="AV62" s="29"/>
      <c r="AW62" s="29"/>
      <c r="AX62" s="29"/>
      <c r="AY62" s="29"/>
      <c r="AZ62" s="29"/>
      <c r="BA62" s="29"/>
      <c r="BB62" s="29"/>
      <c r="BC62" s="29"/>
      <c r="BD62" s="29"/>
      <c r="BE62" s="29"/>
      <c r="BF62" s="29"/>
      <c r="BG62" s="29"/>
      <c r="BH62" s="29"/>
      <c r="BI62" s="29"/>
      <c r="BJ62" s="29"/>
      <c r="BK62" s="29"/>
      <c r="BL62" s="29"/>
      <c r="BM62" s="29"/>
      <c r="BN62" s="29"/>
      <c r="BO62" s="29">
        <f>'комплекты фурнитуры'!$Q$88</f>
        <v>1110</v>
      </c>
      <c r="BP62" s="28">
        <f>Прайс[[#This Row],[KFPr-SB-SPL]]+Прайс[[#This Row],[КФ петли вклад. 95 гр. с крестообр. планкой]]*2</f>
        <v>2630</v>
      </c>
      <c r="BQ62" s="28">
        <f>Прайс[[#This Row],[KFP-SB-PY94]]*2</f>
        <v>960</v>
      </c>
      <c r="BR62" s="28">
        <v>0</v>
      </c>
      <c r="BS62" s="1">
        <v>600</v>
      </c>
      <c r="BT62" s="1">
        <v>720</v>
      </c>
      <c r="BU62" s="1">
        <f>IF(OR(Прайс[[#This Row],[Тип]]="Нижний",Прайс[[#This Row],[Тип]]="Пенал"),"560",IF(Прайс[[#This Row],[Тип]]="Верхний",315,0))</f>
        <v>315</v>
      </c>
      <c r="BV62" s="28">
        <v>1.08</v>
      </c>
      <c r="BW62" s="28">
        <v>1.0649999999999999</v>
      </c>
      <c r="BX62" s="28">
        <v>0</v>
      </c>
      <c r="BY62" s="351">
        <v>1</v>
      </c>
      <c r="BZ62" s="351">
        <v>3</v>
      </c>
      <c r="CA62" s="351" t="s">
        <v>10</v>
      </c>
      <c r="CB62" s="352" t="s">
        <v>820</v>
      </c>
      <c r="CC62" s="351">
        <v>1</v>
      </c>
      <c r="CD62" s="351" t="s">
        <v>10</v>
      </c>
      <c r="CF62" t="s">
        <v>889</v>
      </c>
    </row>
    <row r="63" spans="1:86" ht="15" customHeight="1" x14ac:dyDescent="0.25">
      <c r="A63" s="340" t="s">
        <v>31</v>
      </c>
      <c r="B63" s="1" t="s">
        <v>7</v>
      </c>
      <c r="C63" s="1" t="s">
        <v>113</v>
      </c>
      <c r="D63" s="1" t="s">
        <v>89</v>
      </c>
      <c r="E63" s="1" t="s">
        <v>10</v>
      </c>
      <c r="F63" s="1" t="s">
        <v>148</v>
      </c>
      <c r="G63" s="353">
        <v>240</v>
      </c>
      <c r="H63" s="353">
        <v>2400</v>
      </c>
      <c r="I63" s="353">
        <v>50</v>
      </c>
      <c r="J63" s="353">
        <v>100</v>
      </c>
      <c r="K63" s="353">
        <v>315</v>
      </c>
      <c r="L63" s="353">
        <v>700</v>
      </c>
      <c r="M63" s="1"/>
      <c r="N63" s="269"/>
      <c r="O63" s="251">
        <v>1640</v>
      </c>
      <c r="P63" s="251"/>
      <c r="Q63" s="25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>
        <f>'комплекты фурнитуры'!$Q$25</f>
        <v>590</v>
      </c>
      <c r="AE63" s="1"/>
      <c r="AF63" s="1"/>
      <c r="AG63" s="1"/>
      <c r="AH63" s="29">
        <f>SUM(Прайс[[#This Row],[КФ НСТ11]:[KFPr-SB-ZPG]])</f>
        <v>590</v>
      </c>
      <c r="AI63" s="29"/>
      <c r="AJ63" s="1"/>
      <c r="AK63" s="1"/>
      <c r="AL63" s="1"/>
      <c r="AM63" s="29"/>
      <c r="AN63" s="29"/>
      <c r="AO63" s="29"/>
      <c r="AP63" s="29"/>
      <c r="AQ63" s="29"/>
      <c r="AR63" s="29"/>
      <c r="AS63" s="29"/>
      <c r="AT63" s="29"/>
      <c r="AU63" s="29"/>
      <c r="AV63" s="29"/>
      <c r="AW63" s="29"/>
      <c r="AX63" s="29"/>
      <c r="AY63" s="29"/>
      <c r="AZ63" s="29"/>
      <c r="BA63" s="29"/>
      <c r="BB63" s="29"/>
      <c r="BC63" s="29"/>
      <c r="BD63" s="29"/>
      <c r="BE63" s="29"/>
      <c r="BF63" s="29"/>
      <c r="BG63" s="29"/>
      <c r="BH63" s="29"/>
      <c r="BI63" s="29"/>
      <c r="BJ63" s="29"/>
      <c r="BK63" s="29"/>
      <c r="BL63" s="29"/>
      <c r="BM63" s="29"/>
      <c r="BN63" s="29"/>
      <c r="BO63" s="29"/>
      <c r="BP63" s="28">
        <v>0</v>
      </c>
      <c r="BQ63" s="28">
        <v>0</v>
      </c>
      <c r="BR63" s="28">
        <v>0</v>
      </c>
      <c r="BS63" s="1">
        <v>0</v>
      </c>
      <c r="BT63" s="1">
        <v>720</v>
      </c>
      <c r="BU63" s="1">
        <f>IF(OR(Прайс[[#This Row],[Тип]]="Нижний",Прайс[[#This Row],[Тип]]="Пенал"),"560",IF(Прайс[[#This Row],[Тип]]="Верхний",315,0))</f>
        <v>315</v>
      </c>
      <c r="BV63" s="28">
        <v>1.08</v>
      </c>
      <c r="BW63" s="28">
        <v>1.0649999999999999</v>
      </c>
      <c r="BX63" s="28">
        <v>1.3</v>
      </c>
      <c r="BY63" s="351">
        <v>0</v>
      </c>
      <c r="BZ63" s="351">
        <v>0</v>
      </c>
      <c r="CA63" s="351" t="s">
        <v>10</v>
      </c>
      <c r="CB63" s="352" t="s">
        <v>818</v>
      </c>
      <c r="CC63" s="351">
        <v>0</v>
      </c>
      <c r="CD63" s="351" t="s">
        <v>10</v>
      </c>
    </row>
    <row r="64" spans="1:86" ht="15" customHeight="1" x14ac:dyDescent="0.25">
      <c r="A64" s="342" t="s">
        <v>890</v>
      </c>
      <c r="B64" s="1" t="s">
        <v>7</v>
      </c>
      <c r="C64" s="1" t="s">
        <v>910</v>
      </c>
      <c r="D64" s="1" t="s">
        <v>91</v>
      </c>
      <c r="E64" s="1" t="s">
        <v>10</v>
      </c>
      <c r="F64" s="1" t="s">
        <v>144</v>
      </c>
      <c r="G64" s="353">
        <v>720</v>
      </c>
      <c r="H64" s="353">
        <v>720</v>
      </c>
      <c r="I64" s="353">
        <v>210</v>
      </c>
      <c r="J64" s="353">
        <v>210</v>
      </c>
      <c r="K64" s="353">
        <v>300</v>
      </c>
      <c r="L64" s="353">
        <v>500</v>
      </c>
      <c r="M64" s="1"/>
      <c r="N64" s="269" t="s">
        <v>71</v>
      </c>
      <c r="O64" s="251">
        <v>1840</v>
      </c>
      <c r="P64" s="251"/>
      <c r="Q64" s="251"/>
      <c r="R64" s="1"/>
      <c r="S64" s="1"/>
      <c r="T64" s="1"/>
      <c r="U64" s="1"/>
      <c r="V64" s="1">
        <f>'комплекты фурнитуры'!$Q$16</f>
        <v>940</v>
      </c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29">
        <f>SUM(Прайс[[#This Row],[КФ НСТ11]:[KFPr-SB-ZPG]])</f>
        <v>940</v>
      </c>
      <c r="AI64" s="29">
        <f>'комплекты фурнитуры'!$Q$86</f>
        <v>40</v>
      </c>
      <c r="AJ64" s="1"/>
      <c r="AK64" s="1"/>
      <c r="AL64" s="1"/>
      <c r="AM64" s="29"/>
      <c r="AN64" s="29"/>
      <c r="AO64" s="29"/>
      <c r="AP64" s="29"/>
      <c r="AQ64" s="29">
        <f>'комплекты фурнитуры'!$Q$60</f>
        <v>1560</v>
      </c>
      <c r="AR64" s="29">
        <f>'комплекты фурнитуры'!$Q$61</f>
        <v>190</v>
      </c>
      <c r="AS64" s="29"/>
      <c r="AT64" s="29"/>
      <c r="AU64" s="29"/>
      <c r="AV64" s="29"/>
      <c r="AW64" s="29"/>
      <c r="AX64" s="29"/>
      <c r="AY64" s="29"/>
      <c r="AZ64" s="29"/>
      <c r="BA64" s="29"/>
      <c r="BB64" s="29"/>
      <c r="BC64" s="29"/>
      <c r="BD64" s="29"/>
      <c r="BE64" s="29"/>
      <c r="BF64" s="29"/>
      <c r="BG64" s="29"/>
      <c r="BH64" s="29"/>
      <c r="BI64" s="29"/>
      <c r="BJ64" s="29"/>
      <c r="BK64" s="29"/>
      <c r="BL64" s="29"/>
      <c r="BM64" s="29"/>
      <c r="BN64" s="29"/>
      <c r="BO64" s="29"/>
      <c r="BP64" s="28">
        <f>Прайс[[#This Row],[ KFPr-SB-StK ]]*2+Прайс[[#This Row],[КKFP-SB-GT45]]*2</f>
        <v>3200</v>
      </c>
      <c r="BQ64" s="28">
        <f>Прайс[[#This Row],[ KFPr-SB-StK ]]*2+Прайс[[#This Row],[KFP-SB-N45]]*2</f>
        <v>460</v>
      </c>
      <c r="BR64" s="28">
        <v>0</v>
      </c>
      <c r="BS64" s="1">
        <v>210</v>
      </c>
      <c r="BT64" s="1">
        <v>960</v>
      </c>
      <c r="BU64" s="1">
        <f>IF(OR(Прайс[[#This Row],[Тип]]="Нижний",Прайс[[#This Row],[Тип]]="Пенал"),"560",IF(Прайс[[#This Row],[Тип]]="Верхний",315,0))</f>
        <v>315</v>
      </c>
      <c r="BV64" s="28">
        <v>1.08</v>
      </c>
      <c r="BW64" s="28">
        <v>1.0649999999999999</v>
      </c>
      <c r="BX64" s="28">
        <v>1.3</v>
      </c>
      <c r="BY64" s="351">
        <v>2</v>
      </c>
      <c r="BZ64" s="351">
        <v>2</v>
      </c>
      <c r="CA64" s="351" t="s">
        <v>10</v>
      </c>
      <c r="CB64" s="352" t="s">
        <v>820</v>
      </c>
      <c r="CC64" s="351">
        <v>2</v>
      </c>
      <c r="CD64" s="351" t="s">
        <v>10</v>
      </c>
    </row>
    <row r="65" spans="1:84" ht="15" customHeight="1" x14ac:dyDescent="0.25">
      <c r="A65" s="342" t="s">
        <v>891</v>
      </c>
      <c r="B65" s="1" t="s">
        <v>7</v>
      </c>
      <c r="C65" s="1" t="s">
        <v>909</v>
      </c>
      <c r="D65" s="1" t="s">
        <v>91</v>
      </c>
      <c r="E65" s="1" t="s">
        <v>10</v>
      </c>
      <c r="F65" s="1" t="s">
        <v>144</v>
      </c>
      <c r="G65" s="353">
        <v>960</v>
      </c>
      <c r="H65" s="353">
        <v>960</v>
      </c>
      <c r="I65" s="353">
        <v>210</v>
      </c>
      <c r="J65" s="353">
        <v>210</v>
      </c>
      <c r="K65" s="353">
        <v>300</v>
      </c>
      <c r="L65" s="353">
        <v>500</v>
      </c>
      <c r="M65" s="1"/>
      <c r="N65" s="269" t="s">
        <v>71</v>
      </c>
      <c r="O65" s="251">
        <v>1840</v>
      </c>
      <c r="P65" s="251"/>
      <c r="Q65" s="251"/>
      <c r="R65" s="1"/>
      <c r="S65" s="1"/>
      <c r="T65" s="1"/>
      <c r="U65" s="1"/>
      <c r="V65" s="1">
        <f>'комплекты фурнитуры'!$Q$16</f>
        <v>940</v>
      </c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29">
        <f>SUM(Прайс[[#This Row],[КФ НСТ11]:[KFPr-SB-ZPG]])</f>
        <v>940</v>
      </c>
      <c r="AI65" s="29">
        <f>'комплекты фурнитуры'!$Q$86</f>
        <v>40</v>
      </c>
      <c r="AJ65" s="1"/>
      <c r="AK65" s="1"/>
      <c r="AL65" s="1"/>
      <c r="AM65" s="29"/>
      <c r="AN65" s="29"/>
      <c r="AO65" s="29"/>
      <c r="AP65" s="29"/>
      <c r="AQ65" s="29">
        <f>'комплекты фурнитуры'!$Q$60</f>
        <v>1560</v>
      </c>
      <c r="AR65" s="29">
        <f>'комплекты фурнитуры'!$Q$61</f>
        <v>190</v>
      </c>
      <c r="AS65" s="29"/>
      <c r="AT65" s="29"/>
      <c r="AU65" s="29"/>
      <c r="AV65" s="29"/>
      <c r="AW65" s="29"/>
      <c r="AX65" s="29"/>
      <c r="AY65" s="29"/>
      <c r="AZ65" s="29"/>
      <c r="BA65" s="29"/>
      <c r="BB65" s="29"/>
      <c r="BC65" s="29"/>
      <c r="BD65" s="29"/>
      <c r="BE65" s="29"/>
      <c r="BF65" s="29"/>
      <c r="BG65" s="29"/>
      <c r="BH65" s="29"/>
      <c r="BI65" s="29"/>
      <c r="BJ65" s="29"/>
      <c r="BK65" s="29"/>
      <c r="BL65" s="29"/>
      <c r="BM65" s="29"/>
      <c r="BN65" s="29"/>
      <c r="BO65" s="29"/>
      <c r="BP65" s="28">
        <f>Прайс[[#This Row],[ KFPr-SB-StK ]]*2+Прайс[[#This Row],[КKFP-SB-GT45]]*2</f>
        <v>3200</v>
      </c>
      <c r="BQ65" s="28">
        <f>Прайс[[#This Row],[ KFPr-SB-StK ]]*2+Прайс[[#This Row],[KFP-SB-N45]]*2</f>
        <v>460</v>
      </c>
      <c r="BR65" s="28">
        <v>0</v>
      </c>
      <c r="BS65" s="1">
        <v>210</v>
      </c>
      <c r="BT65" s="1">
        <v>960</v>
      </c>
      <c r="BU65" s="1">
        <f>IF(OR(Прайс[[#This Row],[Тип]]="Нижний",Прайс[[#This Row],[Тип]]="Пенал"),"560",IF(Прайс[[#This Row],[Тип]]="Верхний",315,0))</f>
        <v>315</v>
      </c>
      <c r="BV65" s="28">
        <v>1.08</v>
      </c>
      <c r="BW65" s="28">
        <v>1.0649999999999999</v>
      </c>
      <c r="BX65" s="28">
        <v>1.3</v>
      </c>
      <c r="BY65" s="351">
        <v>3</v>
      </c>
      <c r="BZ65" s="351">
        <v>3</v>
      </c>
      <c r="CA65" s="351" t="s">
        <v>10</v>
      </c>
      <c r="CB65" s="352" t="s">
        <v>820</v>
      </c>
      <c r="CC65" s="351">
        <v>3</v>
      </c>
      <c r="CD65" s="351" t="s">
        <v>10</v>
      </c>
    </row>
    <row r="66" spans="1:84" ht="15" customHeight="1" x14ac:dyDescent="0.25">
      <c r="A66" s="349" t="s">
        <v>45</v>
      </c>
      <c r="B66" s="343" t="s">
        <v>9</v>
      </c>
      <c r="C66" s="343" t="s">
        <v>908</v>
      </c>
      <c r="D66" s="343" t="s">
        <v>89</v>
      </c>
      <c r="E66" s="343" t="s">
        <v>10</v>
      </c>
      <c r="F66" s="343" t="s">
        <v>144</v>
      </c>
      <c r="G66" s="348">
        <v>1220</v>
      </c>
      <c r="H66" s="348">
        <v>1500</v>
      </c>
      <c r="I66" s="348">
        <v>150</v>
      </c>
      <c r="J66" s="348">
        <v>600</v>
      </c>
      <c r="K66" s="348">
        <v>300</v>
      </c>
      <c r="L66" s="348">
        <v>640</v>
      </c>
      <c r="M66" s="1"/>
      <c r="N66" s="269"/>
      <c r="O66" s="251">
        <v>4820</v>
      </c>
      <c r="P66" s="251"/>
      <c r="Q66" s="251"/>
      <c r="R66" s="1"/>
      <c r="S66" s="1"/>
      <c r="T66" s="1"/>
      <c r="U66" s="1"/>
      <c r="V66" s="1"/>
      <c r="W66" s="1"/>
      <c r="X66" s="1"/>
      <c r="Y66" s="1">
        <f>'комплекты фурнитуры'!$Q$20</f>
        <v>740</v>
      </c>
      <c r="Z66" s="1"/>
      <c r="AA66" s="1"/>
      <c r="AB66" s="1"/>
      <c r="AC66" s="1"/>
      <c r="AD66" s="1"/>
      <c r="AE66" s="1">
        <f>'комплекты фурнитуры'!$Q$26*2</f>
        <v>540</v>
      </c>
      <c r="AF66" s="1"/>
      <c r="AG66" s="1"/>
      <c r="AH66" s="29">
        <f>SUM(Прайс[[#This Row],[КФ НСТ11]:[KFPr-SB-ZPG]])</f>
        <v>1280</v>
      </c>
      <c r="AI66" s="29"/>
      <c r="AJ66" s="1"/>
      <c r="AK66" s="1"/>
      <c r="AL66" s="264"/>
      <c r="AM66" s="29">
        <f>'комплекты фурнитуры'!$Q$68</f>
        <v>500</v>
      </c>
      <c r="AN66" s="29">
        <f>'комплекты фурнитуры'!$Q$69</f>
        <v>130</v>
      </c>
      <c r="AO66" s="29"/>
      <c r="AP66" s="29"/>
      <c r="AQ66" s="29"/>
      <c r="AR66" s="29"/>
      <c r="AS66" s="29"/>
      <c r="AT66" s="29"/>
      <c r="AU66" s="29"/>
      <c r="AV66" s="29"/>
      <c r="AW66" s="265"/>
      <c r="AX66" s="29"/>
      <c r="AY66" s="265"/>
      <c r="AZ66" s="29"/>
      <c r="BA66" s="29"/>
      <c r="BB66" s="265"/>
      <c r="BC66" s="265"/>
      <c r="BD66" s="265"/>
      <c r="BE66" s="265"/>
      <c r="BF66" s="265"/>
      <c r="BG66" s="265"/>
      <c r="BH66" s="265"/>
      <c r="BI66" s="265"/>
      <c r="BJ66" s="29"/>
      <c r="BK66" s="29"/>
      <c r="BL66" s="29"/>
      <c r="BM66" s="29"/>
      <c r="BN66" s="29"/>
      <c r="BO66" s="29"/>
      <c r="BP66" s="28">
        <f>Прайс[[#This Row],[КФ петли SENS накл.110 гр. с крестообр. Планкой]]*3</f>
        <v>1500</v>
      </c>
      <c r="BQ66" s="28">
        <f>Прайс[[#This Row],[KFP-SB-N110]]*3</f>
        <v>390</v>
      </c>
      <c r="BR66" s="28">
        <f>Прайс[[#This Row],[KFP-SB-N110]]*3</f>
        <v>390</v>
      </c>
      <c r="BS66" s="1">
        <v>600</v>
      </c>
      <c r="BT66" s="1">
        <v>1320</v>
      </c>
      <c r="BU66" s="1" t="str">
        <f>IF(OR(Прайс[[#This Row],[Тип]]="Нижний",Прайс[[#This Row],[Тип]]="Пенал"),"560",IF(Прайс[[#This Row],[Тип]]="Верхний",315,0))</f>
        <v>560</v>
      </c>
      <c r="BV66" s="28">
        <v>1.08</v>
      </c>
      <c r="BW66" s="28">
        <v>1.0649999999999999</v>
      </c>
      <c r="BX66" s="28">
        <v>1.3</v>
      </c>
      <c r="BY66" s="345">
        <v>2</v>
      </c>
      <c r="BZ66" s="345">
        <v>2</v>
      </c>
      <c r="CA66" s="345" t="s">
        <v>87</v>
      </c>
      <c r="CB66" s="346" t="s">
        <v>818</v>
      </c>
      <c r="CC66" s="345">
        <v>2</v>
      </c>
      <c r="CD66" s="345" t="s">
        <v>87</v>
      </c>
    </row>
    <row r="67" spans="1:84" ht="15" customHeight="1" x14ac:dyDescent="0.25">
      <c r="A67" s="349" t="s">
        <v>46</v>
      </c>
      <c r="B67" s="343" t="s">
        <v>9</v>
      </c>
      <c r="C67" s="343" t="s">
        <v>178</v>
      </c>
      <c r="D67" s="343" t="s">
        <v>89</v>
      </c>
      <c r="E67" s="343" t="s">
        <v>87</v>
      </c>
      <c r="F67" s="343" t="s">
        <v>144</v>
      </c>
      <c r="G67" s="348">
        <v>1220</v>
      </c>
      <c r="H67" s="348">
        <v>1500</v>
      </c>
      <c r="I67" s="348">
        <v>150</v>
      </c>
      <c r="J67" s="348">
        <v>600</v>
      </c>
      <c r="K67" s="348">
        <v>300</v>
      </c>
      <c r="L67" s="348">
        <v>640</v>
      </c>
      <c r="M67" s="1"/>
      <c r="N67" s="269"/>
      <c r="O67" s="251">
        <v>5205.6000000000004</v>
      </c>
      <c r="P67" s="251">
        <v>740</v>
      </c>
      <c r="Q67" s="25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>
        <f>'комплекты фурнитуры'!$Q$26*2</f>
        <v>540</v>
      </c>
      <c r="AF67" s="1"/>
      <c r="AG67" s="1"/>
      <c r="AH67" s="29">
        <f>SUM(Прайс[[#This Row],[КФ НСТ11]:[KFPr-SB-ZPG]])</f>
        <v>1280</v>
      </c>
      <c r="AI67" s="29"/>
      <c r="AJ67" s="1"/>
      <c r="AK67" s="1"/>
      <c r="AL67" s="264">
        <f>'комплекты фурнитуры'!$Q$92</f>
        <v>290</v>
      </c>
      <c r="AM67" s="29">
        <f>'комплекты фурнитуры'!$Q$68</f>
        <v>500</v>
      </c>
      <c r="AN67" s="265"/>
      <c r="AO67" s="29"/>
      <c r="AP67" s="29"/>
      <c r="AQ67" s="29"/>
      <c r="AR67" s="29"/>
      <c r="AS67" s="29"/>
      <c r="AT67" s="29"/>
      <c r="AU67" s="29"/>
      <c r="AV67" s="29"/>
      <c r="AW67" s="265"/>
      <c r="AX67" s="29"/>
      <c r="AY67" s="265"/>
      <c r="AZ67" s="29"/>
      <c r="BA67" s="29"/>
      <c r="BB67" s="265"/>
      <c r="BC67" s="265"/>
      <c r="BD67" s="265"/>
      <c r="BE67" s="265"/>
      <c r="BF67" s="265"/>
      <c r="BG67" s="265"/>
      <c r="BH67" s="265"/>
      <c r="BI67" s="265"/>
      <c r="BJ67" s="29"/>
      <c r="BK67" s="29"/>
      <c r="BL67" s="29"/>
      <c r="BM67" s="29"/>
      <c r="BN67" s="29"/>
      <c r="BO67" s="29"/>
      <c r="BP67" s="28">
        <f>Прайс[[#This Row],[КФ KEKU]]*4+Прайс[[#This Row],[КФ петли SENS накл.110 гр. с крестообр. Планкой]]*3</f>
        <v>2660</v>
      </c>
      <c r="BQ67" s="28">
        <v>0</v>
      </c>
      <c r="BR67" s="28">
        <v>0</v>
      </c>
      <c r="BS67" s="1">
        <v>600</v>
      </c>
      <c r="BT67" s="1">
        <v>1320</v>
      </c>
      <c r="BU67" s="1" t="str">
        <f>IF(OR(Прайс[[#This Row],[Тип]]="Нижний",Прайс[[#This Row],[Тип]]="Пенал"),"560",IF(Прайс[[#This Row],[Тип]]="Верхний",315,0))</f>
        <v>560</v>
      </c>
      <c r="BV67" s="28">
        <v>1.08</v>
      </c>
      <c r="BW67" s="28">
        <v>1.0649999999999999</v>
      </c>
      <c r="BX67" s="28">
        <v>1.3</v>
      </c>
      <c r="BY67" s="345">
        <v>2</v>
      </c>
      <c r="BZ67" s="345">
        <v>2</v>
      </c>
      <c r="CA67" s="345" t="s">
        <v>10</v>
      </c>
      <c r="CB67" s="346" t="s">
        <v>819</v>
      </c>
      <c r="CC67" s="345">
        <v>2</v>
      </c>
      <c r="CD67" s="345" t="s">
        <v>87</v>
      </c>
    </row>
    <row r="68" spans="1:84" ht="15" customHeight="1" x14ac:dyDescent="0.25">
      <c r="A68" s="349" t="s">
        <v>864</v>
      </c>
      <c r="B68" s="343" t="s">
        <v>9</v>
      </c>
      <c r="C68" s="343" t="s">
        <v>866</v>
      </c>
      <c r="D68" s="343" t="s">
        <v>89</v>
      </c>
      <c r="E68" s="343" t="s">
        <v>10</v>
      </c>
      <c r="F68" s="343" t="s">
        <v>153</v>
      </c>
      <c r="G68" s="348">
        <v>1187</v>
      </c>
      <c r="H68" s="348">
        <v>1187</v>
      </c>
      <c r="I68" s="348">
        <v>600</v>
      </c>
      <c r="J68" s="348">
        <v>600</v>
      </c>
      <c r="K68" s="348">
        <v>560</v>
      </c>
      <c r="L68" s="348">
        <v>560</v>
      </c>
      <c r="M68" s="1"/>
      <c r="N68" s="269" t="s">
        <v>81</v>
      </c>
      <c r="O68" s="251">
        <v>4820</v>
      </c>
      <c r="P68" s="251"/>
      <c r="Q68" s="251"/>
      <c r="R68" s="1"/>
      <c r="S68" s="1"/>
      <c r="T68" s="1"/>
      <c r="U68" s="1"/>
      <c r="V68" s="1"/>
      <c r="W68" s="1"/>
      <c r="X68" s="1"/>
      <c r="Y68" s="1">
        <f>'комплекты фурнитуры'!$Q$20</f>
        <v>740</v>
      </c>
      <c r="Z68" s="1"/>
      <c r="AA68" s="1"/>
      <c r="AB68" s="1"/>
      <c r="AC68" s="1"/>
      <c r="AD68" s="1"/>
      <c r="AE68" s="1">
        <f>'комплекты фурнитуры'!$Q$26*2</f>
        <v>540</v>
      </c>
      <c r="AF68" s="1"/>
      <c r="AG68" s="1"/>
      <c r="AH68" s="29">
        <f>SUM(Прайс[[#This Row],[КФ НСТ11]:[KFPr-SB-ZPG]])</f>
        <v>1280</v>
      </c>
      <c r="AI68" s="29"/>
      <c r="AJ68" s="1"/>
      <c r="AK68" s="1"/>
      <c r="AL68" s="264"/>
      <c r="AM68" s="29">
        <f>'комплекты фурнитуры'!$Q$68</f>
        <v>500</v>
      </c>
      <c r="AN68" s="29">
        <f>'комплекты фурнитуры'!$Q$69</f>
        <v>130</v>
      </c>
      <c r="AO68" s="29"/>
      <c r="AP68" s="29"/>
      <c r="AQ68" s="29"/>
      <c r="AR68" s="29"/>
      <c r="AS68" s="29"/>
      <c r="AT68" s="29"/>
      <c r="AU68" s="29"/>
      <c r="AV68" s="29"/>
      <c r="AW68" s="265"/>
      <c r="AX68" s="29"/>
      <c r="AY68" s="265"/>
      <c r="AZ68" s="29"/>
      <c r="BA68" s="29"/>
      <c r="BB68" s="265"/>
      <c r="BC68" s="265"/>
      <c r="BD68" s="265"/>
      <c r="BE68" s="265"/>
      <c r="BF68" s="265"/>
      <c r="BG68" s="265"/>
      <c r="BH68" s="265"/>
      <c r="BI68" s="265"/>
      <c r="BJ68" s="29"/>
      <c r="BK68" s="29"/>
      <c r="BL68" s="29"/>
      <c r="BM68" s="29"/>
      <c r="BN68" s="29"/>
      <c r="BO68" s="29"/>
      <c r="BP68" s="28">
        <f>Прайс[[#This Row],[КФ петли SENS накл.110 гр. с крестообр. Планкой]]*2</f>
        <v>1000</v>
      </c>
      <c r="BQ68" s="28">
        <f>Прайс[[#This Row],[KFP-SB-N110]]*2</f>
        <v>260</v>
      </c>
      <c r="BR68" s="28">
        <f>Прайс[[#This Row],[KFP-SB-N110]]*2</f>
        <v>260</v>
      </c>
      <c r="BS68" s="1">
        <v>600</v>
      </c>
      <c r="BT68" s="1">
        <v>1320</v>
      </c>
      <c r="BU68" s="1" t="str">
        <f>IF(OR(Прайс[[#This Row],[Тип]]="Нижний",Прайс[[#This Row],[Тип]]="Пенал"),"560",IF(Прайс[[#This Row],[Тип]]="Верхний",315,0))</f>
        <v>560</v>
      </c>
      <c r="BV68" s="28">
        <v>1.08</v>
      </c>
      <c r="BW68" s="28">
        <v>1.0649999999999999</v>
      </c>
      <c r="BX68" s="28">
        <v>1.3</v>
      </c>
      <c r="BY68" s="345">
        <v>1</v>
      </c>
      <c r="BZ68" s="345">
        <v>1</v>
      </c>
      <c r="CA68" s="345" t="s">
        <v>87</v>
      </c>
      <c r="CB68" s="346" t="s">
        <v>818</v>
      </c>
      <c r="CC68" s="345">
        <v>1</v>
      </c>
      <c r="CD68" s="345" t="s">
        <v>10</v>
      </c>
    </row>
    <row r="69" spans="1:84" ht="15" customHeight="1" x14ac:dyDescent="0.25">
      <c r="A69" s="349" t="s">
        <v>865</v>
      </c>
      <c r="B69" s="343" t="s">
        <v>9</v>
      </c>
      <c r="C69" s="343" t="s">
        <v>867</v>
      </c>
      <c r="D69" s="343" t="s">
        <v>89</v>
      </c>
      <c r="E69" s="343" t="s">
        <v>10</v>
      </c>
      <c r="F69" s="343" t="s">
        <v>153</v>
      </c>
      <c r="G69" s="348">
        <v>1320</v>
      </c>
      <c r="H69" s="348">
        <v>1320</v>
      </c>
      <c r="I69" s="348">
        <v>600</v>
      </c>
      <c r="J69" s="348">
        <v>600</v>
      </c>
      <c r="K69" s="348">
        <v>560</v>
      </c>
      <c r="L69" s="348">
        <v>560</v>
      </c>
      <c r="M69" s="1"/>
      <c r="N69" s="269" t="s">
        <v>81</v>
      </c>
      <c r="O69" s="251">
        <v>4820</v>
      </c>
      <c r="P69" s="251"/>
      <c r="Q69" s="251"/>
      <c r="R69" s="1"/>
      <c r="S69" s="1"/>
      <c r="T69" s="1"/>
      <c r="U69" s="1"/>
      <c r="V69" s="1"/>
      <c r="W69" s="1"/>
      <c r="X69" s="1"/>
      <c r="Y69" s="1">
        <f>'комплекты фурнитуры'!$Q$20</f>
        <v>740</v>
      </c>
      <c r="Z69" s="1"/>
      <c r="AA69" s="1"/>
      <c r="AB69" s="1"/>
      <c r="AC69" s="1"/>
      <c r="AD69" s="1"/>
      <c r="AE69" s="1">
        <f>'комплекты фурнитуры'!$Q$26*2</f>
        <v>540</v>
      </c>
      <c r="AF69" s="1"/>
      <c r="AG69" s="1"/>
      <c r="AH69" s="29">
        <f>SUM(Прайс[[#This Row],[КФ НСТ11]:[KFPr-SB-ZPG]])</f>
        <v>1280</v>
      </c>
      <c r="AI69" s="29"/>
      <c r="AJ69" s="1"/>
      <c r="AK69" s="1"/>
      <c r="AL69" s="264"/>
      <c r="AM69" s="29">
        <f>'комплекты фурнитуры'!$Q$68</f>
        <v>500</v>
      </c>
      <c r="AN69" s="29">
        <f>'комплекты фурнитуры'!$Q$69</f>
        <v>130</v>
      </c>
      <c r="AO69" s="29"/>
      <c r="AP69" s="29"/>
      <c r="AQ69" s="29"/>
      <c r="AR69" s="29"/>
      <c r="AS69" s="29"/>
      <c r="AT69" s="29"/>
      <c r="AU69" s="29"/>
      <c r="AV69" s="29"/>
      <c r="AW69" s="265"/>
      <c r="AX69" s="29"/>
      <c r="AY69" s="265"/>
      <c r="AZ69" s="29"/>
      <c r="BA69" s="29"/>
      <c r="BB69" s="265"/>
      <c r="BC69" s="265"/>
      <c r="BD69" s="265"/>
      <c r="BE69" s="265"/>
      <c r="BF69" s="265"/>
      <c r="BG69" s="265"/>
      <c r="BH69" s="265"/>
      <c r="BI69" s="265"/>
      <c r="BJ69" s="29"/>
      <c r="BK69" s="29"/>
      <c r="BL69" s="29"/>
      <c r="BM69" s="29"/>
      <c r="BN69" s="29"/>
      <c r="BO69" s="29"/>
      <c r="BP69" s="28">
        <f>Прайс[[#This Row],[КФ петли SENS накл.110 гр. с крестообр. Планкой]]*2</f>
        <v>1000</v>
      </c>
      <c r="BQ69" s="28">
        <f>Прайс[[#This Row],[KFP-SB-N110]]*2</f>
        <v>260</v>
      </c>
      <c r="BR69" s="28">
        <f>Прайс[[#This Row],[KFP-SB-N110]]*2</f>
        <v>260</v>
      </c>
      <c r="BS69" s="1">
        <v>600</v>
      </c>
      <c r="BT69" s="1">
        <v>1320</v>
      </c>
      <c r="BU69" s="1" t="str">
        <f>IF(OR(Прайс[[#This Row],[Тип]]="Нижний",Прайс[[#This Row],[Тип]]="Пенал"),"560",IF(Прайс[[#This Row],[Тип]]="Верхний",315,0))</f>
        <v>560</v>
      </c>
      <c r="BV69" s="28">
        <v>1.08</v>
      </c>
      <c r="BW69" s="28">
        <v>1.0649999999999999</v>
      </c>
      <c r="BX69" s="28">
        <v>1.3</v>
      </c>
      <c r="BY69" s="345">
        <v>1</v>
      </c>
      <c r="BZ69" s="345">
        <v>1</v>
      </c>
      <c r="CA69" s="345" t="s">
        <v>87</v>
      </c>
      <c r="CB69" s="346" t="s">
        <v>818</v>
      </c>
      <c r="CC69" s="345">
        <v>1</v>
      </c>
      <c r="CD69" s="345" t="s">
        <v>10</v>
      </c>
    </row>
    <row r="70" spans="1:84" ht="15" customHeight="1" x14ac:dyDescent="0.25">
      <c r="A70" s="350" t="s">
        <v>868</v>
      </c>
      <c r="B70" s="343" t="s">
        <v>9</v>
      </c>
      <c r="C70" s="343" t="s">
        <v>871</v>
      </c>
      <c r="D70" s="343" t="s">
        <v>89</v>
      </c>
      <c r="E70" s="343" t="s">
        <v>10</v>
      </c>
      <c r="F70" s="343" t="s">
        <v>153</v>
      </c>
      <c r="G70" s="348">
        <v>760</v>
      </c>
      <c r="H70" s="348">
        <v>760</v>
      </c>
      <c r="I70" s="348">
        <v>600</v>
      </c>
      <c r="J70" s="348">
        <v>600</v>
      </c>
      <c r="K70" s="348">
        <v>560</v>
      </c>
      <c r="L70" s="348">
        <v>560</v>
      </c>
      <c r="M70" s="1"/>
      <c r="N70" s="269" t="s">
        <v>82</v>
      </c>
      <c r="O70" s="251">
        <v>5170</v>
      </c>
      <c r="P70" s="251"/>
      <c r="Q70" s="251"/>
      <c r="R70" s="1"/>
      <c r="S70" s="1"/>
      <c r="T70" s="1"/>
      <c r="U70" s="1"/>
      <c r="V70" s="1"/>
      <c r="W70" s="1"/>
      <c r="X70" s="1"/>
      <c r="Y70" s="1">
        <f>'комплекты фурнитуры'!$Q$20</f>
        <v>740</v>
      </c>
      <c r="Z70" s="1"/>
      <c r="AA70" s="1"/>
      <c r="AB70" s="1"/>
      <c r="AC70" s="1"/>
      <c r="AD70" s="1"/>
      <c r="AE70" s="1">
        <f>'комплекты фурнитуры'!$Q$26*2</f>
        <v>540</v>
      </c>
      <c r="AF70" s="1"/>
      <c r="AG70" s="1"/>
      <c r="AH70" s="29">
        <f>SUM(Прайс[[#This Row],[КФ НСТ11]:[KFPr-SB-ZPG]])</f>
        <v>1280</v>
      </c>
      <c r="AI70" s="29"/>
      <c r="AJ70" s="1"/>
      <c r="AK70" s="1"/>
      <c r="AL70" s="264"/>
      <c r="AM70" s="265"/>
      <c r="AN70" s="265"/>
      <c r="AO70" s="29"/>
      <c r="AP70" s="29"/>
      <c r="AQ70" s="29"/>
      <c r="AR70" s="29"/>
      <c r="AS70" s="29"/>
      <c r="AT70" s="29"/>
      <c r="AU70" s="29"/>
      <c r="AV70" s="29"/>
      <c r="AW70" s="265"/>
      <c r="AX70" s="29"/>
      <c r="AY70" s="265"/>
      <c r="AZ70" s="29"/>
      <c r="BA70" s="29"/>
      <c r="BB70" s="265"/>
      <c r="BC70" s="29">
        <f>'комплекты фурнитуры'!$Q$30</f>
        <v>5810</v>
      </c>
      <c r="BD70" s="265"/>
      <c r="BE70" s="29">
        <f>'комплекты фурнитуры'!$Q$33</f>
        <v>940</v>
      </c>
      <c r="BF70" s="29">
        <f>'комплекты фурнитуры'!$Q$35</f>
        <v>170</v>
      </c>
      <c r="BG70" s="265"/>
      <c r="BH70" s="29"/>
      <c r="BI70" s="29">
        <f>'комплекты фурнитуры'!$Q$38</f>
        <v>6440</v>
      </c>
      <c r="BJ70" s="29"/>
      <c r="BK70" s="29"/>
      <c r="BL70" s="29"/>
      <c r="BM70" s="29"/>
      <c r="BN70" s="29"/>
      <c r="BO70" s="29"/>
      <c r="BP70" s="28">
        <f>Прайс[[#This Row],[KFN-SB-DWD95R]]</f>
        <v>5810</v>
      </c>
      <c r="BQ70" s="28">
        <f>Прайс[[#This Row],[KFN-SB-M15]]+Прайс[[#This Row],[KFN-SB-MD]]</f>
        <v>1110</v>
      </c>
      <c r="BR70" s="28">
        <f>Прайс[[#This Row],[Комплект ящика INNOTECH ATIRA полного выдв. с  PUSH TO OPEN , Н70,NL470,цвет серебристый]]</f>
        <v>6440</v>
      </c>
      <c r="BS70" s="1">
        <v>600</v>
      </c>
      <c r="BT70" s="1">
        <v>1320</v>
      </c>
      <c r="BU70" s="1" t="str">
        <f>IF(OR(Прайс[[#This Row],[Тип]]="Нижний",Прайс[[#This Row],[Тип]]="Пенал"),"560",IF(Прайс[[#This Row],[Тип]]="Верхний",315,0))</f>
        <v>560</v>
      </c>
      <c r="BV70" s="28">
        <v>1.08</v>
      </c>
      <c r="BW70" s="28">
        <v>1.0649999999999999</v>
      </c>
      <c r="BX70" s="28">
        <v>0</v>
      </c>
      <c r="BY70" s="345">
        <v>0</v>
      </c>
      <c r="BZ70" s="345">
        <v>0</v>
      </c>
      <c r="CA70" s="345" t="s">
        <v>10</v>
      </c>
      <c r="CB70" s="346" t="s">
        <v>820</v>
      </c>
      <c r="CC70" s="345">
        <v>0</v>
      </c>
      <c r="CD70" s="345" t="s">
        <v>10</v>
      </c>
    </row>
    <row r="71" spans="1:84" ht="15" customHeight="1" x14ac:dyDescent="0.25">
      <c r="A71" s="350" t="s">
        <v>869</v>
      </c>
      <c r="B71" s="343" t="s">
        <v>9</v>
      </c>
      <c r="C71" s="343" t="s">
        <v>872</v>
      </c>
      <c r="D71" s="343" t="s">
        <v>89</v>
      </c>
      <c r="E71" s="343" t="s">
        <v>10</v>
      </c>
      <c r="F71" s="343" t="s">
        <v>153</v>
      </c>
      <c r="G71" s="348">
        <v>834</v>
      </c>
      <c r="H71" s="348">
        <v>834</v>
      </c>
      <c r="I71" s="348">
        <v>600</v>
      </c>
      <c r="J71" s="348">
        <v>600</v>
      </c>
      <c r="K71" s="348">
        <v>560</v>
      </c>
      <c r="L71" s="348">
        <v>560</v>
      </c>
      <c r="M71" s="1"/>
      <c r="N71" s="269" t="s">
        <v>82</v>
      </c>
      <c r="O71" s="251">
        <v>5170</v>
      </c>
      <c r="P71" s="251"/>
      <c r="Q71" s="251"/>
      <c r="R71" s="1"/>
      <c r="S71" s="1"/>
      <c r="T71" s="1"/>
      <c r="U71" s="1"/>
      <c r="V71" s="1"/>
      <c r="W71" s="1"/>
      <c r="X71" s="1"/>
      <c r="Y71" s="1">
        <f>'комплекты фурнитуры'!$Q$20</f>
        <v>740</v>
      </c>
      <c r="Z71" s="1"/>
      <c r="AA71" s="1"/>
      <c r="AB71" s="1"/>
      <c r="AC71" s="1"/>
      <c r="AD71" s="1"/>
      <c r="AE71" s="1">
        <f>'комплекты фурнитуры'!$Q$26*2</f>
        <v>540</v>
      </c>
      <c r="AF71" s="1"/>
      <c r="AG71" s="1"/>
      <c r="AH71" s="29">
        <f>SUM(Прайс[[#This Row],[КФ НСТ11]:[KFPr-SB-ZPG]])</f>
        <v>1280</v>
      </c>
      <c r="AI71" s="29"/>
      <c r="AJ71" s="1"/>
      <c r="AK71" s="1"/>
      <c r="AL71" s="264"/>
      <c r="AM71" s="265"/>
      <c r="AN71" s="265"/>
      <c r="AO71" s="29"/>
      <c r="AP71" s="29"/>
      <c r="AQ71" s="29"/>
      <c r="AR71" s="29"/>
      <c r="AS71" s="29"/>
      <c r="AT71" s="29"/>
      <c r="AU71" s="29"/>
      <c r="AV71" s="29"/>
      <c r="AW71" s="265"/>
      <c r="AX71" s="29"/>
      <c r="AY71" s="265"/>
      <c r="AZ71" s="29"/>
      <c r="BA71" s="29"/>
      <c r="BB71" s="265"/>
      <c r="BC71" s="29">
        <f>'комплекты фурнитуры'!$Q$30</f>
        <v>5810</v>
      </c>
      <c r="BD71" s="265"/>
      <c r="BE71" s="29">
        <f>'комплекты фурнитуры'!$Q$33</f>
        <v>940</v>
      </c>
      <c r="BF71" s="29">
        <f>'комплекты фурнитуры'!$Q$35</f>
        <v>170</v>
      </c>
      <c r="BG71" s="265"/>
      <c r="BH71" s="29"/>
      <c r="BI71" s="29">
        <f>'комплекты фурнитуры'!$Q$38</f>
        <v>6440</v>
      </c>
      <c r="BJ71" s="29"/>
      <c r="BK71" s="29"/>
      <c r="BL71" s="29"/>
      <c r="BM71" s="29"/>
      <c r="BN71" s="29"/>
      <c r="BO71" s="29"/>
      <c r="BP71" s="28">
        <f>Прайс[[#This Row],[KFN-SB-DWD95R]]</f>
        <v>5810</v>
      </c>
      <c r="BQ71" s="28">
        <f>Прайс[[#This Row],[KFN-SB-M15]]+Прайс[[#This Row],[KFN-SB-MD]]</f>
        <v>1110</v>
      </c>
      <c r="BR71" s="28">
        <f>Прайс[[#This Row],[Комплект ящика INNOTECH ATIRA полного выдв. с  PUSH TO OPEN , Н70,NL470,цвет серебристый]]</f>
        <v>6440</v>
      </c>
      <c r="BS71" s="1">
        <v>600</v>
      </c>
      <c r="BT71" s="1">
        <v>1320</v>
      </c>
      <c r="BU71" s="1" t="str">
        <f>IF(OR(Прайс[[#This Row],[Тип]]="Нижний",Прайс[[#This Row],[Тип]]="Пенал"),"560",IF(Прайс[[#This Row],[Тип]]="Верхний",315,0))</f>
        <v>560</v>
      </c>
      <c r="BV71" s="28">
        <v>1.08</v>
      </c>
      <c r="BW71" s="28">
        <v>1.0649999999999999</v>
      </c>
      <c r="BX71" s="28">
        <v>0</v>
      </c>
      <c r="BY71" s="345">
        <v>0</v>
      </c>
      <c r="BZ71" s="345">
        <v>0</v>
      </c>
      <c r="CA71" s="345" t="s">
        <v>10</v>
      </c>
      <c r="CB71" s="346" t="s">
        <v>820</v>
      </c>
      <c r="CC71" s="345">
        <v>0</v>
      </c>
      <c r="CD71" s="345" t="s">
        <v>10</v>
      </c>
    </row>
    <row r="72" spans="1:84" ht="15" customHeight="1" x14ac:dyDescent="0.25">
      <c r="A72" s="350" t="s">
        <v>870</v>
      </c>
      <c r="B72" s="343" t="s">
        <v>9</v>
      </c>
      <c r="C72" s="343" t="s">
        <v>873</v>
      </c>
      <c r="D72" s="343" t="s">
        <v>89</v>
      </c>
      <c r="E72" s="343" t="s">
        <v>10</v>
      </c>
      <c r="F72" s="343" t="s">
        <v>153</v>
      </c>
      <c r="G72" s="348">
        <v>963</v>
      </c>
      <c r="H72" s="348">
        <v>963</v>
      </c>
      <c r="I72" s="348">
        <v>600</v>
      </c>
      <c r="J72" s="348">
        <v>600</v>
      </c>
      <c r="K72" s="348">
        <v>560</v>
      </c>
      <c r="L72" s="348">
        <v>560</v>
      </c>
      <c r="M72" s="1"/>
      <c r="N72" s="269" t="s">
        <v>82</v>
      </c>
      <c r="O72" s="251">
        <v>5170</v>
      </c>
      <c r="P72" s="251"/>
      <c r="Q72" s="251"/>
      <c r="R72" s="1"/>
      <c r="S72" s="1"/>
      <c r="T72" s="1"/>
      <c r="U72" s="1"/>
      <c r="V72" s="1"/>
      <c r="W72" s="1"/>
      <c r="X72" s="1"/>
      <c r="Y72" s="1">
        <f>'комплекты фурнитуры'!$Q$20</f>
        <v>740</v>
      </c>
      <c r="Z72" s="1"/>
      <c r="AA72" s="1"/>
      <c r="AB72" s="1"/>
      <c r="AC72" s="1"/>
      <c r="AD72" s="1"/>
      <c r="AE72" s="1">
        <f>'комплекты фурнитуры'!$Q$26*2</f>
        <v>540</v>
      </c>
      <c r="AF72" s="1"/>
      <c r="AG72" s="1"/>
      <c r="AH72" s="29">
        <f>SUM(Прайс[[#This Row],[КФ НСТ11]:[KFPr-SB-ZPG]])</f>
        <v>1280</v>
      </c>
      <c r="AI72" s="29"/>
      <c r="AJ72" s="1"/>
      <c r="AK72" s="1"/>
      <c r="AL72" s="264"/>
      <c r="AM72" s="265"/>
      <c r="AN72" s="265"/>
      <c r="AO72" s="29"/>
      <c r="AP72" s="29"/>
      <c r="AQ72" s="29"/>
      <c r="AR72" s="29"/>
      <c r="AS72" s="29"/>
      <c r="AT72" s="29"/>
      <c r="AU72" s="29"/>
      <c r="AV72" s="29"/>
      <c r="AW72" s="265"/>
      <c r="AX72" s="29"/>
      <c r="AY72" s="265"/>
      <c r="AZ72" s="29"/>
      <c r="BA72" s="29"/>
      <c r="BB72" s="265"/>
      <c r="BC72" s="29">
        <f>'комплекты фурнитуры'!$Q$30</f>
        <v>5810</v>
      </c>
      <c r="BD72" s="265"/>
      <c r="BE72" s="29">
        <f>'комплекты фурнитуры'!$Q$33</f>
        <v>940</v>
      </c>
      <c r="BF72" s="29">
        <f>'комплекты фурнитуры'!$Q$35</f>
        <v>170</v>
      </c>
      <c r="BG72" s="265"/>
      <c r="BH72" s="29"/>
      <c r="BI72" s="29">
        <f>'комплекты фурнитуры'!$Q$38</f>
        <v>6440</v>
      </c>
      <c r="BJ72" s="29"/>
      <c r="BK72" s="29"/>
      <c r="BL72" s="29"/>
      <c r="BM72" s="29"/>
      <c r="BN72" s="29"/>
      <c r="BO72" s="29"/>
      <c r="BP72" s="28">
        <f>Прайс[[#This Row],[KFN-SB-DWD95R]]</f>
        <v>5810</v>
      </c>
      <c r="BQ72" s="28">
        <f>Прайс[[#This Row],[KFN-SB-M15]]+Прайс[[#This Row],[KFN-SB-MD]]</f>
        <v>1110</v>
      </c>
      <c r="BR72" s="28">
        <f>Прайс[[#This Row],[Комплект ящика INNOTECH ATIRA полного выдв. с  PUSH TO OPEN , Н70,NL470,цвет серебристый]]</f>
        <v>6440</v>
      </c>
      <c r="BS72" s="1">
        <v>600</v>
      </c>
      <c r="BT72" s="1">
        <v>1320</v>
      </c>
      <c r="BU72" s="1" t="str">
        <f>IF(OR(Прайс[[#This Row],[Тип]]="Нижний",Прайс[[#This Row],[Тип]]="Пенал"),"560",IF(Прайс[[#This Row],[Тип]]="Верхний",315,0))</f>
        <v>560</v>
      </c>
      <c r="BV72" s="28">
        <v>1.08</v>
      </c>
      <c r="BW72" s="28">
        <v>1.0649999999999999</v>
      </c>
      <c r="BX72" s="28">
        <v>0</v>
      </c>
      <c r="BY72" s="345">
        <v>0</v>
      </c>
      <c r="BZ72" s="345">
        <v>0</v>
      </c>
      <c r="CA72" s="345" t="s">
        <v>10</v>
      </c>
      <c r="CB72" s="346" t="s">
        <v>820</v>
      </c>
      <c r="CC72" s="345">
        <v>0</v>
      </c>
      <c r="CD72" s="345" t="s">
        <v>10</v>
      </c>
    </row>
    <row r="73" spans="1:84" ht="15" customHeight="1" x14ac:dyDescent="0.25">
      <c r="A73" s="349" t="s">
        <v>49</v>
      </c>
      <c r="B73" s="343" t="s">
        <v>9</v>
      </c>
      <c r="C73" s="343" t="s">
        <v>907</v>
      </c>
      <c r="D73" s="343" t="s">
        <v>89</v>
      </c>
      <c r="E73" s="343" t="s">
        <v>10</v>
      </c>
      <c r="F73" s="343" t="s">
        <v>144</v>
      </c>
      <c r="G73" s="348">
        <v>2000</v>
      </c>
      <c r="H73" s="348">
        <v>2280</v>
      </c>
      <c r="I73" s="348">
        <v>150</v>
      </c>
      <c r="J73" s="348">
        <v>600</v>
      </c>
      <c r="K73" s="348">
        <v>300</v>
      </c>
      <c r="L73" s="348">
        <v>640</v>
      </c>
      <c r="M73" s="1"/>
      <c r="N73" s="269"/>
      <c r="O73" s="251">
        <v>6460</v>
      </c>
      <c r="P73" s="251"/>
      <c r="Q73" s="251"/>
      <c r="R73" s="1"/>
      <c r="S73" s="1"/>
      <c r="T73" s="1"/>
      <c r="U73" s="1"/>
      <c r="V73" s="1"/>
      <c r="W73" s="1"/>
      <c r="X73" s="1"/>
      <c r="Y73" s="1">
        <f>'комплекты фурнитуры'!$Q$20</f>
        <v>740</v>
      </c>
      <c r="Z73" s="1"/>
      <c r="AA73" s="1"/>
      <c r="AB73" s="1"/>
      <c r="AC73" s="1"/>
      <c r="AD73" s="1"/>
      <c r="AE73" s="1">
        <f>'комплекты фурнитуры'!$Q$26*2</f>
        <v>540</v>
      </c>
      <c r="AF73" s="1"/>
      <c r="AG73" s="1"/>
      <c r="AH73" s="29">
        <f>SUM(Прайс[[#This Row],[КФ НСТ11]:[KFPr-SB-ZPG]])</f>
        <v>1280</v>
      </c>
      <c r="AI73" s="29"/>
      <c r="AJ73" s="1"/>
      <c r="AK73" s="1"/>
      <c r="AL73" s="264"/>
      <c r="AM73" s="29">
        <f>'комплекты фурнитуры'!$Q$68</f>
        <v>500</v>
      </c>
      <c r="AN73" s="29">
        <f>'комплекты фурнитуры'!$Q$69</f>
        <v>130</v>
      </c>
      <c r="AO73" s="29"/>
      <c r="AP73" s="29"/>
      <c r="AQ73" s="29"/>
      <c r="AR73" s="29"/>
      <c r="AS73" s="29"/>
      <c r="AT73" s="29"/>
      <c r="AU73" s="29"/>
      <c r="AV73" s="29"/>
      <c r="AW73" s="265"/>
      <c r="AX73" s="29"/>
      <c r="AY73" s="265"/>
      <c r="AZ73" s="29"/>
      <c r="BA73" s="29"/>
      <c r="BB73" s="265"/>
      <c r="BC73" s="265"/>
      <c r="BD73" s="265"/>
      <c r="BE73" s="265"/>
      <c r="BF73" s="265"/>
      <c r="BG73" s="265"/>
      <c r="BH73" s="265"/>
      <c r="BI73" s="265"/>
      <c r="BJ73" s="29"/>
      <c r="BK73" s="29"/>
      <c r="BL73" s="29"/>
      <c r="BM73" s="29"/>
      <c r="BN73" s="29"/>
      <c r="BO73" s="29"/>
      <c r="BP73" s="28">
        <f>Прайс[[#This Row],[КФ петли SENS накл.110 гр. с крестообр. Планкой]]*5</f>
        <v>2500</v>
      </c>
      <c r="BQ73" s="28">
        <f>Прайс[[#This Row],[KFP-SB-N110]]*5</f>
        <v>650</v>
      </c>
      <c r="BR73" s="28">
        <f>Прайс[[#This Row],[KFP-SB-N110]]*5</f>
        <v>650</v>
      </c>
      <c r="BS73" s="1">
        <v>600</v>
      </c>
      <c r="BT73" s="1">
        <v>2040</v>
      </c>
      <c r="BU73" s="1" t="str">
        <f>IF(OR(Прайс[[#This Row],[Тип]]="Нижний",Прайс[[#This Row],[Тип]]="Пенал"),"560",IF(Прайс[[#This Row],[Тип]]="Верхний",315,0))</f>
        <v>560</v>
      </c>
      <c r="BV73" s="28">
        <v>1.08</v>
      </c>
      <c r="BW73" s="28">
        <v>1.0649999999999999</v>
      </c>
      <c r="BX73" s="28">
        <v>1.3</v>
      </c>
      <c r="BY73" s="345">
        <v>0</v>
      </c>
      <c r="BZ73" s="345">
        <v>4</v>
      </c>
      <c r="CA73" s="345" t="s">
        <v>87</v>
      </c>
      <c r="CB73" s="346" t="s">
        <v>818</v>
      </c>
      <c r="CC73" s="345">
        <v>4</v>
      </c>
      <c r="CD73" s="345" t="s">
        <v>87</v>
      </c>
      <c r="CF73" t="s">
        <v>874</v>
      </c>
    </row>
    <row r="74" spans="1:84" x14ac:dyDescent="0.25">
      <c r="A74" s="349" t="s">
        <v>140</v>
      </c>
      <c r="B74" s="343" t="s">
        <v>9</v>
      </c>
      <c r="C74" s="343" t="s">
        <v>177</v>
      </c>
      <c r="D74" s="343" t="s">
        <v>89</v>
      </c>
      <c r="E74" s="343" t="s">
        <v>87</v>
      </c>
      <c r="F74" s="343" t="s">
        <v>144</v>
      </c>
      <c r="G74" s="348">
        <v>2000</v>
      </c>
      <c r="H74" s="348">
        <v>2280</v>
      </c>
      <c r="I74" s="348">
        <v>150</v>
      </c>
      <c r="J74" s="348">
        <v>600</v>
      </c>
      <c r="K74" s="348">
        <v>300</v>
      </c>
      <c r="L74" s="348">
        <v>640</v>
      </c>
      <c r="M74" s="1"/>
      <c r="N74" s="269"/>
      <c r="O74" s="251">
        <v>6976.8</v>
      </c>
      <c r="P74" s="251">
        <v>740</v>
      </c>
      <c r="Q74" s="25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>
        <f>'комплекты фурнитуры'!$Q$26*2</f>
        <v>540</v>
      </c>
      <c r="AF74" s="1"/>
      <c r="AG74" s="1"/>
      <c r="AH74" s="29">
        <f>SUM(Прайс[[#This Row],[КФ НСТ11]:[KFPr-SB-ZPG]])</f>
        <v>1280</v>
      </c>
      <c r="AI74" s="29"/>
      <c r="AJ74" s="1"/>
      <c r="AK74" s="1"/>
      <c r="AL74" s="264">
        <f>'комплекты фурнитуры'!$Q$92</f>
        <v>290</v>
      </c>
      <c r="AM74" s="29">
        <f>'комплекты фурнитуры'!$Q$68</f>
        <v>500</v>
      </c>
      <c r="AN74" s="265"/>
      <c r="AO74" s="29"/>
      <c r="AP74" s="29"/>
      <c r="AQ74" s="29"/>
      <c r="AR74" s="29"/>
      <c r="AS74" s="29"/>
      <c r="AT74" s="29"/>
      <c r="AU74" s="29"/>
      <c r="AV74" s="29"/>
      <c r="AW74" s="265"/>
      <c r="AX74" s="29"/>
      <c r="AY74" s="265"/>
      <c r="AZ74" s="29"/>
      <c r="BA74" s="29"/>
      <c r="BB74" s="265"/>
      <c r="BC74" s="265"/>
      <c r="BD74" s="265"/>
      <c r="BE74" s="265"/>
      <c r="BF74" s="265"/>
      <c r="BG74" s="265"/>
      <c r="BH74" s="265"/>
      <c r="BI74" s="265"/>
      <c r="BJ74" s="29"/>
      <c r="BK74" s="29"/>
      <c r="BL74" s="29"/>
      <c r="BM74" s="29"/>
      <c r="BN74" s="29"/>
      <c r="BO74" s="29"/>
      <c r="BP74" s="28">
        <f>Прайс[[#This Row],[КФ KEKU]]*4+Прайс[[#This Row],[КФ петли SENS накл.110 гр. с крестообр. Планкой]]*5</f>
        <v>3660</v>
      </c>
      <c r="BQ74" s="28">
        <v>0</v>
      </c>
      <c r="BR74" s="28">
        <v>0</v>
      </c>
      <c r="BS74" s="1">
        <v>600</v>
      </c>
      <c r="BT74" s="1">
        <v>2040</v>
      </c>
      <c r="BU74" s="1" t="str">
        <f>IF(OR(Прайс[[#This Row],[Тип]]="Нижний",Прайс[[#This Row],[Тип]]="Пенал"),"560",IF(Прайс[[#This Row],[Тип]]="Верхний",315,0))</f>
        <v>560</v>
      </c>
      <c r="BV74" s="28">
        <v>1.08</v>
      </c>
      <c r="BW74" s="28">
        <v>1.0649999999999999</v>
      </c>
      <c r="BX74" s="28">
        <v>1.3</v>
      </c>
      <c r="BY74" s="345">
        <v>0</v>
      </c>
      <c r="BZ74" s="345">
        <v>4</v>
      </c>
      <c r="CA74" s="345" t="s">
        <v>10</v>
      </c>
      <c r="CB74" s="346" t="s">
        <v>819</v>
      </c>
      <c r="CC74" s="345">
        <v>4</v>
      </c>
      <c r="CD74" s="345" t="s">
        <v>87</v>
      </c>
    </row>
    <row r="75" spans="1:84" ht="15" customHeight="1" x14ac:dyDescent="0.25">
      <c r="A75" s="349" t="s">
        <v>50</v>
      </c>
      <c r="B75" s="343" t="s">
        <v>9</v>
      </c>
      <c r="C75" s="343" t="s">
        <v>121</v>
      </c>
      <c r="D75" s="343" t="s">
        <v>89</v>
      </c>
      <c r="E75" s="343" t="s">
        <v>10</v>
      </c>
      <c r="F75" s="343" t="s">
        <v>154</v>
      </c>
      <c r="G75" s="348">
        <v>2000</v>
      </c>
      <c r="H75" s="348">
        <v>2280</v>
      </c>
      <c r="I75" s="348">
        <v>600</v>
      </c>
      <c r="J75" s="348">
        <v>600</v>
      </c>
      <c r="K75" s="348">
        <v>560</v>
      </c>
      <c r="L75" s="348">
        <v>560</v>
      </c>
      <c r="M75" s="1"/>
      <c r="N75" s="269"/>
      <c r="O75" s="251">
        <v>5290</v>
      </c>
      <c r="P75" s="251"/>
      <c r="Q75" s="251"/>
      <c r="R75" s="1"/>
      <c r="S75" s="1"/>
      <c r="T75" s="1"/>
      <c r="U75" s="1"/>
      <c r="V75" s="1"/>
      <c r="W75" s="1"/>
      <c r="X75" s="1"/>
      <c r="Y75" s="1"/>
      <c r="Z75" s="1">
        <f>'комплекты фурнитуры'!$Q$21</f>
        <v>930</v>
      </c>
      <c r="AA75" s="1"/>
      <c r="AB75" s="1"/>
      <c r="AC75" s="1"/>
      <c r="AD75" s="1"/>
      <c r="AE75" s="1">
        <f>'комплекты фурнитуры'!$Q$26*2</f>
        <v>540</v>
      </c>
      <c r="AF75" s="1"/>
      <c r="AG75" s="1"/>
      <c r="AH75" s="29">
        <f>SUM(Прайс[[#This Row],[КФ НСТ11]:[KFPr-SB-ZPG]])</f>
        <v>1470</v>
      </c>
      <c r="AI75" s="29"/>
      <c r="AJ75" s="1"/>
      <c r="AK75" s="1"/>
      <c r="AL75" s="264"/>
      <c r="AM75" s="29">
        <f>'комплекты фурнитуры'!$Q$68</f>
        <v>500</v>
      </c>
      <c r="AN75" s="29">
        <f>'комплекты фурнитуры'!$Q$69</f>
        <v>130</v>
      </c>
      <c r="AO75" s="29"/>
      <c r="AP75" s="29"/>
      <c r="AQ75" s="29"/>
      <c r="AR75" s="29"/>
      <c r="AS75" s="29"/>
      <c r="AT75" s="29"/>
      <c r="AU75" s="29"/>
      <c r="AV75" s="29"/>
      <c r="AW75" s="265"/>
      <c r="AX75" s="29"/>
      <c r="AY75" s="265"/>
      <c r="AZ75" s="29"/>
      <c r="BA75" s="29"/>
      <c r="BB75" s="265"/>
      <c r="BC75" s="265"/>
      <c r="BD75" s="265"/>
      <c r="BE75" s="265"/>
      <c r="BF75" s="265"/>
      <c r="BG75" s="265"/>
      <c r="BH75" s="265"/>
      <c r="BI75" s="265"/>
      <c r="BJ75" s="29"/>
      <c r="BK75" s="29"/>
      <c r="BL75" s="29"/>
      <c r="BM75" s="29"/>
      <c r="BN75" s="29"/>
      <c r="BO75" s="29"/>
      <c r="BP75" s="28">
        <f>Прайс[[#This Row],[КФ петли SENS накл.110 гр. с крестообр. Планкой]]*5</f>
        <v>2500</v>
      </c>
      <c r="BQ75" s="28">
        <f>Прайс[[#This Row],[KFP-SB-N110]]*5</f>
        <v>650</v>
      </c>
      <c r="BR75" s="28">
        <v>0</v>
      </c>
      <c r="BS75" s="1">
        <v>600</v>
      </c>
      <c r="BT75" s="1">
        <v>2040</v>
      </c>
      <c r="BU75" s="1" t="str">
        <f>IF(OR(Прайс[[#This Row],[Тип]]="Нижний",Прайс[[#This Row],[Тип]]="Пенал"),"560",IF(Прайс[[#This Row],[Тип]]="Верхний",315,0))</f>
        <v>560</v>
      </c>
      <c r="BV75" s="28">
        <v>1.08</v>
      </c>
      <c r="BW75" s="28">
        <v>1.0649999999999999</v>
      </c>
      <c r="BX75" s="28">
        <v>1.3</v>
      </c>
      <c r="BY75" s="345">
        <v>0</v>
      </c>
      <c r="BZ75" s="345">
        <v>0</v>
      </c>
      <c r="CA75" s="345" t="s">
        <v>10</v>
      </c>
      <c r="CB75" s="346" t="s">
        <v>820</v>
      </c>
      <c r="CC75" s="345">
        <v>0</v>
      </c>
      <c r="CD75" s="345" t="s">
        <v>10</v>
      </c>
    </row>
    <row r="76" spans="1:84" ht="15" customHeight="1" x14ac:dyDescent="0.25">
      <c r="A76" s="349" t="s">
        <v>51</v>
      </c>
      <c r="B76" s="343" t="s">
        <v>9</v>
      </c>
      <c r="C76" s="343" t="s">
        <v>122</v>
      </c>
      <c r="D76" s="343" t="s">
        <v>89</v>
      </c>
      <c r="E76" s="343" t="s">
        <v>87</v>
      </c>
      <c r="F76" s="343" t="s">
        <v>154</v>
      </c>
      <c r="G76" s="348">
        <v>2000</v>
      </c>
      <c r="H76" s="348">
        <v>2280</v>
      </c>
      <c r="I76" s="348">
        <v>600</v>
      </c>
      <c r="J76" s="348">
        <v>600</v>
      </c>
      <c r="K76" s="348">
        <v>560</v>
      </c>
      <c r="L76" s="348">
        <v>560</v>
      </c>
      <c r="M76" s="1"/>
      <c r="N76" s="269"/>
      <c r="O76" s="251">
        <v>5713.2</v>
      </c>
      <c r="P76" s="251"/>
      <c r="Q76" s="251"/>
      <c r="R76" s="1"/>
      <c r="S76" s="1"/>
      <c r="T76" s="1"/>
      <c r="U76" s="1"/>
      <c r="V76" s="1"/>
      <c r="W76" s="1"/>
      <c r="X76" s="1"/>
      <c r="Y76" s="1"/>
      <c r="Z76" s="1">
        <f>'комплекты фурнитуры'!$Q$21</f>
        <v>930</v>
      </c>
      <c r="AA76" s="1"/>
      <c r="AB76" s="1"/>
      <c r="AC76" s="1"/>
      <c r="AD76" s="1"/>
      <c r="AE76" s="1">
        <f>'комплекты фурнитуры'!$Q$26*2</f>
        <v>540</v>
      </c>
      <c r="AF76" s="1"/>
      <c r="AG76" s="1"/>
      <c r="AH76" s="29">
        <f>SUM(Прайс[[#This Row],[КФ НСТ11]:[KFPr-SB-ZPG]])</f>
        <v>1470</v>
      </c>
      <c r="AI76" s="29"/>
      <c r="AJ76" s="1"/>
      <c r="AK76" s="1"/>
      <c r="AL76" s="264">
        <f>'комплекты фурнитуры'!$Q$92</f>
        <v>290</v>
      </c>
      <c r="AM76" s="29">
        <f>'комплекты фурнитуры'!$Q$68</f>
        <v>500</v>
      </c>
      <c r="AN76" s="265"/>
      <c r="AO76" s="29"/>
      <c r="AP76" s="29"/>
      <c r="AQ76" s="29"/>
      <c r="AR76" s="29"/>
      <c r="AS76" s="29"/>
      <c r="AT76" s="29"/>
      <c r="AU76" s="29"/>
      <c r="AV76" s="29"/>
      <c r="AW76" s="265"/>
      <c r="AX76" s="29"/>
      <c r="AY76" s="265"/>
      <c r="AZ76" s="29"/>
      <c r="BA76" s="29"/>
      <c r="BB76" s="265"/>
      <c r="BC76" s="265"/>
      <c r="BD76" s="265"/>
      <c r="BE76" s="265"/>
      <c r="BF76" s="265"/>
      <c r="BG76" s="265"/>
      <c r="BH76" s="265"/>
      <c r="BI76" s="265"/>
      <c r="BJ76" s="29"/>
      <c r="BK76" s="29"/>
      <c r="BL76" s="29"/>
      <c r="BM76" s="29"/>
      <c r="BN76" s="29"/>
      <c r="BO76" s="29"/>
      <c r="BP76" s="28">
        <f>Прайс[[#This Row],[КФ KEKU]]*4+Прайс[[#This Row],[КФ петли SENS накл.110 гр. с крестообр. Планкой]]*5</f>
        <v>3660</v>
      </c>
      <c r="BQ76" s="28">
        <v>0</v>
      </c>
      <c r="BR76" s="28">
        <v>0</v>
      </c>
      <c r="BS76" s="1">
        <v>600</v>
      </c>
      <c r="BT76" s="1">
        <v>2040</v>
      </c>
      <c r="BU76" s="1" t="str">
        <f>IF(OR(Прайс[[#This Row],[Тип]]="Нижний",Прайс[[#This Row],[Тип]]="Пенал"),"560",IF(Прайс[[#This Row],[Тип]]="Верхний",315,0))</f>
        <v>560</v>
      </c>
      <c r="BV76" s="28">
        <v>1.08</v>
      </c>
      <c r="BW76" s="28">
        <v>1.0649999999999999</v>
      </c>
      <c r="BX76" s="28">
        <v>1.3</v>
      </c>
      <c r="BY76" s="345">
        <v>0</v>
      </c>
      <c r="BZ76" s="345">
        <v>1</v>
      </c>
      <c r="CA76" s="345" t="s">
        <v>10</v>
      </c>
      <c r="CB76" s="346" t="s">
        <v>819</v>
      </c>
      <c r="CC76" s="345">
        <v>0</v>
      </c>
      <c r="CD76" s="345" t="s">
        <v>10</v>
      </c>
      <c r="CF76" t="s">
        <v>875</v>
      </c>
    </row>
    <row r="77" spans="1:84" ht="15" customHeight="1" x14ac:dyDescent="0.25">
      <c r="A77" s="347" t="s">
        <v>52</v>
      </c>
      <c r="B77" s="343" t="s">
        <v>9</v>
      </c>
      <c r="C77" s="343" t="s">
        <v>123</v>
      </c>
      <c r="D77" s="343" t="s">
        <v>89</v>
      </c>
      <c r="E77" s="343" t="s">
        <v>10</v>
      </c>
      <c r="F77" s="343" t="s">
        <v>152</v>
      </c>
      <c r="G77" s="348">
        <v>2000</v>
      </c>
      <c r="H77" s="348">
        <v>2280</v>
      </c>
      <c r="I77" s="348">
        <v>300</v>
      </c>
      <c r="J77" s="348">
        <v>600</v>
      </c>
      <c r="K77" s="348">
        <v>560</v>
      </c>
      <c r="L77" s="348">
        <v>560</v>
      </c>
      <c r="M77" s="1"/>
      <c r="N77" s="269" t="s">
        <v>83</v>
      </c>
      <c r="O77" s="251">
        <v>8650</v>
      </c>
      <c r="P77" s="251"/>
      <c r="Q77" s="251"/>
      <c r="R77" s="1"/>
      <c r="S77" s="1"/>
      <c r="T77" s="1"/>
      <c r="U77" s="1"/>
      <c r="V77" s="1"/>
      <c r="W77" s="1"/>
      <c r="X77" s="1"/>
      <c r="Y77" s="1"/>
      <c r="Z77" s="1">
        <f>'комплекты фурнитуры'!$Q$21</f>
        <v>930</v>
      </c>
      <c r="AA77" s="1"/>
      <c r="AB77" s="1"/>
      <c r="AC77" s="1"/>
      <c r="AD77" s="1"/>
      <c r="AE77" s="1">
        <f>'комплекты фурнитуры'!$Q$26*2</f>
        <v>540</v>
      </c>
      <c r="AF77" s="1"/>
      <c r="AG77" s="1"/>
      <c r="AH77" s="29">
        <f>SUM(Прайс[[#This Row],[КФ НСТ11]:[KFPr-SB-ZPG]])</f>
        <v>1470</v>
      </c>
      <c r="AI77" s="29"/>
      <c r="AJ77" s="1"/>
      <c r="AK77" s="1"/>
      <c r="AL77" s="264"/>
      <c r="AM77" s="29">
        <f>'комплекты фурнитуры'!$Q$68</f>
        <v>500</v>
      </c>
      <c r="AN77" s="29">
        <f>'комплекты фурнитуры'!$Q$69</f>
        <v>130</v>
      </c>
      <c r="AO77" s="29"/>
      <c r="AP77" s="29"/>
      <c r="AQ77" s="29"/>
      <c r="AR77" s="29"/>
      <c r="AS77" s="29"/>
      <c r="AT77" s="29"/>
      <c r="AU77" s="29"/>
      <c r="AV77" s="29"/>
      <c r="AW77" s="265"/>
      <c r="AX77" s="29"/>
      <c r="AY77" s="265"/>
      <c r="AZ77" s="29"/>
      <c r="BA77" s="29"/>
      <c r="BB77" s="29">
        <f>'комплекты фурнитуры'!$Q$29</f>
        <v>4750</v>
      </c>
      <c r="BC77" s="29">
        <f>'комплекты фурнитуры'!$Q$30</f>
        <v>5810</v>
      </c>
      <c r="BD77" s="29">
        <f>'комплекты фурнитуры'!$Q$34</f>
        <v>370</v>
      </c>
      <c r="BE77" s="29">
        <f>'комплекты фурнитуры'!$Q$33</f>
        <v>940</v>
      </c>
      <c r="BF77" s="29">
        <f>'комплекты фурнитуры'!$Q$35</f>
        <v>170</v>
      </c>
      <c r="BG77" s="29">
        <f>'комплекты фурнитуры'!$Q$37</f>
        <v>4130</v>
      </c>
      <c r="BH77" s="29">
        <f>'комплекты фурнитуры'!$Q$36</f>
        <v>5040</v>
      </c>
      <c r="BI77" s="29">
        <f>'комплекты фурнитуры'!$Q$38</f>
        <v>6440</v>
      </c>
      <c r="BJ77" s="29">
        <f>'комплекты фурнитуры'!$Q$39</f>
        <v>7970</v>
      </c>
      <c r="BK77" s="29"/>
      <c r="BL77" s="29"/>
      <c r="BM77" s="29"/>
      <c r="BN77" s="29"/>
      <c r="BO77" s="29"/>
      <c r="BP77" s="28">
        <f>Прайс[[#This Row],[КФ ящика Matrix (H=89 мм)_450_GR]]*2+Прайс[[#This Row],[КФ ящика Matrix (H=175 мм)_450_GR]]+Прайс[[#This Row],[КФ петли SENS накл.110 гр. с крестообр. Планкой]]*3</f>
        <v>14800</v>
      </c>
      <c r="BQ77" s="28">
        <f>Прайс[[#This Row],[KFN-SB-M86]]*2+Прайс[[#This Row],[KFN-SB-M15]]+Прайс[[#This Row],[KFN-SB-MD]]*3+Прайс[[#This Row],[KFP-SB-N110]]*3</f>
        <v>2580</v>
      </c>
      <c r="BR77" s="28">
        <f>Прайс[[#This Row],[Комплект ящика INNOTECH ATIRA полного выдв. с  PUSH TO OPEN , Н70,NL470,цвет серебристый]]*2+Прайс[[#This Row],[Комплект короба INNOTECH ATIRA полного выдв. с Push to open, Н176,NL470,рейлинги, цвет серебристый]]+Прайс[[#This Row],[KFP-SB-N110]]*3</f>
        <v>21240</v>
      </c>
      <c r="BS77" s="1">
        <v>600</v>
      </c>
      <c r="BT77" s="1">
        <v>2040</v>
      </c>
      <c r="BU77" s="1" t="str">
        <f>IF(OR(Прайс[[#This Row],[Тип]]="Нижний",Прайс[[#This Row],[Тип]]="Пенал"),"560",IF(Прайс[[#This Row],[Тип]]="Верхний",315,0))</f>
        <v>560</v>
      </c>
      <c r="BV77" s="28">
        <v>1.08</v>
      </c>
      <c r="BW77" s="28">
        <v>1.0649999999999999</v>
      </c>
      <c r="BX77" s="28">
        <v>0</v>
      </c>
      <c r="BY77" s="345">
        <v>2</v>
      </c>
      <c r="BZ77" s="345">
        <v>2</v>
      </c>
      <c r="CA77" s="345" t="s">
        <v>10</v>
      </c>
      <c r="CB77" s="346" t="s">
        <v>820</v>
      </c>
      <c r="CC77" s="345">
        <v>2</v>
      </c>
      <c r="CD77" s="345" t="s">
        <v>87</v>
      </c>
    </row>
    <row r="78" spans="1:84" ht="15" customHeight="1" x14ac:dyDescent="0.25">
      <c r="A78" s="349" t="s">
        <v>53</v>
      </c>
      <c r="B78" s="343" t="s">
        <v>9</v>
      </c>
      <c r="C78" s="343" t="s">
        <v>124</v>
      </c>
      <c r="D78" s="343" t="s">
        <v>89</v>
      </c>
      <c r="E78" s="343" t="s">
        <v>10</v>
      </c>
      <c r="F78" s="343" t="s">
        <v>152</v>
      </c>
      <c r="G78" s="348">
        <v>2000</v>
      </c>
      <c r="H78" s="348">
        <v>2280</v>
      </c>
      <c r="I78" s="348">
        <v>300</v>
      </c>
      <c r="J78" s="348">
        <v>600</v>
      </c>
      <c r="K78" s="348">
        <v>560</v>
      </c>
      <c r="L78" s="348">
        <v>560</v>
      </c>
      <c r="M78" s="1"/>
      <c r="N78" s="269"/>
      <c r="O78" s="251">
        <v>8100</v>
      </c>
      <c r="P78" s="251"/>
      <c r="Q78" s="251"/>
      <c r="R78" s="1"/>
      <c r="S78" s="1"/>
      <c r="T78" s="1"/>
      <c r="U78" s="1"/>
      <c r="V78" s="1"/>
      <c r="W78" s="1"/>
      <c r="X78" s="1"/>
      <c r="Y78" s="1"/>
      <c r="Z78" s="1">
        <f>'комплекты фурнитуры'!$Q$21</f>
        <v>930</v>
      </c>
      <c r="AA78" s="1"/>
      <c r="AB78" s="1"/>
      <c r="AC78" s="1"/>
      <c r="AD78" s="1"/>
      <c r="AE78" s="1">
        <f>'комплекты фурнитуры'!$Q$26*2</f>
        <v>540</v>
      </c>
      <c r="AF78" s="1"/>
      <c r="AG78" s="1"/>
      <c r="AH78" s="29">
        <f>SUM(Прайс[[#This Row],[КФ НСТ11]:[KFPr-SB-ZPG]])</f>
        <v>1470</v>
      </c>
      <c r="AI78" s="29"/>
      <c r="AJ78" s="1"/>
      <c r="AK78" s="1"/>
      <c r="AL78" s="264"/>
      <c r="AM78" s="29">
        <f>'комплекты фурнитуры'!$Q$68</f>
        <v>500</v>
      </c>
      <c r="AN78" s="29">
        <f>'комплекты фурнитуры'!$Q$69</f>
        <v>130</v>
      </c>
      <c r="AO78" s="29"/>
      <c r="AP78" s="29"/>
      <c r="AQ78" s="29"/>
      <c r="AR78" s="29"/>
      <c r="AS78" s="29"/>
      <c r="AT78" s="29"/>
      <c r="AU78" s="29"/>
      <c r="AV78" s="29"/>
      <c r="AW78" s="265"/>
      <c r="AX78" s="29"/>
      <c r="AY78" s="265"/>
      <c r="AZ78" s="29"/>
      <c r="BA78" s="29"/>
      <c r="BB78" s="265"/>
      <c r="BC78" s="29">
        <f>'комплекты фурнитуры'!$Q$30</f>
        <v>5810</v>
      </c>
      <c r="BD78" s="265"/>
      <c r="BE78" s="29">
        <f>'комплекты фурнитуры'!$Q$33</f>
        <v>940</v>
      </c>
      <c r="BF78" s="29">
        <f>'комплекты фурнитуры'!$Q$35</f>
        <v>170</v>
      </c>
      <c r="BG78" s="265"/>
      <c r="BH78" s="29">
        <f>'комплекты фурнитуры'!$Q$36</f>
        <v>5040</v>
      </c>
      <c r="BI78" s="29">
        <f>'комплекты фурнитуры'!$Q$38</f>
        <v>6440</v>
      </c>
      <c r="BJ78" s="29">
        <f>'комплекты фурнитуры'!$Q$39</f>
        <v>7970</v>
      </c>
      <c r="BK78" s="29"/>
      <c r="BL78" s="29"/>
      <c r="BM78" s="29"/>
      <c r="BN78" s="29"/>
      <c r="BO78" s="29"/>
      <c r="BP78" s="28">
        <f>Прайс[[#This Row],[КФ ящика Matrix (H=175 мм)_450_GR]]*2+Прайс[[#This Row],[КФ петли SENS накл.110 гр. с крестообр. Планкой]]*3</f>
        <v>11580</v>
      </c>
      <c r="BQ78" s="28">
        <f>Прайс[[#This Row],[KFN-SB-M15]]*2+Прайс[[#This Row],[KFN-SB-MD]]*3+Прайс[[#This Row],[KFP-SB-N110]]*3</f>
        <v>2780</v>
      </c>
      <c r="BR78" s="28">
        <f>Прайс[[#This Row],[Комплект ящика INNOTECH ATIRA полного выдв. с  PUSH TO OPEN , Н70,NL470,цвет серебристый]]*2+Прайс[[#This Row],[KFP-SB-N110]]*3</f>
        <v>13270</v>
      </c>
      <c r="BS78" s="1">
        <v>600</v>
      </c>
      <c r="BT78" s="1">
        <v>2040</v>
      </c>
      <c r="BU78" s="1" t="str">
        <f>IF(OR(Прайс[[#This Row],[Тип]]="Нижний",Прайс[[#This Row],[Тип]]="Пенал"),"560",IF(Прайс[[#This Row],[Тип]]="Верхний",315,0))</f>
        <v>560</v>
      </c>
      <c r="BV78" s="28">
        <v>1.08</v>
      </c>
      <c r="BW78" s="28">
        <v>1.0649999999999999</v>
      </c>
      <c r="BX78" s="28">
        <v>0</v>
      </c>
      <c r="BY78" s="345">
        <v>2</v>
      </c>
      <c r="BZ78" s="345">
        <v>2</v>
      </c>
      <c r="CA78" s="345" t="s">
        <v>10</v>
      </c>
      <c r="CB78" s="346" t="s">
        <v>820</v>
      </c>
      <c r="CC78" s="345">
        <v>2</v>
      </c>
      <c r="CD78" s="345" t="s">
        <v>87</v>
      </c>
    </row>
    <row r="79" spans="1:84" ht="15" customHeight="1" x14ac:dyDescent="0.25">
      <c r="A79" s="349" t="s">
        <v>735</v>
      </c>
      <c r="B79" s="343" t="s">
        <v>9</v>
      </c>
      <c r="C79" s="343" t="s">
        <v>737</v>
      </c>
      <c r="D79" s="343" t="s">
        <v>89</v>
      </c>
      <c r="E79" s="343" t="s">
        <v>10</v>
      </c>
      <c r="F79" s="343" t="s">
        <v>153</v>
      </c>
      <c r="G79" s="348">
        <v>2000</v>
      </c>
      <c r="H79" s="348">
        <v>2280</v>
      </c>
      <c r="I79" s="348">
        <v>600</v>
      </c>
      <c r="J79" s="348">
        <v>600</v>
      </c>
      <c r="K79" s="348">
        <v>560</v>
      </c>
      <c r="L79" s="348">
        <v>560</v>
      </c>
      <c r="M79" s="1"/>
      <c r="N79" s="269" t="s">
        <v>83</v>
      </c>
      <c r="O79" s="251">
        <v>6800</v>
      </c>
      <c r="P79" s="251"/>
      <c r="Q79" s="251"/>
      <c r="R79" s="1"/>
      <c r="S79" s="1"/>
      <c r="T79" s="1"/>
      <c r="U79" s="1"/>
      <c r="V79" s="1"/>
      <c r="W79" s="1"/>
      <c r="X79" s="1"/>
      <c r="Y79" s="1"/>
      <c r="Z79" s="1">
        <f>'комплекты фурнитуры'!$Q$21</f>
        <v>930</v>
      </c>
      <c r="AA79" s="1"/>
      <c r="AB79" s="1"/>
      <c r="AC79" s="1"/>
      <c r="AD79" s="1"/>
      <c r="AE79" s="1">
        <f>'комплекты фурнитуры'!$Q$26*2</f>
        <v>540</v>
      </c>
      <c r="AF79" s="1"/>
      <c r="AG79" s="1"/>
      <c r="AH79" s="29">
        <f>SUM(Прайс[[#This Row],[КФ НСТ11]:[KFPr-SB-ZPG]])</f>
        <v>1470</v>
      </c>
      <c r="AI79" s="29"/>
      <c r="AJ79" s="1"/>
      <c r="AK79" s="1"/>
      <c r="AL79" s="264"/>
      <c r="AM79" s="29">
        <f>'комплекты фурнитуры'!$Q$68</f>
        <v>500</v>
      </c>
      <c r="AN79" s="29">
        <f>'комплекты фурнитуры'!$Q$69</f>
        <v>130</v>
      </c>
      <c r="AO79" s="29"/>
      <c r="AP79" s="29"/>
      <c r="AQ79" s="29"/>
      <c r="AR79" s="29"/>
      <c r="AS79" s="29"/>
      <c r="AT79" s="29"/>
      <c r="AU79" s="29"/>
      <c r="AV79" s="29"/>
      <c r="AW79" s="265"/>
      <c r="AX79" s="29"/>
      <c r="AY79" s="265"/>
      <c r="AZ79" s="29"/>
      <c r="BA79" s="29"/>
      <c r="BB79" s="265"/>
      <c r="BC79" s="265"/>
      <c r="BD79" s="265"/>
      <c r="BE79" s="265"/>
      <c r="BF79" s="265"/>
      <c r="BG79" s="265"/>
      <c r="BH79" s="265"/>
      <c r="BI79" s="265"/>
      <c r="BJ79" s="29"/>
      <c r="BK79" s="29"/>
      <c r="BL79" s="29"/>
      <c r="BM79" s="29"/>
      <c r="BN79" s="29"/>
      <c r="BO79" s="29"/>
      <c r="BP79" s="28">
        <f>Прайс[[#This Row],[КФ петли SENS накл.110 гр. с крестообр. Планкой]]*4</f>
        <v>2000</v>
      </c>
      <c r="BQ79" s="28">
        <f>Прайс[[#This Row],[KFP-SB-N110]]*4</f>
        <v>520</v>
      </c>
      <c r="BR79" s="28">
        <f>Прайс[[#This Row],[KFP-SB-N110]]*4</f>
        <v>520</v>
      </c>
      <c r="BS79" s="1">
        <v>600</v>
      </c>
      <c r="BT79" s="1">
        <v>2040</v>
      </c>
      <c r="BU79" s="1" t="str">
        <f>IF(OR(Прайс[[#This Row],[Тип]]="Нижний",Прайс[[#This Row],[Тип]]="Пенал"),"560",IF(Прайс[[#This Row],[Тип]]="Верхний",315,0))</f>
        <v>560</v>
      </c>
      <c r="BV79" s="28">
        <v>1.08</v>
      </c>
      <c r="BW79" s="28">
        <v>1.0649999999999999</v>
      </c>
      <c r="BX79" s="28">
        <v>1.3</v>
      </c>
      <c r="BY79" s="345">
        <v>2</v>
      </c>
      <c r="BZ79" s="345">
        <v>2</v>
      </c>
      <c r="CA79" s="345" t="s">
        <v>87</v>
      </c>
      <c r="CB79" s="346" t="s">
        <v>818</v>
      </c>
      <c r="CC79" s="345">
        <v>2</v>
      </c>
      <c r="CD79" s="345" t="s">
        <v>10</v>
      </c>
    </row>
    <row r="80" spans="1:84" ht="15" customHeight="1" x14ac:dyDescent="0.25">
      <c r="A80" s="349" t="s">
        <v>736</v>
      </c>
      <c r="B80" s="343" t="s">
        <v>9</v>
      </c>
      <c r="C80" s="343" t="s">
        <v>738</v>
      </c>
      <c r="D80" s="343" t="s">
        <v>89</v>
      </c>
      <c r="E80" s="343" t="s">
        <v>10</v>
      </c>
      <c r="F80" s="343" t="s">
        <v>153</v>
      </c>
      <c r="G80" s="348">
        <v>2000</v>
      </c>
      <c r="H80" s="348">
        <v>2280</v>
      </c>
      <c r="I80" s="348">
        <v>600</v>
      </c>
      <c r="J80" s="348">
        <v>600</v>
      </c>
      <c r="K80" s="348">
        <v>560</v>
      </c>
      <c r="L80" s="348">
        <v>560</v>
      </c>
      <c r="M80" s="1"/>
      <c r="N80" s="269" t="s">
        <v>83</v>
      </c>
      <c r="O80" s="251">
        <v>6800</v>
      </c>
      <c r="P80" s="251"/>
      <c r="Q80" s="251"/>
      <c r="R80" s="1"/>
      <c r="S80" s="1"/>
      <c r="T80" s="1"/>
      <c r="U80" s="1"/>
      <c r="V80" s="1"/>
      <c r="W80" s="1"/>
      <c r="X80" s="1"/>
      <c r="Y80" s="1"/>
      <c r="Z80" s="1">
        <f>'комплекты фурнитуры'!$Q$21</f>
        <v>930</v>
      </c>
      <c r="AA80" s="1"/>
      <c r="AB80" s="1"/>
      <c r="AC80" s="1"/>
      <c r="AD80" s="1"/>
      <c r="AE80" s="1">
        <f>'комплекты фурнитуры'!$Q$26*2</f>
        <v>540</v>
      </c>
      <c r="AF80" s="1"/>
      <c r="AG80" s="1"/>
      <c r="AH80" s="29">
        <f>SUM(Прайс[[#This Row],[КФ НСТ11]:[KFPr-SB-ZPG]])</f>
        <v>1470</v>
      </c>
      <c r="AI80" s="29"/>
      <c r="AJ80" s="1"/>
      <c r="AK80" s="1"/>
      <c r="AL80" s="264"/>
      <c r="AM80" s="29">
        <f>'комплекты фурнитуры'!$Q$68</f>
        <v>500</v>
      </c>
      <c r="AN80" s="29">
        <f>'комплекты фурнитуры'!$Q$69</f>
        <v>130</v>
      </c>
      <c r="AO80" s="29"/>
      <c r="AP80" s="29"/>
      <c r="AQ80" s="29"/>
      <c r="AR80" s="29"/>
      <c r="AS80" s="29"/>
      <c r="AT80" s="29"/>
      <c r="AU80" s="29"/>
      <c r="AV80" s="29"/>
      <c r="AW80" s="265"/>
      <c r="AX80" s="29"/>
      <c r="AY80" s="265"/>
      <c r="AZ80" s="29"/>
      <c r="BA80" s="29"/>
      <c r="BB80" s="265"/>
      <c r="BC80" s="265"/>
      <c r="BD80" s="265"/>
      <c r="BE80" s="265"/>
      <c r="BF80" s="265"/>
      <c r="BG80" s="265"/>
      <c r="BH80" s="265"/>
      <c r="BI80" s="265"/>
      <c r="BJ80" s="29"/>
      <c r="BK80" s="29"/>
      <c r="BL80" s="29"/>
      <c r="BM80" s="29"/>
      <c r="BN80" s="29"/>
      <c r="BO80" s="29"/>
      <c r="BP80" s="28">
        <f>Прайс[[#This Row],[КФ петли SENS накл.110 гр. с крестообр. Планкой]]*4</f>
        <v>2000</v>
      </c>
      <c r="BQ80" s="28">
        <f>Прайс[[#This Row],[KFP-SB-N110]]*4</f>
        <v>520</v>
      </c>
      <c r="BR80" s="28">
        <f>Прайс[[#This Row],[KFP-SB-N110]]*4</f>
        <v>520</v>
      </c>
      <c r="BS80" s="1">
        <v>600</v>
      </c>
      <c r="BT80" s="1">
        <v>2040</v>
      </c>
      <c r="BU80" s="1" t="str">
        <f>IF(OR(Прайс[[#This Row],[Тип]]="Нижний",Прайс[[#This Row],[Тип]]="Пенал"),"560",IF(Прайс[[#This Row],[Тип]]="Верхний",315,0))</f>
        <v>560</v>
      </c>
      <c r="BV80" s="28">
        <v>1.08</v>
      </c>
      <c r="BW80" s="28">
        <v>1.0649999999999999</v>
      </c>
      <c r="BX80" s="28">
        <v>1.3</v>
      </c>
      <c r="BY80" s="345">
        <v>2</v>
      </c>
      <c r="BZ80" s="345">
        <v>2</v>
      </c>
      <c r="CA80" s="345" t="s">
        <v>87</v>
      </c>
      <c r="CB80" s="346" t="s">
        <v>818</v>
      </c>
      <c r="CC80" s="345">
        <v>2</v>
      </c>
      <c r="CD80" s="345" t="s">
        <v>10</v>
      </c>
    </row>
    <row r="81" spans="1:84" ht="15" customHeight="1" x14ac:dyDescent="0.25">
      <c r="A81" s="349" t="s">
        <v>739</v>
      </c>
      <c r="B81" s="343" t="s">
        <v>9</v>
      </c>
      <c r="C81" s="343" t="s">
        <v>741</v>
      </c>
      <c r="D81" s="343" t="s">
        <v>89</v>
      </c>
      <c r="E81" s="343" t="s">
        <v>87</v>
      </c>
      <c r="F81" s="343" t="s">
        <v>153</v>
      </c>
      <c r="G81" s="348">
        <v>2000</v>
      </c>
      <c r="H81" s="348">
        <v>2280</v>
      </c>
      <c r="I81" s="348">
        <v>600</v>
      </c>
      <c r="J81" s="348">
        <v>600</v>
      </c>
      <c r="K81" s="348">
        <v>560</v>
      </c>
      <c r="L81" s="348">
        <v>560</v>
      </c>
      <c r="M81" s="1"/>
      <c r="N81" s="269" t="s">
        <v>83</v>
      </c>
      <c r="O81" s="251">
        <v>7344</v>
      </c>
      <c r="P81" s="251"/>
      <c r="Q81" s="251"/>
      <c r="R81" s="1"/>
      <c r="S81" s="1"/>
      <c r="T81" s="1"/>
      <c r="U81" s="1"/>
      <c r="V81" s="1"/>
      <c r="W81" s="1"/>
      <c r="X81" s="1"/>
      <c r="Y81" s="1"/>
      <c r="Z81" s="1">
        <f>'комплекты фурнитуры'!$Q$21</f>
        <v>930</v>
      </c>
      <c r="AA81" s="1"/>
      <c r="AB81" s="1"/>
      <c r="AC81" s="1"/>
      <c r="AD81" s="1"/>
      <c r="AE81" s="1">
        <f>'комплекты фурнитуры'!$Q$26*2</f>
        <v>540</v>
      </c>
      <c r="AF81" s="1"/>
      <c r="AG81" s="1"/>
      <c r="AH81" s="29">
        <f>SUM(Прайс[[#This Row],[КФ НСТ11]:[KFPr-SB-ZPG]])</f>
        <v>1470</v>
      </c>
      <c r="AI81" s="29"/>
      <c r="AJ81" s="1"/>
      <c r="AK81" s="1"/>
      <c r="AL81" s="264">
        <f>'комплекты фурнитуры'!$Q$92</f>
        <v>290</v>
      </c>
      <c r="AM81" s="29">
        <f>'комплекты фурнитуры'!$Q$68</f>
        <v>500</v>
      </c>
      <c r="AN81" s="265"/>
      <c r="AO81" s="29"/>
      <c r="AP81" s="29"/>
      <c r="AQ81" s="29"/>
      <c r="AR81" s="29"/>
      <c r="AS81" s="29"/>
      <c r="AT81" s="29"/>
      <c r="AU81" s="29"/>
      <c r="AV81" s="29"/>
      <c r="AW81" s="265"/>
      <c r="AX81" s="29"/>
      <c r="AY81" s="265"/>
      <c r="AZ81" s="29"/>
      <c r="BA81" s="29"/>
      <c r="BB81" s="265"/>
      <c r="BC81" s="265"/>
      <c r="BD81" s="265"/>
      <c r="BE81" s="265"/>
      <c r="BF81" s="265"/>
      <c r="BG81" s="265"/>
      <c r="BH81" s="265"/>
      <c r="BI81" s="265"/>
      <c r="BJ81" s="29"/>
      <c r="BK81" s="29"/>
      <c r="BL81" s="29"/>
      <c r="BM81" s="29"/>
      <c r="BN81" s="29"/>
      <c r="BO81" s="29"/>
      <c r="BP81" s="28">
        <f>Прайс[[#This Row],[КФ KEKU]]*4+Прайс[[#This Row],[КФ петли SENS накл.110 гр. с крестообр. Планкой]]*4</f>
        <v>3160</v>
      </c>
      <c r="BQ81" s="28">
        <v>0</v>
      </c>
      <c r="BR81" s="28">
        <v>0</v>
      </c>
      <c r="BS81" s="1">
        <v>600</v>
      </c>
      <c r="BT81" s="1">
        <v>2040</v>
      </c>
      <c r="BU81" s="1" t="str">
        <f>IF(OR(Прайс[[#This Row],[Тип]]="Нижний",Прайс[[#This Row],[Тип]]="Пенал"),"560",IF(Прайс[[#This Row],[Тип]]="Верхний",315,0))</f>
        <v>560</v>
      </c>
      <c r="BV81" s="28">
        <v>1.08</v>
      </c>
      <c r="BW81" s="28">
        <v>1.0649999999999999</v>
      </c>
      <c r="BX81" s="28">
        <v>1.3</v>
      </c>
      <c r="BY81" s="345">
        <v>2</v>
      </c>
      <c r="BZ81" s="345">
        <v>3</v>
      </c>
      <c r="CA81" s="345" t="s">
        <v>10</v>
      </c>
      <c r="CB81" s="346" t="s">
        <v>819</v>
      </c>
      <c r="CC81" s="345" t="s">
        <v>862</v>
      </c>
      <c r="CD81" s="345" t="s">
        <v>10</v>
      </c>
      <c r="CF81" t="s">
        <v>860</v>
      </c>
    </row>
    <row r="82" spans="1:84" ht="15" customHeight="1" x14ac:dyDescent="0.25">
      <c r="A82" s="349" t="s">
        <v>740</v>
      </c>
      <c r="B82" s="343" t="s">
        <v>9</v>
      </c>
      <c r="C82" s="343" t="s">
        <v>742</v>
      </c>
      <c r="D82" s="343" t="s">
        <v>89</v>
      </c>
      <c r="E82" s="343" t="s">
        <v>87</v>
      </c>
      <c r="F82" s="343" t="s">
        <v>153</v>
      </c>
      <c r="G82" s="348">
        <v>2000</v>
      </c>
      <c r="H82" s="348">
        <v>2280</v>
      </c>
      <c r="I82" s="348">
        <v>600</v>
      </c>
      <c r="J82" s="348">
        <v>600</v>
      </c>
      <c r="K82" s="348">
        <v>560</v>
      </c>
      <c r="L82" s="348">
        <v>560</v>
      </c>
      <c r="M82" s="1"/>
      <c r="N82" s="269" t="s">
        <v>83</v>
      </c>
      <c r="O82" s="251">
        <v>7344</v>
      </c>
      <c r="P82" s="251"/>
      <c r="Q82" s="251"/>
      <c r="R82" s="1"/>
      <c r="S82" s="1"/>
      <c r="T82" s="1"/>
      <c r="U82" s="1"/>
      <c r="V82" s="1"/>
      <c r="W82" s="1"/>
      <c r="X82" s="1"/>
      <c r="Y82" s="1"/>
      <c r="Z82" s="1">
        <f>'комплекты фурнитуры'!$Q$21</f>
        <v>930</v>
      </c>
      <c r="AA82" s="1"/>
      <c r="AB82" s="1"/>
      <c r="AC82" s="1"/>
      <c r="AD82" s="1"/>
      <c r="AE82" s="1">
        <f>'комплекты фурнитуры'!$Q$26*2</f>
        <v>540</v>
      </c>
      <c r="AF82" s="1"/>
      <c r="AG82" s="1"/>
      <c r="AH82" s="29">
        <f>SUM(Прайс[[#This Row],[КФ НСТ11]:[KFPr-SB-ZPG]])</f>
        <v>1470</v>
      </c>
      <c r="AI82" s="29"/>
      <c r="AJ82" s="1"/>
      <c r="AK82" s="1"/>
      <c r="AL82" s="264">
        <f>'комплекты фурнитуры'!$Q$92</f>
        <v>290</v>
      </c>
      <c r="AM82" s="29">
        <f>'комплекты фурнитуры'!$Q$68</f>
        <v>500</v>
      </c>
      <c r="AN82" s="265"/>
      <c r="AO82" s="29"/>
      <c r="AP82" s="29"/>
      <c r="AQ82" s="29"/>
      <c r="AR82" s="29"/>
      <c r="AS82" s="29"/>
      <c r="AT82" s="29"/>
      <c r="AU82" s="29"/>
      <c r="AV82" s="29"/>
      <c r="AW82" s="265"/>
      <c r="AX82" s="29"/>
      <c r="AY82" s="265"/>
      <c r="AZ82" s="29"/>
      <c r="BA82" s="29"/>
      <c r="BB82" s="265"/>
      <c r="BC82" s="265"/>
      <c r="BD82" s="265"/>
      <c r="BE82" s="265"/>
      <c r="BF82" s="265"/>
      <c r="BG82" s="265"/>
      <c r="BH82" s="265"/>
      <c r="BI82" s="265"/>
      <c r="BJ82" s="29"/>
      <c r="BK82" s="29"/>
      <c r="BL82" s="29"/>
      <c r="BM82" s="29"/>
      <c r="BN82" s="29"/>
      <c r="BO82" s="29"/>
      <c r="BP82" s="28">
        <f>Прайс[[#This Row],[КФ KEKU]]*4+Прайс[[#This Row],[КФ петли SENS накл.110 гр. с крестообр. Планкой]]*4</f>
        <v>3160</v>
      </c>
      <c r="BQ82" s="28">
        <v>0</v>
      </c>
      <c r="BR82" s="28">
        <v>0</v>
      </c>
      <c r="BS82" s="1">
        <v>600</v>
      </c>
      <c r="BT82" s="1">
        <v>2040</v>
      </c>
      <c r="BU82" s="1" t="str">
        <f>IF(OR(Прайс[[#This Row],[Тип]]="Нижний",Прайс[[#This Row],[Тип]]="Пенал"),"560",IF(Прайс[[#This Row],[Тип]]="Верхний",315,0))</f>
        <v>560</v>
      </c>
      <c r="BV82" s="28">
        <v>1.08</v>
      </c>
      <c r="BW82" s="28">
        <v>1.0649999999999999</v>
      </c>
      <c r="BX82" s="28">
        <v>1.3</v>
      </c>
      <c r="BY82" s="345">
        <v>2</v>
      </c>
      <c r="BZ82" s="345">
        <v>3</v>
      </c>
      <c r="CA82" s="345" t="s">
        <v>10</v>
      </c>
      <c r="CB82" s="346" t="s">
        <v>819</v>
      </c>
      <c r="CC82" s="345" t="s">
        <v>863</v>
      </c>
      <c r="CD82" s="345"/>
      <c r="CF82" t="s">
        <v>860</v>
      </c>
    </row>
    <row r="83" spans="1:84" ht="15" customHeight="1" x14ac:dyDescent="0.25">
      <c r="A83" s="349" t="s">
        <v>743</v>
      </c>
      <c r="B83" s="343" t="s">
        <v>9</v>
      </c>
      <c r="C83" s="343" t="s">
        <v>861</v>
      </c>
      <c r="D83" s="343" t="s">
        <v>89</v>
      </c>
      <c r="E83" s="343" t="s">
        <v>10</v>
      </c>
      <c r="F83" s="343" t="s">
        <v>153</v>
      </c>
      <c r="G83" s="348">
        <v>2000</v>
      </c>
      <c r="H83" s="348">
        <v>2280</v>
      </c>
      <c r="I83" s="348">
        <v>600</v>
      </c>
      <c r="J83" s="348">
        <v>600</v>
      </c>
      <c r="K83" s="348">
        <v>560</v>
      </c>
      <c r="L83" s="348">
        <v>560</v>
      </c>
      <c r="M83" s="1"/>
      <c r="N83" s="269" t="s">
        <v>83</v>
      </c>
      <c r="O83" s="251">
        <v>8020</v>
      </c>
      <c r="P83" s="251"/>
      <c r="Q83" s="251"/>
      <c r="R83" s="1"/>
      <c r="S83" s="1"/>
      <c r="T83" s="1"/>
      <c r="U83" s="1"/>
      <c r="V83" s="1"/>
      <c r="W83" s="1"/>
      <c r="X83" s="1"/>
      <c r="Y83" s="1"/>
      <c r="Z83" s="1">
        <f>'комплекты фурнитуры'!$Q$21</f>
        <v>930</v>
      </c>
      <c r="AA83" s="1"/>
      <c r="AB83" s="1"/>
      <c r="AC83" s="1"/>
      <c r="AD83" s="1"/>
      <c r="AE83" s="1">
        <f>'комплекты фурнитуры'!$Q$26*2</f>
        <v>540</v>
      </c>
      <c r="AF83" s="1"/>
      <c r="AG83" s="1"/>
      <c r="AH83" s="29">
        <f>SUM(Прайс[[#This Row],[КФ НСТ11]:[KFPr-SB-ZPG]])</f>
        <v>1470</v>
      </c>
      <c r="AI83" s="29"/>
      <c r="AJ83" s="1"/>
      <c r="AK83" s="1"/>
      <c r="AL83" s="264"/>
      <c r="AM83" s="29">
        <f>'комплекты фурнитуры'!$Q$68</f>
        <v>500</v>
      </c>
      <c r="AN83" s="29">
        <f>'комплекты фурнитуры'!$Q$69</f>
        <v>130</v>
      </c>
      <c r="AO83" s="29"/>
      <c r="AP83" s="29"/>
      <c r="AQ83" s="29"/>
      <c r="AR83" s="29"/>
      <c r="AS83" s="29"/>
      <c r="AT83" s="29"/>
      <c r="AU83" s="29"/>
      <c r="AV83" s="29"/>
      <c r="AW83" s="265"/>
      <c r="AX83" s="29"/>
      <c r="AY83" s="265"/>
      <c r="AZ83" s="29"/>
      <c r="BA83" s="29"/>
      <c r="BB83" s="265"/>
      <c r="BC83" s="29">
        <f>'комплекты фурнитуры'!$Q$30</f>
        <v>5810</v>
      </c>
      <c r="BD83" s="265"/>
      <c r="BE83" s="29">
        <f>'комплекты фурнитуры'!$Q$33</f>
        <v>940</v>
      </c>
      <c r="BF83" s="29">
        <f>'комплекты фурнитуры'!$Q$35</f>
        <v>170</v>
      </c>
      <c r="BG83" s="265"/>
      <c r="BH83" s="29">
        <f>'комплекты фурнитуры'!$Q$36</f>
        <v>5040</v>
      </c>
      <c r="BI83" s="29">
        <f>'комплекты фурнитуры'!$Q$38</f>
        <v>6440</v>
      </c>
      <c r="BJ83" s="29"/>
      <c r="BK83" s="29"/>
      <c r="BL83" s="29"/>
      <c r="BM83" s="29"/>
      <c r="BN83" s="29"/>
      <c r="BO83" s="29"/>
      <c r="BP83" s="28">
        <f>Прайс[[#This Row],[КФ ящика Matrix (H=175 мм)_450_GR]]*2+Прайс[[#This Row],[КФ петли SENS накл.110 гр. с крестообр. Планкой]]*2</f>
        <v>11080</v>
      </c>
      <c r="BQ83" s="28">
        <f>Прайс[[#This Row],[KFN-SB-M15]]*2+Прайс[[#This Row],[KFN-SB-MD]]*2+Прайс[[#This Row],[KFP-SB-N110]]*2</f>
        <v>2480</v>
      </c>
      <c r="BR83" s="28">
        <f>Прайс[[#This Row],[Комплект ящика INNOTECH ATIRA полного выдв. с  PUSH TO OPEN , Н70,NL470,цвет серебристый]]*2+Прайс[[#This Row],[KFP-SB-N110]]*2</f>
        <v>13140</v>
      </c>
      <c r="BS83" s="1">
        <v>600</v>
      </c>
      <c r="BT83" s="1">
        <v>2040</v>
      </c>
      <c r="BU83" s="1" t="str">
        <f>IF(OR(Прайс[[#This Row],[Тип]]="Нижний",Прайс[[#This Row],[Тип]]="Пенал"),"560",IF(Прайс[[#This Row],[Тип]]="Верхний",315,0))</f>
        <v>560</v>
      </c>
      <c r="BV83" s="28">
        <v>1.08</v>
      </c>
      <c r="BW83" s="28">
        <v>1.0649999999999999</v>
      </c>
      <c r="BX83" s="28">
        <v>0</v>
      </c>
      <c r="BY83" s="344">
        <v>1</v>
      </c>
      <c r="BZ83" s="344">
        <v>2</v>
      </c>
      <c r="CA83" s="1" t="s">
        <v>87</v>
      </c>
      <c r="CB83" s="28" t="s">
        <v>818</v>
      </c>
      <c r="CC83" s="344" t="s">
        <v>859</v>
      </c>
      <c r="CD83" s="344" t="s">
        <v>10</v>
      </c>
      <c r="CF83" t="s">
        <v>860</v>
      </c>
    </row>
    <row r="84" spans="1:84" ht="15" customHeight="1" x14ac:dyDescent="0.25">
      <c r="A84" s="349" t="s">
        <v>744</v>
      </c>
      <c r="B84" s="343" t="s">
        <v>9</v>
      </c>
      <c r="C84" s="343" t="s">
        <v>853</v>
      </c>
      <c r="D84" s="343" t="s">
        <v>89</v>
      </c>
      <c r="E84" s="343" t="s">
        <v>10</v>
      </c>
      <c r="F84" s="343" t="s">
        <v>153</v>
      </c>
      <c r="G84" s="348">
        <v>2000</v>
      </c>
      <c r="H84" s="348">
        <v>2280</v>
      </c>
      <c r="I84" s="348">
        <v>600</v>
      </c>
      <c r="J84" s="348">
        <v>600</v>
      </c>
      <c r="K84" s="348">
        <v>560</v>
      </c>
      <c r="L84" s="348">
        <v>560</v>
      </c>
      <c r="M84" s="1"/>
      <c r="N84" s="269" t="s">
        <v>83</v>
      </c>
      <c r="O84" s="251">
        <v>8020</v>
      </c>
      <c r="P84" s="251"/>
      <c r="Q84" s="251"/>
      <c r="R84" s="1"/>
      <c r="S84" s="1"/>
      <c r="T84" s="1"/>
      <c r="U84" s="1"/>
      <c r="V84" s="1"/>
      <c r="W84" s="1"/>
      <c r="X84" s="1"/>
      <c r="Y84" s="1"/>
      <c r="Z84" s="1">
        <f>'комплекты фурнитуры'!$Q$21</f>
        <v>930</v>
      </c>
      <c r="AA84" s="1"/>
      <c r="AB84" s="1"/>
      <c r="AC84" s="1"/>
      <c r="AD84" s="1"/>
      <c r="AE84" s="1">
        <f>'комплекты фурнитуры'!$Q$26*2</f>
        <v>540</v>
      </c>
      <c r="AF84" s="1"/>
      <c r="AG84" s="1"/>
      <c r="AH84" s="29">
        <f>SUM(Прайс[[#This Row],[КФ НСТ11]:[KFPr-SB-ZPG]])</f>
        <v>1470</v>
      </c>
      <c r="AI84" s="29"/>
      <c r="AJ84" s="1"/>
      <c r="AK84" s="1"/>
      <c r="AL84" s="264"/>
      <c r="AM84" s="29">
        <f>'комплекты фурнитуры'!$Q$68</f>
        <v>500</v>
      </c>
      <c r="AN84" s="29">
        <f>'комплекты фурнитуры'!$Q$69</f>
        <v>130</v>
      </c>
      <c r="AO84" s="29"/>
      <c r="AP84" s="29"/>
      <c r="AQ84" s="29"/>
      <c r="AR84" s="29"/>
      <c r="AS84" s="29"/>
      <c r="AT84" s="29"/>
      <c r="AU84" s="29"/>
      <c r="AV84" s="29"/>
      <c r="AW84" s="265"/>
      <c r="AX84" s="29"/>
      <c r="AY84" s="265"/>
      <c r="AZ84" s="29"/>
      <c r="BA84" s="29"/>
      <c r="BB84" s="265"/>
      <c r="BC84" s="29">
        <f>'комплекты фурнитуры'!$Q$30</f>
        <v>5810</v>
      </c>
      <c r="BD84" s="265"/>
      <c r="BE84" s="29">
        <f>'комплекты фурнитуры'!$Q$33</f>
        <v>940</v>
      </c>
      <c r="BF84" s="29">
        <f>'комплекты фурнитуры'!$Q$35</f>
        <v>170</v>
      </c>
      <c r="BG84" s="265"/>
      <c r="BH84" s="29">
        <f>'комплекты фурнитуры'!$Q$36</f>
        <v>5040</v>
      </c>
      <c r="BI84" s="29">
        <f>'комплекты фурнитуры'!$Q$38</f>
        <v>6440</v>
      </c>
      <c r="BJ84" s="29"/>
      <c r="BK84" s="29"/>
      <c r="BL84" s="29"/>
      <c r="BM84" s="29"/>
      <c r="BN84" s="29"/>
      <c r="BO84" s="29"/>
      <c r="BP84" s="28">
        <f>Прайс[[#This Row],[КФ ящика Matrix (H=175 мм)_450_GR]]*2+Прайс[[#This Row],[КФ петли SENS накл.110 гр. с крестообр. Планкой]]*2</f>
        <v>11080</v>
      </c>
      <c r="BQ84" s="28">
        <f>Прайс[[#This Row],[KFN-SB-M15]]*2+Прайс[[#This Row],[KFN-SB-MD]]*2+Прайс[[#This Row],[KFP-SB-N110]]*2</f>
        <v>2480</v>
      </c>
      <c r="BR84" s="28">
        <f>Прайс[[#This Row],[Комплект ящика INNOTECH ATIRA полного выдв. с  PUSH TO OPEN , Н70,NL470,цвет серебристый]]*2+Прайс[[#This Row],[KFP-SB-N110]]*2</f>
        <v>13140</v>
      </c>
      <c r="BS84" s="1">
        <v>600</v>
      </c>
      <c r="BT84" s="1">
        <v>2040</v>
      </c>
      <c r="BU84" s="1" t="str">
        <f>IF(OR(Прайс[[#This Row],[Тип]]="Нижний",Прайс[[#This Row],[Тип]]="Пенал"),"560",IF(Прайс[[#This Row],[Тип]]="Верхний",315,0))</f>
        <v>560</v>
      </c>
      <c r="BV84" s="28">
        <v>1.08</v>
      </c>
      <c r="BW84" s="28">
        <v>1.0649999999999999</v>
      </c>
      <c r="BX84" s="28">
        <v>0</v>
      </c>
      <c r="BY84" s="344">
        <v>1</v>
      </c>
      <c r="BZ84" s="344">
        <v>2</v>
      </c>
      <c r="CA84" s="1" t="s">
        <v>87</v>
      </c>
      <c r="CB84" s="28" t="s">
        <v>818</v>
      </c>
      <c r="CC84" s="344" t="s">
        <v>859</v>
      </c>
      <c r="CD84" s="344" t="s">
        <v>10</v>
      </c>
    </row>
    <row r="85" spans="1:84" ht="15" customHeight="1" x14ac:dyDescent="0.25">
      <c r="A85" s="349" t="s">
        <v>745</v>
      </c>
      <c r="B85" s="343" t="s">
        <v>9</v>
      </c>
      <c r="C85" s="343" t="s">
        <v>854</v>
      </c>
      <c r="D85" s="343" t="s">
        <v>89</v>
      </c>
      <c r="E85" s="343" t="s">
        <v>10</v>
      </c>
      <c r="F85" s="343" t="s">
        <v>153</v>
      </c>
      <c r="G85" s="348">
        <v>2000</v>
      </c>
      <c r="H85" s="348">
        <v>2280</v>
      </c>
      <c r="I85" s="348">
        <v>600</v>
      </c>
      <c r="J85" s="348">
        <v>600</v>
      </c>
      <c r="K85" s="348">
        <v>560</v>
      </c>
      <c r="L85" s="348">
        <v>560</v>
      </c>
      <c r="M85" s="1"/>
      <c r="N85" s="269" t="s">
        <v>83</v>
      </c>
      <c r="O85" s="251">
        <v>8020</v>
      </c>
      <c r="P85" s="251"/>
      <c r="Q85" s="251"/>
      <c r="R85" s="1"/>
      <c r="S85" s="1"/>
      <c r="T85" s="1"/>
      <c r="U85" s="1"/>
      <c r="V85" s="1"/>
      <c r="W85" s="1"/>
      <c r="X85" s="1"/>
      <c r="Y85" s="1"/>
      <c r="Z85" s="1">
        <f>'комплекты фурнитуры'!$Q$21</f>
        <v>930</v>
      </c>
      <c r="AA85" s="1"/>
      <c r="AB85" s="1"/>
      <c r="AC85" s="1"/>
      <c r="AD85" s="1"/>
      <c r="AE85" s="1">
        <f>'комплекты фурнитуры'!$Q$26*2</f>
        <v>540</v>
      </c>
      <c r="AF85" s="1"/>
      <c r="AG85" s="1"/>
      <c r="AH85" s="29">
        <f>SUM(Прайс[[#This Row],[КФ НСТ11]:[KFPr-SB-ZPG]])</f>
        <v>1470</v>
      </c>
      <c r="AI85" s="29"/>
      <c r="AJ85" s="1"/>
      <c r="AK85" s="1"/>
      <c r="AL85" s="264"/>
      <c r="AM85" s="29">
        <f>'комплекты фурнитуры'!$Q$68</f>
        <v>500</v>
      </c>
      <c r="AN85" s="29">
        <f>'комплекты фурнитуры'!$Q$69</f>
        <v>130</v>
      </c>
      <c r="AO85" s="29"/>
      <c r="AP85" s="29"/>
      <c r="AQ85" s="29"/>
      <c r="AR85" s="29"/>
      <c r="AS85" s="29"/>
      <c r="AT85" s="29"/>
      <c r="AU85" s="29"/>
      <c r="AV85" s="29"/>
      <c r="AW85" s="265"/>
      <c r="AX85" s="29"/>
      <c r="AY85" s="265"/>
      <c r="AZ85" s="29"/>
      <c r="BA85" s="29"/>
      <c r="BB85" s="265"/>
      <c r="BC85" s="29">
        <f>'комплекты фурнитуры'!$Q$30</f>
        <v>5810</v>
      </c>
      <c r="BD85" s="265"/>
      <c r="BE85" s="29">
        <f>'комплекты фурнитуры'!$Q$33</f>
        <v>940</v>
      </c>
      <c r="BF85" s="29">
        <f>'комплекты фурнитуры'!$Q$35</f>
        <v>170</v>
      </c>
      <c r="BG85" s="265"/>
      <c r="BH85" s="29">
        <f>'комплекты фурнитуры'!$Q$36</f>
        <v>5040</v>
      </c>
      <c r="BI85" s="29">
        <f>'комплекты фурнитуры'!$Q$38</f>
        <v>6440</v>
      </c>
      <c r="BJ85" s="29"/>
      <c r="BK85" s="29"/>
      <c r="BL85" s="29"/>
      <c r="BM85" s="29"/>
      <c r="BN85" s="29"/>
      <c r="BO85" s="29"/>
      <c r="BP85" s="28">
        <f>Прайс[[#This Row],[КФ ящика Matrix (H=175 мм)_450_GR]]*2+Прайс[[#This Row],[КФ петли SENS накл.110 гр. с крестообр. Планкой]]*2</f>
        <v>11080</v>
      </c>
      <c r="BQ85" s="28">
        <f>Прайс[[#This Row],[KFN-SB-M15]]*2+Прайс[[#This Row],[KFN-SB-MD]]*2+Прайс[[#This Row],[KFP-SB-N110]]*2</f>
        <v>2480</v>
      </c>
      <c r="BR85" s="28">
        <f>Прайс[[#This Row],[Комплект ящика INNOTECH ATIRA полного выдв. с  PUSH TO OPEN , Н70,NL470,цвет серебристый]]*2+Прайс[[#This Row],[KFP-SB-N110]]*2</f>
        <v>13140</v>
      </c>
      <c r="BS85" s="1">
        <v>600</v>
      </c>
      <c r="BT85" s="1">
        <v>2040</v>
      </c>
      <c r="BU85" s="1" t="str">
        <f>IF(OR(Прайс[[#This Row],[Тип]]="Нижний",Прайс[[#This Row],[Тип]]="Пенал"),"560",IF(Прайс[[#This Row],[Тип]]="Верхний",315,0))</f>
        <v>560</v>
      </c>
      <c r="BV85" s="28">
        <v>1.08</v>
      </c>
      <c r="BW85" s="28">
        <v>1.0649999999999999</v>
      </c>
      <c r="BX85" s="28">
        <v>0</v>
      </c>
      <c r="BY85" s="344">
        <v>1</v>
      </c>
      <c r="BZ85" s="344">
        <v>2</v>
      </c>
      <c r="CA85" s="1" t="s">
        <v>87</v>
      </c>
      <c r="CB85" s="28" t="s">
        <v>818</v>
      </c>
      <c r="CC85" s="344" t="s">
        <v>859</v>
      </c>
      <c r="CD85" s="344" t="s">
        <v>10</v>
      </c>
    </row>
    <row r="86" spans="1:84" ht="15" customHeight="1" x14ac:dyDescent="0.25">
      <c r="A86" s="349" t="s">
        <v>57</v>
      </c>
      <c r="B86" s="343" t="s">
        <v>9</v>
      </c>
      <c r="C86" s="343" t="s">
        <v>857</v>
      </c>
      <c r="D86" s="343" t="s">
        <v>89</v>
      </c>
      <c r="E86" s="343" t="s">
        <v>10</v>
      </c>
      <c r="F86" s="343" t="s">
        <v>155</v>
      </c>
      <c r="G86" s="348">
        <v>2000</v>
      </c>
      <c r="H86" s="348">
        <v>2280</v>
      </c>
      <c r="I86" s="348">
        <v>600</v>
      </c>
      <c r="J86" s="348">
        <v>600</v>
      </c>
      <c r="K86" s="348">
        <v>560</v>
      </c>
      <c r="L86" s="348">
        <v>560</v>
      </c>
      <c r="M86" s="1"/>
      <c r="N86" s="269" t="s">
        <v>83</v>
      </c>
      <c r="O86" s="251">
        <v>6990</v>
      </c>
      <c r="P86" s="251"/>
      <c r="Q86" s="251"/>
      <c r="R86" s="1"/>
      <c r="S86" s="1"/>
      <c r="T86" s="1"/>
      <c r="U86" s="1"/>
      <c r="V86" s="1"/>
      <c r="W86" s="1"/>
      <c r="X86" s="1"/>
      <c r="Y86" s="1"/>
      <c r="Z86" s="1"/>
      <c r="AA86" s="1">
        <f>'комплекты фурнитуры'!$Q$22</f>
        <v>1130</v>
      </c>
      <c r="AB86" s="1"/>
      <c r="AC86" s="1"/>
      <c r="AD86" s="1"/>
      <c r="AE86" s="1">
        <f>'комплекты фурнитуры'!$Q$26*2</f>
        <v>540</v>
      </c>
      <c r="AF86" s="1"/>
      <c r="AG86" s="1"/>
      <c r="AH86" s="29">
        <f>SUM(Прайс[[#This Row],[КФ НСТ11]:[KFPr-SB-ZPG]])</f>
        <v>1670</v>
      </c>
      <c r="AI86" s="29"/>
      <c r="AJ86" s="1"/>
      <c r="AK86" s="1"/>
      <c r="AL86" s="264"/>
      <c r="AM86" s="29">
        <f>'комплекты фурнитуры'!$Q$68</f>
        <v>500</v>
      </c>
      <c r="AN86" s="29">
        <f>'комплекты фурнитуры'!$Q$69</f>
        <v>130</v>
      </c>
      <c r="AO86" s="29"/>
      <c r="AP86" s="29"/>
      <c r="AQ86" s="29"/>
      <c r="AR86" s="29"/>
      <c r="AS86" s="29"/>
      <c r="AT86" s="29"/>
      <c r="AU86" s="29"/>
      <c r="AV86" s="29"/>
      <c r="AW86" s="29">
        <f>'комплекты фурнитуры'!$Q$73</f>
        <v>6080</v>
      </c>
      <c r="AX86" s="29"/>
      <c r="AY86" s="29">
        <f>'комплекты фурнитуры'!$Q$76</f>
        <v>2290</v>
      </c>
      <c r="AZ86" s="29"/>
      <c r="BA86" s="29"/>
      <c r="BB86" s="265"/>
      <c r="BC86" s="265"/>
      <c r="BD86" s="265"/>
      <c r="BE86" s="265"/>
      <c r="BF86" s="265"/>
      <c r="BG86" s="265"/>
      <c r="BH86" s="265"/>
      <c r="BI86" s="265"/>
      <c r="BJ86" s="29"/>
      <c r="BK86" s="29"/>
      <c r="BL86" s="29"/>
      <c r="BM86" s="29"/>
      <c r="BN86" s="29"/>
      <c r="BO86" s="29"/>
      <c r="BP86" s="28">
        <f>Прайс[[#This Row],[KFP-SP-PPGK]]+Прайс[[#This Row],[КФ петли SENS накл.110 гр. с крестообр. Планкой]]*2</f>
        <v>7080</v>
      </c>
      <c r="BQ86" s="28">
        <f>Прайс[[#This Row],[KFP-SP-PPA]]+Прайс[[#This Row],[KFP-SB-N110]]*4</f>
        <v>2810</v>
      </c>
      <c r="BR86" s="28">
        <v>0</v>
      </c>
      <c r="BS86" s="1">
        <v>600</v>
      </c>
      <c r="BT86" s="1">
        <v>2040</v>
      </c>
      <c r="BU86" s="1" t="str">
        <f>IF(OR(Прайс[[#This Row],[Тип]]="Нижний",Прайс[[#This Row],[Тип]]="Пенал"),"560",IF(Прайс[[#This Row],[Тип]]="Верхний",315,0))</f>
        <v>560</v>
      </c>
      <c r="BV86" s="28">
        <v>1.08</v>
      </c>
      <c r="BW86" s="28">
        <v>1.0649999999999999</v>
      </c>
      <c r="BX86" s="28">
        <v>0</v>
      </c>
      <c r="BY86" s="344">
        <v>1</v>
      </c>
      <c r="BZ86" s="344">
        <v>2</v>
      </c>
      <c r="CA86" s="1" t="s">
        <v>10</v>
      </c>
      <c r="CB86" s="28" t="s">
        <v>820</v>
      </c>
      <c r="CC86" s="344" t="s">
        <v>858</v>
      </c>
      <c r="CD86" s="344" t="s">
        <v>10</v>
      </c>
    </row>
    <row r="87" spans="1:84" ht="15" customHeight="1" x14ac:dyDescent="0.25">
      <c r="A87" s="349" t="s">
        <v>58</v>
      </c>
      <c r="B87" s="343" t="s">
        <v>9</v>
      </c>
      <c r="C87" s="343" t="s">
        <v>855</v>
      </c>
      <c r="D87" s="343" t="s">
        <v>89</v>
      </c>
      <c r="E87" s="343" t="s">
        <v>10</v>
      </c>
      <c r="F87" s="343" t="s">
        <v>155</v>
      </c>
      <c r="G87" s="348">
        <v>2000</v>
      </c>
      <c r="H87" s="348">
        <v>2280</v>
      </c>
      <c r="I87" s="348">
        <v>600</v>
      </c>
      <c r="J87" s="348">
        <v>600</v>
      </c>
      <c r="K87" s="348">
        <v>560</v>
      </c>
      <c r="L87" s="348">
        <v>560</v>
      </c>
      <c r="M87" s="1"/>
      <c r="N87" s="269" t="s">
        <v>83</v>
      </c>
      <c r="O87" s="251">
        <v>6910</v>
      </c>
      <c r="P87" s="251"/>
      <c r="Q87" s="251"/>
      <c r="R87" s="1"/>
      <c r="S87" s="1"/>
      <c r="T87" s="1"/>
      <c r="U87" s="1"/>
      <c r="V87" s="1"/>
      <c r="W87" s="1"/>
      <c r="X87" s="1"/>
      <c r="Y87" s="1"/>
      <c r="Z87" s="1"/>
      <c r="AA87" s="1">
        <f>'комплекты фурнитуры'!$Q$22</f>
        <v>1130</v>
      </c>
      <c r="AB87" s="1"/>
      <c r="AC87" s="1"/>
      <c r="AD87" s="1"/>
      <c r="AE87" s="1">
        <f>'комплекты фурнитуры'!$Q$26*2</f>
        <v>540</v>
      </c>
      <c r="AF87" s="1"/>
      <c r="AG87" s="1"/>
      <c r="AH87" s="29">
        <f>SUM(Прайс[[#This Row],[КФ НСТ11]:[KFPr-SB-ZPG]])</f>
        <v>1670</v>
      </c>
      <c r="AI87" s="29"/>
      <c r="AJ87" s="1"/>
      <c r="AK87" s="1"/>
      <c r="AL87" s="264"/>
      <c r="AM87" s="29">
        <f>'комплекты фурнитуры'!$Q$68</f>
        <v>500</v>
      </c>
      <c r="AN87" s="29">
        <f>'комплекты фурнитуры'!$Q$69</f>
        <v>130</v>
      </c>
      <c r="AO87" s="29"/>
      <c r="AP87" s="29"/>
      <c r="AQ87" s="29"/>
      <c r="AR87" s="29"/>
      <c r="AS87" s="29"/>
      <c r="AT87" s="29"/>
      <c r="AU87" s="29"/>
      <c r="AV87" s="29"/>
      <c r="AW87" s="265"/>
      <c r="AX87" s="29"/>
      <c r="AY87" s="265"/>
      <c r="AZ87" s="29"/>
      <c r="BA87" s="29"/>
      <c r="BB87" s="265"/>
      <c r="BC87" s="29">
        <f>'комплекты фурнитуры'!$Q$30</f>
        <v>5810</v>
      </c>
      <c r="BD87" s="265"/>
      <c r="BE87" s="29">
        <f>'комплекты фурнитуры'!$Q$33</f>
        <v>940</v>
      </c>
      <c r="BF87" s="29">
        <f>'комплекты фурнитуры'!$Q$35</f>
        <v>170</v>
      </c>
      <c r="BG87" s="265"/>
      <c r="BH87" s="29">
        <f>'комплекты фурнитуры'!$Q$36</f>
        <v>5040</v>
      </c>
      <c r="BI87" s="29">
        <f>'комплекты фурнитуры'!$Q$38</f>
        <v>6440</v>
      </c>
      <c r="BJ87" s="29"/>
      <c r="BK87" s="29"/>
      <c r="BL87" s="29"/>
      <c r="BM87" s="29"/>
      <c r="BN87" s="29"/>
      <c r="BO87" s="29"/>
      <c r="BP87" s="28">
        <f>Прайс[[#This Row],[КФ петли SENS накл.110 гр. с крестообр. Планкой]]*2+Прайс[[#This Row],[KFN-SB-DWD95R]]</f>
        <v>6810</v>
      </c>
      <c r="BQ87" s="28">
        <f>Прайс[[#This Row],[KFP-SB-N110]]*2+Прайс[[#This Row],[KFN-SB-M15]]+Прайс[[#This Row],[KFN-SB-MD]]</f>
        <v>1370</v>
      </c>
      <c r="BR87" s="28">
        <f>Прайс[[#This Row],[KFP-SB-N110]]*2+Прайс[[#This Row],[Комплект ящика INNOTECH ATIRA полного выдв. с  PUSH TO OPEN , Н70,NL470,цвет серебристый]]</f>
        <v>6700</v>
      </c>
      <c r="BS87" s="1">
        <v>600</v>
      </c>
      <c r="BT87" s="1">
        <v>2040</v>
      </c>
      <c r="BU87" s="1" t="str">
        <f>IF(OR(Прайс[[#This Row],[Тип]]="Нижний",Прайс[[#This Row],[Тип]]="Пенал"),"560",IF(Прайс[[#This Row],[Тип]]="Верхний",315,0))</f>
        <v>560</v>
      </c>
      <c r="BV87" s="28">
        <v>1.08</v>
      </c>
      <c r="BW87" s="28">
        <v>1.0649999999999999</v>
      </c>
      <c r="BX87" s="28">
        <v>0</v>
      </c>
      <c r="BY87" s="344">
        <v>1</v>
      </c>
      <c r="BZ87" s="344">
        <v>1</v>
      </c>
      <c r="CA87" s="1" t="s">
        <v>87</v>
      </c>
      <c r="CB87" s="28" t="s">
        <v>818</v>
      </c>
      <c r="CC87" s="344">
        <v>1</v>
      </c>
      <c r="CD87" s="344" t="s">
        <v>10</v>
      </c>
    </row>
    <row r="88" spans="1:84" ht="15" customHeight="1" x14ac:dyDescent="0.25">
      <c r="A88" s="349" t="s">
        <v>59</v>
      </c>
      <c r="B88" s="343" t="s">
        <v>9</v>
      </c>
      <c r="C88" s="343" t="s">
        <v>856</v>
      </c>
      <c r="D88" s="343" t="s">
        <v>89</v>
      </c>
      <c r="E88" s="343" t="s">
        <v>87</v>
      </c>
      <c r="F88" s="343" t="s">
        <v>155</v>
      </c>
      <c r="G88" s="348">
        <v>2000</v>
      </c>
      <c r="H88" s="348">
        <v>2280</v>
      </c>
      <c r="I88" s="348">
        <v>600</v>
      </c>
      <c r="J88" s="348">
        <v>600</v>
      </c>
      <c r="K88" s="348">
        <v>560</v>
      </c>
      <c r="L88" s="348">
        <v>560</v>
      </c>
      <c r="M88" s="1"/>
      <c r="N88" s="269" t="s">
        <v>83</v>
      </c>
      <c r="O88" s="251">
        <v>7462.8</v>
      </c>
      <c r="P88" s="251"/>
      <c r="Q88" s="251"/>
      <c r="R88" s="1"/>
      <c r="S88" s="1"/>
      <c r="T88" s="1"/>
      <c r="U88" s="1"/>
      <c r="V88" s="1"/>
      <c r="W88" s="1"/>
      <c r="X88" s="1"/>
      <c r="Y88" s="1"/>
      <c r="Z88" s="1"/>
      <c r="AA88" s="1">
        <f>'комплекты фурнитуры'!$Q$22</f>
        <v>1130</v>
      </c>
      <c r="AB88" s="1"/>
      <c r="AC88" s="1"/>
      <c r="AD88" s="1"/>
      <c r="AE88" s="1">
        <f>'комплекты фурнитуры'!$Q$26*2</f>
        <v>540</v>
      </c>
      <c r="AF88" s="1"/>
      <c r="AG88" s="1"/>
      <c r="AH88" s="29">
        <f>SUM(Прайс[[#This Row],[КФ НСТ11]:[KFPr-SB-ZPG]])</f>
        <v>1670</v>
      </c>
      <c r="AI88" s="29"/>
      <c r="AJ88" s="1"/>
      <c r="AK88" s="1"/>
      <c r="AL88" s="264">
        <f>'комплекты фурнитуры'!$Q$92</f>
        <v>290</v>
      </c>
      <c r="AM88" s="29">
        <f>'комплекты фурнитуры'!$Q$68</f>
        <v>500</v>
      </c>
      <c r="AN88" s="265"/>
      <c r="AO88" s="29"/>
      <c r="AP88" s="29"/>
      <c r="AQ88" s="29"/>
      <c r="AR88" s="29"/>
      <c r="AS88" s="29"/>
      <c r="AT88" s="29"/>
      <c r="AU88" s="29"/>
      <c r="AV88" s="29"/>
      <c r="AW88" s="265"/>
      <c r="AX88" s="29"/>
      <c r="AY88" s="265"/>
      <c r="AZ88" s="29"/>
      <c r="BA88" s="29"/>
      <c r="BB88" s="265"/>
      <c r="BC88" s="29">
        <f>'комплекты фурнитуры'!$Q$30</f>
        <v>5810</v>
      </c>
      <c r="BD88" s="265"/>
      <c r="BE88" s="265"/>
      <c r="BF88" s="265"/>
      <c r="BG88" s="265"/>
      <c r="BH88" s="29">
        <f>'комплекты фурнитуры'!$Q$36</f>
        <v>5040</v>
      </c>
      <c r="BI88" s="265"/>
      <c r="BJ88" s="29"/>
      <c r="BK88" s="29"/>
      <c r="BL88" s="29"/>
      <c r="BM88" s="29"/>
      <c r="BN88" s="29"/>
      <c r="BO88" s="29"/>
      <c r="BP88" s="28">
        <f>Прайс[[#This Row],[КФ петли SENS накл.110 гр. с крестообр. Планкой]]*2+Прайс[[#This Row],[KFN-SB-DWD95R]]+Прайс[[#This Row],[КФ KEKU]]*4</f>
        <v>7970</v>
      </c>
      <c r="BQ88" s="28">
        <v>0</v>
      </c>
      <c r="BR88" s="28">
        <v>0</v>
      </c>
      <c r="BS88" s="1">
        <v>600</v>
      </c>
      <c r="BT88" s="1">
        <v>2040</v>
      </c>
      <c r="BU88" s="1" t="str">
        <f>IF(OR(Прайс[[#This Row],[Тип]]="Нижний",Прайс[[#This Row],[Тип]]="Пенал"),"560",IF(Прайс[[#This Row],[Тип]]="Верхний",315,0))</f>
        <v>560</v>
      </c>
      <c r="BV88" s="28">
        <v>1.08</v>
      </c>
      <c r="BW88" s="28">
        <v>1.0649999999999999</v>
      </c>
      <c r="BX88" s="28">
        <v>0</v>
      </c>
      <c r="BY88" s="344">
        <v>1</v>
      </c>
      <c r="BZ88" s="344">
        <v>1</v>
      </c>
      <c r="CA88" s="1" t="s">
        <v>10</v>
      </c>
      <c r="CB88" s="28" t="s">
        <v>819</v>
      </c>
      <c r="CC88" s="344">
        <v>1</v>
      </c>
      <c r="CD88" s="344" t="s">
        <v>10</v>
      </c>
    </row>
    <row r="89" spans="1:84" ht="15" customHeight="1" x14ac:dyDescent="0.25">
      <c r="A89" s="349" t="s">
        <v>60</v>
      </c>
      <c r="B89" s="343" t="s">
        <v>9</v>
      </c>
      <c r="C89" s="343" t="s">
        <v>125</v>
      </c>
      <c r="D89" s="343" t="s">
        <v>89</v>
      </c>
      <c r="E89" s="343" t="s">
        <v>10</v>
      </c>
      <c r="F89" s="343" t="s">
        <v>154</v>
      </c>
      <c r="G89" s="348">
        <v>2280</v>
      </c>
      <c r="H89" s="348">
        <v>2280</v>
      </c>
      <c r="I89" s="348">
        <v>600</v>
      </c>
      <c r="J89" s="348">
        <v>600</v>
      </c>
      <c r="K89" s="348">
        <v>560</v>
      </c>
      <c r="L89" s="348">
        <v>560</v>
      </c>
      <c r="M89" s="1"/>
      <c r="N89" s="269" t="s">
        <v>83</v>
      </c>
      <c r="O89" s="251">
        <v>6310</v>
      </c>
      <c r="P89" s="251"/>
      <c r="Q89" s="251"/>
      <c r="R89" s="1"/>
      <c r="S89" s="1"/>
      <c r="T89" s="1"/>
      <c r="U89" s="1"/>
      <c r="V89" s="1"/>
      <c r="W89" s="1"/>
      <c r="X89" s="1"/>
      <c r="Y89" s="1"/>
      <c r="Z89" s="1"/>
      <c r="AA89" s="1">
        <f>'комплекты фурнитуры'!$Q$22</f>
        <v>1130</v>
      </c>
      <c r="AB89" s="1"/>
      <c r="AC89" s="1"/>
      <c r="AD89" s="1"/>
      <c r="AE89" s="1">
        <f>'комплекты фурнитуры'!$Q$26*2</f>
        <v>540</v>
      </c>
      <c r="AF89" s="1"/>
      <c r="AG89" s="1"/>
      <c r="AH89" s="29">
        <f>SUM(Прайс[[#This Row],[КФ НСТ11]:[KFPr-SB-ZPG]])</f>
        <v>1670</v>
      </c>
      <c r="AI89" s="29"/>
      <c r="AJ89" s="1"/>
      <c r="AK89" s="1"/>
      <c r="AL89" s="266"/>
      <c r="AM89" s="29">
        <f>'комплекты фурнитуры'!$Q$68</f>
        <v>500</v>
      </c>
      <c r="AN89" s="29">
        <f>'комплекты фурнитуры'!$Q$69</f>
        <v>130</v>
      </c>
      <c r="AO89" s="29"/>
      <c r="AP89" s="29"/>
      <c r="AQ89" s="29"/>
      <c r="AR89" s="29"/>
      <c r="AS89" s="29"/>
      <c r="AT89" s="29"/>
      <c r="AU89" s="29"/>
      <c r="AV89" s="29"/>
      <c r="AW89" s="29">
        <f>'комплекты фурнитуры'!$Q$73</f>
        <v>6080</v>
      </c>
      <c r="AX89" s="29"/>
      <c r="AY89" s="29">
        <f>'комплекты фурнитуры'!$Q$76</f>
        <v>2290</v>
      </c>
      <c r="AZ89" s="29"/>
      <c r="BA89" s="29"/>
      <c r="BB89" s="267"/>
      <c r="BC89" s="267"/>
      <c r="BD89" s="267"/>
      <c r="BE89" s="267"/>
      <c r="BF89" s="267"/>
      <c r="BG89" s="267"/>
      <c r="BH89" s="267"/>
      <c r="BI89" s="267"/>
      <c r="BJ89" s="29"/>
      <c r="BK89" s="29"/>
      <c r="BL89" s="29"/>
      <c r="BM89" s="29"/>
      <c r="BN89" s="29"/>
      <c r="BO89" s="29"/>
      <c r="BP89" s="28">
        <f>Прайс[[#This Row],[KFP-SP-PPGK]]+Прайс[[#This Row],[КФ петли SENS накл.110 гр. с крестообр. Планкой]]*5</f>
        <v>8580</v>
      </c>
      <c r="BQ89" s="28">
        <f>Прайс[[#This Row],[KFP-SP-PPA]]+Прайс[[#This Row],[KFP-SB-N110]]*7</f>
        <v>3200</v>
      </c>
      <c r="BR89" s="28">
        <v>0</v>
      </c>
      <c r="BS89" s="1">
        <v>600</v>
      </c>
      <c r="BT89" s="1">
        <v>2280</v>
      </c>
      <c r="BU89" s="1" t="str">
        <f>IF(OR(Прайс[[#This Row],[Тип]]="Нижний",Прайс[[#This Row],[Тип]]="Пенал"),"560",IF(Прайс[[#This Row],[Тип]]="Верхний",315,0))</f>
        <v>560</v>
      </c>
      <c r="BV89" s="28">
        <v>1.08</v>
      </c>
      <c r="BW89" s="28">
        <v>1.0649999999999999</v>
      </c>
      <c r="BX89" s="28">
        <v>1.3</v>
      </c>
      <c r="BY89" s="344">
        <v>0</v>
      </c>
      <c r="BZ89" s="344">
        <v>0</v>
      </c>
      <c r="CA89" s="1" t="s">
        <v>10</v>
      </c>
      <c r="CB89" s="28" t="s">
        <v>820</v>
      </c>
      <c r="CC89" s="344">
        <v>0</v>
      </c>
      <c r="CD89" s="344" t="s">
        <v>10</v>
      </c>
    </row>
    <row r="90" spans="1:84" ht="15" customHeight="1" x14ac:dyDescent="0.25"/>
    <row r="94" spans="1:84" x14ac:dyDescent="0.25">
      <c r="A94" s="15"/>
    </row>
    <row r="95" spans="1:84" x14ac:dyDescent="0.25">
      <c r="A95" s="15"/>
    </row>
    <row r="96" spans="1:84" x14ac:dyDescent="0.25">
      <c r="A96" s="15"/>
    </row>
    <row r="97" spans="1:32" x14ac:dyDescent="0.25">
      <c r="A97" s="15"/>
    </row>
    <row r="98" spans="1:32" x14ac:dyDescent="0.25">
      <c r="A98" s="15"/>
    </row>
    <row r="99" spans="1:32" ht="15.75" x14ac:dyDescent="0.25">
      <c r="A99" s="15"/>
      <c r="AF99" s="253"/>
    </row>
    <row r="100" spans="1:32" x14ac:dyDescent="0.25">
      <c r="A100" s="15"/>
    </row>
    <row r="101" spans="1:32" x14ac:dyDescent="0.25">
      <c r="A101" s="15"/>
    </row>
    <row r="102" spans="1:32" x14ac:dyDescent="0.25">
      <c r="A102" s="15"/>
    </row>
    <row r="103" spans="1:32" x14ac:dyDescent="0.25">
      <c r="A103" s="15"/>
    </row>
    <row r="104" spans="1:32" x14ac:dyDescent="0.25">
      <c r="A104" s="15"/>
    </row>
    <row r="105" spans="1:32" x14ac:dyDescent="0.25">
      <c r="A105" s="15"/>
    </row>
    <row r="106" spans="1:32" x14ac:dyDescent="0.25">
      <c r="A106" s="15"/>
    </row>
    <row r="107" spans="1:32" x14ac:dyDescent="0.25">
      <c r="A107" s="15"/>
    </row>
    <row r="108" spans="1:32" x14ac:dyDescent="0.25">
      <c r="A108" s="15"/>
    </row>
    <row r="109" spans="1:32" x14ac:dyDescent="0.25">
      <c r="A109" s="15"/>
    </row>
    <row r="110" spans="1:32" x14ac:dyDescent="0.25">
      <c r="A110" s="15"/>
    </row>
    <row r="111" spans="1:32" x14ac:dyDescent="0.25">
      <c r="A111" s="15"/>
    </row>
    <row r="112" spans="1:32" x14ac:dyDescent="0.25">
      <c r="A112" s="15"/>
    </row>
    <row r="113" spans="1:29" x14ac:dyDescent="0.25">
      <c r="A113" s="15"/>
    </row>
    <row r="114" spans="1:29" x14ac:dyDescent="0.25">
      <c r="A114" s="15"/>
    </row>
    <row r="115" spans="1:29" x14ac:dyDescent="0.25">
      <c r="A115" s="15"/>
    </row>
    <row r="116" spans="1:29" x14ac:dyDescent="0.25">
      <c r="A116" s="15"/>
    </row>
    <row r="117" spans="1:29" x14ac:dyDescent="0.25">
      <c r="A117" s="15"/>
    </row>
    <row r="118" spans="1:29" x14ac:dyDescent="0.25">
      <c r="A118" s="15"/>
    </row>
    <row r="119" spans="1:29" x14ac:dyDescent="0.25">
      <c r="A119" s="15"/>
    </row>
    <row r="120" spans="1:29" x14ac:dyDescent="0.25">
      <c r="A120" s="15"/>
    </row>
    <row r="121" spans="1:29" x14ac:dyDescent="0.25">
      <c r="A121" s="15"/>
    </row>
    <row r="122" spans="1:29" x14ac:dyDescent="0.25">
      <c r="A122" s="15"/>
    </row>
    <row r="123" spans="1:29" x14ac:dyDescent="0.25">
      <c r="A123" s="15"/>
    </row>
    <row r="124" spans="1:29" x14ac:dyDescent="0.25">
      <c r="A124" s="15"/>
    </row>
    <row r="125" spans="1:29" x14ac:dyDescent="0.25">
      <c r="A125" s="15"/>
      <c r="P125" s="307"/>
      <c r="Q125" s="307"/>
      <c r="R125" s="307"/>
      <c r="S125" s="307"/>
      <c r="T125" s="307"/>
      <c r="U125" s="307"/>
      <c r="V125" s="307"/>
      <c r="W125" s="307"/>
      <c r="X125" s="307"/>
      <c r="Y125" s="34"/>
    </row>
    <row r="126" spans="1:29" x14ac:dyDescent="0.25">
      <c r="A126" s="15"/>
      <c r="P126" s="2"/>
      <c r="Q126" s="2"/>
      <c r="R126" s="2"/>
      <c r="S126" s="2"/>
      <c r="T126" s="2"/>
      <c r="U126" s="2"/>
      <c r="V126" s="2"/>
      <c r="W126" s="2"/>
      <c r="X126" s="2"/>
      <c r="Y126" s="2"/>
      <c r="Z126" s="2"/>
      <c r="AA126" s="2"/>
      <c r="AB126" s="2"/>
      <c r="AC126" s="2"/>
    </row>
    <row r="127" spans="1:29" x14ac:dyDescent="0.25">
      <c r="A127" s="15"/>
      <c r="P127" s="2"/>
      <c r="Q127" s="2"/>
      <c r="R127" s="2"/>
      <c r="S127" s="2"/>
      <c r="T127" s="2"/>
      <c r="U127" s="2"/>
      <c r="V127" s="2"/>
      <c r="W127" s="2"/>
      <c r="X127" s="2"/>
      <c r="Y127" s="2"/>
      <c r="Z127" s="2"/>
      <c r="AA127" s="2"/>
      <c r="AB127" s="2"/>
      <c r="AC127" s="2"/>
    </row>
    <row r="128" spans="1:29" x14ac:dyDescent="0.25">
      <c r="A128" s="15"/>
      <c r="P128" s="2"/>
      <c r="Q128" s="2"/>
      <c r="R128" s="2"/>
      <c r="S128" s="2"/>
      <c r="T128" s="2"/>
      <c r="U128" s="2"/>
      <c r="V128" s="2"/>
      <c r="W128" s="2"/>
      <c r="X128" s="2"/>
      <c r="Y128" s="2"/>
      <c r="Z128" s="2"/>
      <c r="AA128" s="2"/>
      <c r="AB128" s="2"/>
      <c r="AC128" s="2"/>
    </row>
    <row r="129" spans="1:29" x14ac:dyDescent="0.25">
      <c r="A129" s="15"/>
      <c r="P129" s="2"/>
      <c r="Q129" s="2"/>
      <c r="R129" s="2"/>
      <c r="S129" s="2"/>
      <c r="T129" s="2"/>
      <c r="U129" s="2"/>
      <c r="V129" s="2"/>
      <c r="W129" s="2"/>
      <c r="X129" s="2"/>
      <c r="Y129" s="2"/>
      <c r="Z129" s="2"/>
      <c r="AA129" s="2"/>
      <c r="AB129" s="2"/>
      <c r="AC129" s="2"/>
    </row>
    <row r="130" spans="1:29" x14ac:dyDescent="0.25">
      <c r="A130" s="15"/>
    </row>
    <row r="131" spans="1:29" x14ac:dyDescent="0.25">
      <c r="A131" s="15"/>
    </row>
    <row r="132" spans="1:29" x14ac:dyDescent="0.25">
      <c r="A132" s="15"/>
    </row>
    <row r="133" spans="1:29" x14ac:dyDescent="0.25">
      <c r="A133" s="15"/>
    </row>
    <row r="134" spans="1:29" x14ac:dyDescent="0.25">
      <c r="A134" s="16"/>
    </row>
    <row r="135" spans="1:29" x14ac:dyDescent="0.25">
      <c r="A135" s="16"/>
    </row>
    <row r="136" spans="1:29" x14ac:dyDescent="0.25">
      <c r="A136" s="15"/>
    </row>
    <row r="137" spans="1:29" x14ac:dyDescent="0.25">
      <c r="A137" s="15"/>
    </row>
    <row r="138" spans="1:29" x14ac:dyDescent="0.25">
      <c r="A138" s="15"/>
    </row>
    <row r="139" spans="1:29" x14ac:dyDescent="0.25">
      <c r="A139" s="15"/>
    </row>
    <row r="140" spans="1:29" x14ac:dyDescent="0.25">
      <c r="A140" s="15"/>
    </row>
    <row r="141" spans="1:29" x14ac:dyDescent="0.25">
      <c r="A141" s="15"/>
    </row>
    <row r="142" spans="1:29" x14ac:dyDescent="0.25">
      <c r="A142" s="15"/>
    </row>
    <row r="143" spans="1:29" x14ac:dyDescent="0.25">
      <c r="A143" s="15"/>
    </row>
    <row r="144" spans="1:29" x14ac:dyDescent="0.25">
      <c r="A144" s="15"/>
    </row>
    <row r="145" spans="1:1" x14ac:dyDescent="0.25">
      <c r="A145" s="15"/>
    </row>
    <row r="146" spans="1:1" x14ac:dyDescent="0.25">
      <c r="A146" s="15"/>
    </row>
    <row r="147" spans="1:1" x14ac:dyDescent="0.25">
      <c r="A147" s="15"/>
    </row>
    <row r="148" spans="1:1" x14ac:dyDescent="0.25">
      <c r="A148" s="15"/>
    </row>
    <row r="149" spans="1:1" x14ac:dyDescent="0.25">
      <c r="A149" s="15"/>
    </row>
    <row r="150" spans="1:1" x14ac:dyDescent="0.25">
      <c r="A150" s="15"/>
    </row>
    <row r="151" spans="1:1" x14ac:dyDescent="0.25">
      <c r="A151" s="15"/>
    </row>
    <row r="152" spans="1:1" x14ac:dyDescent="0.25">
      <c r="A152" s="15"/>
    </row>
    <row r="153" spans="1:1" x14ac:dyDescent="0.25">
      <c r="A153" s="15"/>
    </row>
    <row r="154" spans="1:1" x14ac:dyDescent="0.25">
      <c r="A154" s="15"/>
    </row>
    <row r="155" spans="1:1" x14ac:dyDescent="0.25">
      <c r="A155" s="15"/>
    </row>
    <row r="156" spans="1:1" x14ac:dyDescent="0.25">
      <c r="A156" s="15"/>
    </row>
    <row r="157" spans="1:1" x14ac:dyDescent="0.25">
      <c r="A157" s="15"/>
    </row>
    <row r="158" spans="1:1" x14ac:dyDescent="0.25">
      <c r="A158" s="15"/>
    </row>
    <row r="159" spans="1:1" x14ac:dyDescent="0.25">
      <c r="A159" s="15"/>
    </row>
    <row r="160" spans="1:1" x14ac:dyDescent="0.25">
      <c r="A160" s="15"/>
    </row>
    <row r="161" spans="1:1" x14ac:dyDescent="0.25">
      <c r="A161" s="15"/>
    </row>
    <row r="162" spans="1:1" x14ac:dyDescent="0.25">
      <c r="A162" s="15"/>
    </row>
    <row r="163" spans="1:1" x14ac:dyDescent="0.25">
      <c r="A163" s="15"/>
    </row>
    <row r="164" spans="1:1" x14ac:dyDescent="0.25">
      <c r="A164" s="15"/>
    </row>
    <row r="165" spans="1:1" x14ac:dyDescent="0.25">
      <c r="A165" s="15"/>
    </row>
    <row r="166" spans="1:1" ht="15" customHeight="1" x14ac:dyDescent="0.25">
      <c r="A166" s="15"/>
    </row>
    <row r="167" spans="1:1" x14ac:dyDescent="0.25">
      <c r="A167" s="15"/>
    </row>
    <row r="168" spans="1:1" x14ac:dyDescent="0.25">
      <c r="A168" s="15"/>
    </row>
    <row r="169" spans="1:1" x14ac:dyDescent="0.25">
      <c r="A169" s="16"/>
    </row>
  </sheetData>
  <mergeCells count="1">
    <mergeCell ref="P125:X125"/>
  </mergeCells>
  <phoneticPr fontId="6" type="noConversion"/>
  <pageMargins left="0.7" right="0.7" top="0.75" bottom="0.75" header="0.3" footer="0.3"/>
  <pageSetup paperSize="9" orientation="portrait" r:id="rId1"/>
  <legacy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E7A3D0-C2A0-4290-B59B-8E6C57B4176B}">
  <sheetPr codeName="Лист3"/>
  <dimension ref="A1:AD20"/>
  <sheetViews>
    <sheetView topLeftCell="G1" zoomScaleNormal="100" workbookViewId="0">
      <selection activeCell="O12" sqref="O12"/>
    </sheetView>
  </sheetViews>
  <sheetFormatPr defaultRowHeight="15" x14ac:dyDescent="0.25"/>
  <cols>
    <col min="1" max="1" width="20.7109375" style="1" bestFit="1" customWidth="1"/>
    <col min="2" max="2" width="14.28515625" style="1" bestFit="1" customWidth="1"/>
    <col min="3" max="3" width="15.28515625" style="1" bestFit="1" customWidth="1"/>
    <col min="4" max="4" width="15" style="1" bestFit="1" customWidth="1"/>
    <col min="5" max="5" width="13.85546875" style="1" bestFit="1" customWidth="1"/>
    <col min="6" max="6" width="19.7109375" style="1" bestFit="1" customWidth="1"/>
    <col min="7" max="7" width="17.85546875" style="1" bestFit="1" customWidth="1"/>
    <col min="8" max="8" width="17.140625" style="1" bestFit="1" customWidth="1"/>
    <col min="9" max="9" width="16.42578125" style="1" bestFit="1" customWidth="1"/>
    <col min="10" max="10" width="20.5703125" bestFit="1" customWidth="1"/>
    <col min="11" max="11" width="17.85546875" bestFit="1" customWidth="1"/>
    <col min="12" max="12" width="16.42578125" bestFit="1" customWidth="1"/>
    <col min="13" max="13" width="27.42578125" bestFit="1" customWidth="1"/>
    <col min="14" max="14" width="22.85546875" bestFit="1" customWidth="1"/>
    <col min="15" max="15" width="18.140625" bestFit="1" customWidth="1"/>
    <col min="16" max="16" width="41.7109375" bestFit="1" customWidth="1"/>
    <col min="17" max="17" width="19.85546875" bestFit="1" customWidth="1"/>
    <col min="18" max="18" width="20.140625" bestFit="1" customWidth="1"/>
    <col min="19" max="19" width="24.7109375" bestFit="1" customWidth="1"/>
    <col min="20" max="23" width="20.140625" customWidth="1"/>
    <col min="24" max="24" width="24.140625" bestFit="1" customWidth="1"/>
    <col min="25" max="25" width="9.7109375" customWidth="1"/>
    <col min="26" max="26" width="10.28515625" customWidth="1"/>
    <col min="27" max="27" width="9.42578125" customWidth="1"/>
    <col min="28" max="28" width="13.140625" bestFit="1" customWidth="1"/>
  </cols>
  <sheetData>
    <row r="1" spans="1:30" x14ac:dyDescent="0.25">
      <c r="A1" s="1" t="s">
        <v>176</v>
      </c>
      <c r="B1" s="1" t="s">
        <v>173</v>
      </c>
      <c r="C1" s="1" t="s">
        <v>174</v>
      </c>
      <c r="D1" s="1" t="s">
        <v>175</v>
      </c>
      <c r="E1" s="1" t="s">
        <v>182</v>
      </c>
      <c r="F1" s="1" t="s">
        <v>749</v>
      </c>
      <c r="G1" s="1" t="s">
        <v>716</v>
      </c>
      <c r="H1" s="1" t="s">
        <v>750</v>
      </c>
      <c r="I1" s="1" t="s">
        <v>746</v>
      </c>
      <c r="J1" s="1" t="s">
        <v>754</v>
      </c>
      <c r="K1" s="1" t="s">
        <v>755</v>
      </c>
      <c r="L1" s="1" t="s">
        <v>757</v>
      </c>
      <c r="M1" s="1" t="s">
        <v>758</v>
      </c>
      <c r="N1" s="1" t="s">
        <v>714</v>
      </c>
      <c r="O1" s="1" t="s">
        <v>764</v>
      </c>
      <c r="P1" s="1" t="s">
        <v>157</v>
      </c>
      <c r="Q1" s="1" t="s">
        <v>822</v>
      </c>
      <c r="R1" s="1" t="s">
        <v>184</v>
      </c>
      <c r="S1" s="1" t="s">
        <v>813</v>
      </c>
      <c r="T1" s="1" t="s">
        <v>212</v>
      </c>
      <c r="U1" s="1" t="s">
        <v>180</v>
      </c>
      <c r="V1" s="1" t="s">
        <v>825</v>
      </c>
      <c r="X1" t="s">
        <v>769</v>
      </c>
      <c r="Y1" t="s">
        <v>802</v>
      </c>
      <c r="Z1" t="s">
        <v>803</v>
      </c>
      <c r="AA1" t="s">
        <v>173</v>
      </c>
      <c r="AB1" t="s">
        <v>174</v>
      </c>
      <c r="AC1" t="s">
        <v>182</v>
      </c>
      <c r="AD1" t="s">
        <v>805</v>
      </c>
    </row>
    <row r="2" spans="1:30" x14ac:dyDescent="0.25">
      <c r="A2" s="1" t="s">
        <v>176</v>
      </c>
      <c r="B2" s="1" t="s">
        <v>173</v>
      </c>
      <c r="C2" s="1" t="s">
        <v>174</v>
      </c>
      <c r="D2" s="1" t="s">
        <v>175</v>
      </c>
      <c r="E2" s="1" t="s">
        <v>182</v>
      </c>
      <c r="F2" s="1" t="s">
        <v>749</v>
      </c>
      <c r="G2" s="1" t="s">
        <v>716</v>
      </c>
      <c r="H2" s="1" t="s">
        <v>750</v>
      </c>
      <c r="I2" s="1" t="s">
        <v>746</v>
      </c>
      <c r="J2" s="1" t="s">
        <v>754</v>
      </c>
      <c r="K2" s="1" t="s">
        <v>755</v>
      </c>
      <c r="L2" s="1" t="s">
        <v>757</v>
      </c>
      <c r="M2" s="1" t="s">
        <v>758</v>
      </c>
      <c r="N2" s="1" t="s">
        <v>714</v>
      </c>
      <c r="O2" s="1" t="s">
        <v>764</v>
      </c>
      <c r="P2" s="1" t="s">
        <v>157</v>
      </c>
      <c r="Q2" s="1" t="s">
        <v>822</v>
      </c>
      <c r="R2" s="1" t="s">
        <v>184</v>
      </c>
      <c r="S2" s="1" t="s">
        <v>813</v>
      </c>
      <c r="T2" s="1" t="s">
        <v>212</v>
      </c>
      <c r="U2" s="1" t="s">
        <v>180</v>
      </c>
      <c r="V2" s="1" t="s">
        <v>825</v>
      </c>
      <c r="X2" t="s">
        <v>782</v>
      </c>
      <c r="Y2" t="s">
        <v>772</v>
      </c>
      <c r="Z2">
        <v>38</v>
      </c>
      <c r="AA2">
        <v>3000</v>
      </c>
      <c r="AB2">
        <v>500</v>
      </c>
      <c r="AC2">
        <v>1</v>
      </c>
      <c r="AD2">
        <v>6020</v>
      </c>
    </row>
    <row r="3" spans="1:30" x14ac:dyDescent="0.25">
      <c r="A3" s="1" t="s">
        <v>0</v>
      </c>
      <c r="B3" s="1">
        <v>720</v>
      </c>
      <c r="C3" s="1">
        <v>600</v>
      </c>
      <c r="D3" s="1">
        <v>560</v>
      </c>
      <c r="E3" s="1">
        <v>1</v>
      </c>
      <c r="F3" s="1">
        <v>3801.7000000000003</v>
      </c>
      <c r="G3" s="1">
        <v>0.426736</v>
      </c>
      <c r="H3" s="1">
        <v>1</v>
      </c>
      <c r="I3" s="1">
        <v>0.30618000000000001</v>
      </c>
      <c r="J3" s="1">
        <v>1724.4401760000001</v>
      </c>
      <c r="K3" s="1">
        <v>573.16895999999997</v>
      </c>
      <c r="L3" s="1"/>
      <c r="M3" s="1">
        <v>2461.7000000000003</v>
      </c>
      <c r="N3" s="1">
        <v>300</v>
      </c>
      <c r="O3" s="1" t="s">
        <v>765</v>
      </c>
      <c r="P3" s="1" t="s">
        <v>366</v>
      </c>
      <c r="Q3" s="1"/>
      <c r="R3" s="1" t="s">
        <v>185</v>
      </c>
      <c r="S3" s="1" t="s">
        <v>360</v>
      </c>
      <c r="T3" s="1" t="s">
        <v>220</v>
      </c>
      <c r="U3" s="1" t="s">
        <v>202</v>
      </c>
      <c r="V3" s="1" t="s">
        <v>827</v>
      </c>
      <c r="X3" t="s">
        <v>796</v>
      </c>
      <c r="Y3" t="s">
        <v>797</v>
      </c>
      <c r="Z3">
        <v>38</v>
      </c>
      <c r="AA3">
        <v>4190</v>
      </c>
      <c r="AB3">
        <v>1200</v>
      </c>
      <c r="AC3">
        <v>1</v>
      </c>
      <c r="AD3">
        <v>0</v>
      </c>
    </row>
    <row r="4" spans="1:30" x14ac:dyDescent="0.25">
      <c r="A4" s="1" t="s">
        <v>1</v>
      </c>
      <c r="B4" s="28">
        <v>720</v>
      </c>
      <c r="C4" s="28">
        <v>600</v>
      </c>
      <c r="D4" s="28">
        <v>525</v>
      </c>
      <c r="E4" s="28">
        <v>1</v>
      </c>
      <c r="F4" s="28">
        <v>6496.5</v>
      </c>
      <c r="G4" s="28">
        <v>0.42196800000000001</v>
      </c>
      <c r="H4" s="28">
        <v>0</v>
      </c>
      <c r="I4" s="28">
        <v>0</v>
      </c>
      <c r="J4" s="28">
        <v>1705.1726880000001</v>
      </c>
      <c r="K4" s="28">
        <v>0</v>
      </c>
      <c r="L4" s="28"/>
      <c r="M4" s="28">
        <v>3226.5</v>
      </c>
      <c r="N4" s="28">
        <v>300</v>
      </c>
      <c r="O4" s="1" t="s">
        <v>765</v>
      </c>
      <c r="P4" s="1" t="s">
        <v>366</v>
      </c>
      <c r="Q4" s="1"/>
      <c r="R4" s="1" t="s">
        <v>185</v>
      </c>
      <c r="S4" s="1" t="s">
        <v>360</v>
      </c>
      <c r="T4" s="1" t="s">
        <v>220</v>
      </c>
      <c r="U4" s="1" t="s">
        <v>202</v>
      </c>
      <c r="V4" s="1" t="s">
        <v>827</v>
      </c>
      <c r="X4" t="s">
        <v>782</v>
      </c>
      <c r="Y4" t="s">
        <v>770</v>
      </c>
      <c r="Z4">
        <v>38</v>
      </c>
      <c r="AA4">
        <v>2455</v>
      </c>
      <c r="AB4">
        <v>444</v>
      </c>
      <c r="AC4">
        <v>2</v>
      </c>
      <c r="AD4">
        <v>12040</v>
      </c>
    </row>
    <row r="5" spans="1:30" x14ac:dyDescent="0.25">
      <c r="A5" s="1" t="s">
        <v>816</v>
      </c>
      <c r="B5" s="28">
        <v>720</v>
      </c>
      <c r="C5" s="28">
        <v>850</v>
      </c>
      <c r="D5" s="28">
        <v>315</v>
      </c>
      <c r="E5" s="28">
        <v>1</v>
      </c>
      <c r="F5" s="28">
        <v>7009.25</v>
      </c>
      <c r="G5" s="28">
        <v>0.35513600000000001</v>
      </c>
      <c r="H5" s="28">
        <v>2</v>
      </c>
      <c r="I5" s="28">
        <v>0.24101500000000001</v>
      </c>
      <c r="J5" s="28">
        <v>1435.104576</v>
      </c>
      <c r="K5" s="28">
        <v>902.36016000000006</v>
      </c>
      <c r="L5" s="28"/>
      <c r="M5" s="28">
        <v>2999.2499999999995</v>
      </c>
      <c r="N5" s="28">
        <v>600</v>
      </c>
      <c r="O5" s="1" t="s">
        <v>824</v>
      </c>
      <c r="P5" s="1" t="s">
        <v>365</v>
      </c>
      <c r="Q5" s="1"/>
      <c r="R5" s="1" t="s">
        <v>185</v>
      </c>
      <c r="S5" s="1" t="s">
        <v>360</v>
      </c>
      <c r="T5" s="1" t="s">
        <v>220</v>
      </c>
      <c r="U5" s="1" t="s">
        <v>202</v>
      </c>
      <c r="V5" s="1" t="s">
        <v>826</v>
      </c>
      <c r="X5" t="s">
        <v>782</v>
      </c>
      <c r="Y5" t="s">
        <v>770</v>
      </c>
      <c r="Z5">
        <v>38</v>
      </c>
      <c r="AA5">
        <v>2000</v>
      </c>
      <c r="AB5">
        <v>600</v>
      </c>
      <c r="AC5">
        <v>1</v>
      </c>
      <c r="AD5">
        <v>4278</v>
      </c>
    </row>
    <row r="6" spans="1:30" x14ac:dyDescent="0.25">
      <c r="A6" s="1" t="s">
        <v>0</v>
      </c>
      <c r="B6" s="28">
        <v>720</v>
      </c>
      <c r="C6" s="28">
        <v>600</v>
      </c>
      <c r="D6" s="28">
        <v>525</v>
      </c>
      <c r="E6" s="28">
        <v>1</v>
      </c>
      <c r="F6" s="28">
        <v>4541.7000000000007</v>
      </c>
      <c r="G6" s="28">
        <v>0.426736</v>
      </c>
      <c r="H6" s="28">
        <v>0</v>
      </c>
      <c r="I6" s="28">
        <v>0.28633500000000001</v>
      </c>
      <c r="J6" s="28">
        <v>1724.4401760000001</v>
      </c>
      <c r="K6" s="28">
        <v>0</v>
      </c>
      <c r="L6" s="28"/>
      <c r="M6" s="28">
        <v>2461.7000000000003</v>
      </c>
      <c r="N6" s="28">
        <v>300</v>
      </c>
      <c r="O6" s="1" t="s">
        <v>765</v>
      </c>
      <c r="P6" s="1" t="s">
        <v>365</v>
      </c>
      <c r="Q6" s="1"/>
      <c r="R6" s="1" t="s">
        <v>185</v>
      </c>
      <c r="S6" s="1" t="s">
        <v>360</v>
      </c>
      <c r="T6" s="1" t="s">
        <v>220</v>
      </c>
      <c r="U6" s="1" t="s">
        <v>202</v>
      </c>
      <c r="V6" s="1" t="s">
        <v>827</v>
      </c>
      <c r="X6" t="s">
        <v>796</v>
      </c>
      <c r="Y6" t="s">
        <v>794</v>
      </c>
      <c r="Z6">
        <v>38</v>
      </c>
      <c r="AA6">
        <v>3600</v>
      </c>
      <c r="AB6">
        <v>600</v>
      </c>
      <c r="AC6">
        <v>1</v>
      </c>
      <c r="AD6">
        <v>0</v>
      </c>
    </row>
    <row r="7" spans="1:30" x14ac:dyDescent="0.25">
      <c r="A7" s="1" t="s">
        <v>0</v>
      </c>
      <c r="B7" s="28">
        <v>720</v>
      </c>
      <c r="C7" s="28">
        <v>600</v>
      </c>
      <c r="D7" s="28">
        <v>525</v>
      </c>
      <c r="E7" s="28">
        <v>1</v>
      </c>
      <c r="F7" s="28">
        <v>4541.7000000000007</v>
      </c>
      <c r="G7" s="28">
        <v>0.426736</v>
      </c>
      <c r="H7" s="28">
        <v>0</v>
      </c>
      <c r="I7" s="28">
        <v>0.28633500000000001</v>
      </c>
      <c r="J7" s="28">
        <v>2155.5502200000001</v>
      </c>
      <c r="K7" s="28">
        <v>0</v>
      </c>
      <c r="L7" s="28"/>
      <c r="M7" s="28">
        <v>2461.7000000000003</v>
      </c>
      <c r="N7" s="28">
        <v>300</v>
      </c>
      <c r="O7" s="1" t="s">
        <v>766</v>
      </c>
      <c r="P7" s="1" t="s">
        <v>365</v>
      </c>
      <c r="Q7" s="1"/>
      <c r="R7" s="1" t="s">
        <v>185</v>
      </c>
      <c r="S7" s="1" t="s">
        <v>360</v>
      </c>
      <c r="T7" s="1" t="s">
        <v>220</v>
      </c>
      <c r="U7" s="1" t="s">
        <v>202</v>
      </c>
      <c r="V7" s="1" t="s">
        <v>827</v>
      </c>
      <c r="X7" t="s">
        <v>796</v>
      </c>
      <c r="Y7" t="s">
        <v>794</v>
      </c>
      <c r="Z7">
        <v>38</v>
      </c>
      <c r="AA7">
        <v>3600</v>
      </c>
      <c r="AB7">
        <v>600</v>
      </c>
      <c r="AC7">
        <v>1</v>
      </c>
      <c r="AD7">
        <v>0</v>
      </c>
    </row>
    <row r="8" spans="1:30" x14ac:dyDescent="0.25">
      <c r="A8" s="1" t="s">
        <v>23</v>
      </c>
      <c r="B8" s="28">
        <v>720</v>
      </c>
      <c r="C8" s="28">
        <v>315</v>
      </c>
      <c r="D8" s="28">
        <v>525</v>
      </c>
      <c r="E8" s="28">
        <v>1</v>
      </c>
      <c r="F8" s="28">
        <v>6080</v>
      </c>
      <c r="G8" s="28">
        <v>0.31718800000000003</v>
      </c>
      <c r="H8" s="28">
        <v>0</v>
      </c>
      <c r="I8" s="28">
        <v>0</v>
      </c>
      <c r="J8" s="28">
        <v>1602.1958850000001</v>
      </c>
      <c r="K8" s="28">
        <v>0</v>
      </c>
      <c r="L8" s="28"/>
      <c r="M8" s="28">
        <v>2000</v>
      </c>
      <c r="N8" s="28">
        <v>315</v>
      </c>
      <c r="O8" s="1" t="s">
        <v>804</v>
      </c>
      <c r="P8" s="1" t="s">
        <v>365</v>
      </c>
      <c r="Q8" s="1"/>
      <c r="R8" s="1" t="s">
        <v>185</v>
      </c>
      <c r="S8" s="1" t="s">
        <v>360</v>
      </c>
      <c r="T8" s="1" t="s">
        <v>220</v>
      </c>
      <c r="U8" s="1" t="s">
        <v>202</v>
      </c>
      <c r="V8" s="1" t="s">
        <v>827</v>
      </c>
      <c r="X8" t="s">
        <v>796</v>
      </c>
      <c r="Y8" t="s">
        <v>794</v>
      </c>
      <c r="Z8">
        <v>38</v>
      </c>
      <c r="AA8">
        <v>3600</v>
      </c>
      <c r="AB8">
        <v>600</v>
      </c>
      <c r="AC8">
        <v>1</v>
      </c>
      <c r="AD8">
        <v>0</v>
      </c>
    </row>
    <row r="9" spans="1:30" x14ac:dyDescent="0.25">
      <c r="A9" s="1" t="s">
        <v>132</v>
      </c>
      <c r="B9" s="28">
        <v>1250</v>
      </c>
      <c r="C9" s="28">
        <v>600</v>
      </c>
      <c r="D9" s="28">
        <v>315</v>
      </c>
      <c r="E9" s="28">
        <v>1</v>
      </c>
      <c r="F9" s="28">
        <v>4714.6900000000005</v>
      </c>
      <c r="G9" s="28">
        <v>0.74261600000000005</v>
      </c>
      <c r="H9" s="28">
        <v>0</v>
      </c>
      <c r="I9" s="28">
        <v>0.167265</v>
      </c>
      <c r="J9" s="28">
        <v>3751.1390700000002</v>
      </c>
      <c r="K9" s="28">
        <v>0</v>
      </c>
      <c r="L9" s="28"/>
      <c r="M9" s="28">
        <v>2444.6900000000005</v>
      </c>
      <c r="N9" s="28">
        <v>300</v>
      </c>
      <c r="O9" s="1" t="s">
        <v>765</v>
      </c>
      <c r="P9" s="1" t="s">
        <v>365</v>
      </c>
      <c r="Q9" s="1"/>
      <c r="R9" s="1" t="s">
        <v>185</v>
      </c>
      <c r="S9" s="1" t="s">
        <v>360</v>
      </c>
      <c r="T9" s="1" t="s">
        <v>220</v>
      </c>
      <c r="U9" s="1" t="s">
        <v>202</v>
      </c>
      <c r="V9" s="1" t="s">
        <v>826</v>
      </c>
    </row>
    <row r="10" spans="1:30" x14ac:dyDescent="0.25">
      <c r="A10" s="1" t="s">
        <v>132</v>
      </c>
      <c r="B10" s="28">
        <v>960</v>
      </c>
      <c r="C10" s="28">
        <v>600</v>
      </c>
      <c r="D10" s="28">
        <v>315</v>
      </c>
      <c r="E10" s="28">
        <v>1</v>
      </c>
      <c r="F10" s="28">
        <v>3864.37</v>
      </c>
      <c r="G10" s="28">
        <v>0.56977599999999995</v>
      </c>
      <c r="H10" s="28">
        <v>0</v>
      </c>
      <c r="I10" s="28">
        <v>0.167265</v>
      </c>
      <c r="J10" s="28">
        <v>2878.0810199999996</v>
      </c>
      <c r="K10" s="28">
        <v>0</v>
      </c>
      <c r="L10" s="28"/>
      <c r="M10" s="28">
        <v>2094.37</v>
      </c>
      <c r="N10" s="28">
        <v>300</v>
      </c>
      <c r="O10" s="1" t="s">
        <v>765</v>
      </c>
      <c r="P10" s="1" t="s">
        <v>365</v>
      </c>
      <c r="Q10" s="1"/>
      <c r="R10" s="1" t="s">
        <v>185</v>
      </c>
      <c r="S10" s="1" t="s">
        <v>360</v>
      </c>
      <c r="T10" s="1" t="s">
        <v>220</v>
      </c>
      <c r="U10" s="1" t="s">
        <v>202</v>
      </c>
      <c r="V10" s="1" t="s">
        <v>826</v>
      </c>
    </row>
    <row r="11" spans="1:30" x14ac:dyDescent="0.25">
      <c r="A11" s="1" t="s">
        <v>132</v>
      </c>
      <c r="B11" s="28">
        <v>720</v>
      </c>
      <c r="C11" s="28">
        <v>600</v>
      </c>
      <c r="D11" s="28">
        <v>315</v>
      </c>
      <c r="E11" s="28">
        <v>1</v>
      </c>
      <c r="F11" s="28">
        <v>3574.45</v>
      </c>
      <c r="G11" s="28">
        <v>0.426736</v>
      </c>
      <c r="H11" s="28">
        <v>0</v>
      </c>
      <c r="I11" s="28">
        <v>0.167265</v>
      </c>
      <c r="J11" s="28">
        <v>2155.5502200000001</v>
      </c>
      <c r="K11" s="28">
        <v>0</v>
      </c>
      <c r="L11" s="28"/>
      <c r="M11" s="28">
        <v>1804.4499999999996</v>
      </c>
      <c r="N11" s="28">
        <v>300</v>
      </c>
      <c r="O11" s="1" t="s">
        <v>765</v>
      </c>
      <c r="P11" s="1" t="s">
        <v>365</v>
      </c>
      <c r="Q11" s="1"/>
      <c r="R11" s="1" t="s">
        <v>185</v>
      </c>
      <c r="S11" s="1" t="s">
        <v>360</v>
      </c>
      <c r="T11" s="1" t="s">
        <v>220</v>
      </c>
      <c r="U11" s="1" t="s">
        <v>202</v>
      </c>
      <c r="V11" s="1" t="s">
        <v>826</v>
      </c>
    </row>
    <row r="12" spans="1:30" x14ac:dyDescent="0.25">
      <c r="A12" s="1" t="s">
        <v>0</v>
      </c>
      <c r="B12" s="28">
        <v>720</v>
      </c>
      <c r="C12" s="28">
        <v>600</v>
      </c>
      <c r="D12" s="28">
        <v>525</v>
      </c>
      <c r="E12" s="28">
        <v>1</v>
      </c>
      <c r="F12" s="28">
        <v>4541.7000000000007</v>
      </c>
      <c r="G12" s="28">
        <v>0.426736</v>
      </c>
      <c r="H12" s="28">
        <v>0</v>
      </c>
      <c r="I12" s="28">
        <v>0.28633500000000001</v>
      </c>
      <c r="J12" s="28">
        <v>2155.5502200000001</v>
      </c>
      <c r="K12" s="28">
        <v>0</v>
      </c>
      <c r="L12" s="28"/>
      <c r="M12" s="28">
        <v>2461.7000000000003</v>
      </c>
      <c r="N12" s="28">
        <v>300</v>
      </c>
      <c r="O12" s="1" t="s">
        <v>765</v>
      </c>
      <c r="P12" s="1" t="s">
        <v>365</v>
      </c>
      <c r="Q12" s="1"/>
      <c r="R12" s="1" t="s">
        <v>185</v>
      </c>
      <c r="S12" s="1" t="s">
        <v>360</v>
      </c>
      <c r="T12" s="1" t="s">
        <v>220</v>
      </c>
      <c r="U12" s="1" t="s">
        <v>202</v>
      </c>
      <c r="V12" s="1" t="s">
        <v>827</v>
      </c>
    </row>
    <row r="13" spans="1:30" x14ac:dyDescent="0.25">
      <c r="A13" s="1" t="s">
        <v>20</v>
      </c>
      <c r="B13" s="28">
        <v>720</v>
      </c>
      <c r="C13" s="28">
        <v>600</v>
      </c>
      <c r="D13" s="28">
        <v>525</v>
      </c>
      <c r="E13" s="28">
        <v>1</v>
      </c>
      <c r="F13" s="28">
        <v>3754.7250000000004</v>
      </c>
      <c r="G13" s="28">
        <v>6.9136000000000003E-2</v>
      </c>
      <c r="H13" s="28">
        <v>0</v>
      </c>
      <c r="I13" s="28">
        <v>0</v>
      </c>
      <c r="J13" s="28">
        <v>349.22322000000003</v>
      </c>
      <c r="K13" s="28">
        <v>0</v>
      </c>
      <c r="L13" s="28"/>
      <c r="M13" s="28">
        <v>2754.7250000000004</v>
      </c>
      <c r="N13" s="28">
        <v>450</v>
      </c>
      <c r="O13" s="1" t="s">
        <v>765</v>
      </c>
      <c r="P13" s="1" t="s">
        <v>365</v>
      </c>
      <c r="Q13" s="1"/>
      <c r="R13" s="1" t="s">
        <v>185</v>
      </c>
      <c r="S13" s="1" t="s">
        <v>360</v>
      </c>
      <c r="T13" s="1" t="s">
        <v>220</v>
      </c>
      <c r="U13" s="1" t="s">
        <v>202</v>
      </c>
      <c r="V13" s="1" t="s">
        <v>827</v>
      </c>
    </row>
    <row r="14" spans="1:30" x14ac:dyDescent="0.25">
      <c r="A14" s="1" t="s">
        <v>3</v>
      </c>
      <c r="B14" s="1">
        <v>720</v>
      </c>
      <c r="C14" s="1">
        <v>600</v>
      </c>
      <c r="D14" s="1">
        <v>525</v>
      </c>
      <c r="E14" s="1">
        <v>1</v>
      </c>
      <c r="F14" s="1">
        <v>3541.7000000000003</v>
      </c>
      <c r="G14" s="1">
        <v>0</v>
      </c>
      <c r="H14" s="1">
        <v>0</v>
      </c>
      <c r="I14" s="1">
        <v>0.28633500000000001</v>
      </c>
      <c r="J14" s="1">
        <v>0</v>
      </c>
      <c r="K14" s="1">
        <v>0</v>
      </c>
      <c r="L14" s="1"/>
      <c r="M14" s="1">
        <v>2461.7000000000003</v>
      </c>
      <c r="N14" s="1">
        <v>300</v>
      </c>
      <c r="O14" s="1" t="s">
        <v>765</v>
      </c>
      <c r="P14" s="1" t="s">
        <v>365</v>
      </c>
      <c r="Q14" s="1"/>
      <c r="R14" s="1" t="s">
        <v>185</v>
      </c>
      <c r="S14" s="1" t="s">
        <v>360</v>
      </c>
      <c r="T14" s="1" t="s">
        <v>220</v>
      </c>
      <c r="U14" s="1" t="s">
        <v>202</v>
      </c>
      <c r="V14" s="1" t="s">
        <v>827</v>
      </c>
    </row>
    <row r="15" spans="1:30" x14ac:dyDescent="0.25">
      <c r="A15" s="1" t="s">
        <v>3</v>
      </c>
      <c r="B15" s="1">
        <v>720</v>
      </c>
      <c r="C15" s="1">
        <v>600</v>
      </c>
      <c r="D15" s="1">
        <v>525</v>
      </c>
      <c r="E15" s="1">
        <v>1</v>
      </c>
      <c r="F15" s="1">
        <v>3541.7000000000003</v>
      </c>
      <c r="G15" s="1">
        <v>0</v>
      </c>
      <c r="H15" s="1">
        <v>0</v>
      </c>
      <c r="I15" s="1">
        <v>0.28633500000000001</v>
      </c>
      <c r="J15" s="1">
        <v>0</v>
      </c>
      <c r="K15" s="1">
        <v>0</v>
      </c>
      <c r="L15" s="1"/>
      <c r="M15" s="1">
        <v>2461.7000000000003</v>
      </c>
      <c r="N15" s="1">
        <v>300</v>
      </c>
      <c r="O15" s="1" t="s">
        <v>824</v>
      </c>
      <c r="P15" s="1" t="s">
        <v>365</v>
      </c>
      <c r="Q15" s="1"/>
      <c r="R15" s="1" t="s">
        <v>185</v>
      </c>
      <c r="S15" s="1" t="s">
        <v>360</v>
      </c>
      <c r="T15" s="1" t="s">
        <v>220</v>
      </c>
      <c r="U15" s="1" t="s">
        <v>202</v>
      </c>
      <c r="V15" s="1" t="s">
        <v>827</v>
      </c>
    </row>
    <row r="16" spans="1:30" x14ac:dyDescent="0.25">
      <c r="A16" s="1" t="s">
        <v>17</v>
      </c>
      <c r="B16" s="1">
        <v>720</v>
      </c>
      <c r="C16" s="1">
        <v>600</v>
      </c>
      <c r="D16" s="1">
        <v>525</v>
      </c>
      <c r="E16" s="1">
        <v>1</v>
      </c>
      <c r="F16" s="1">
        <v>4628.5</v>
      </c>
      <c r="G16" s="1">
        <v>0.42435200000000001</v>
      </c>
      <c r="H16" s="1">
        <v>0</v>
      </c>
      <c r="I16" s="1">
        <v>0</v>
      </c>
      <c r="J16" s="1">
        <v>2143.5080400000002</v>
      </c>
      <c r="K16" s="1">
        <v>0</v>
      </c>
      <c r="L16" s="1"/>
      <c r="M16" s="1">
        <v>2748.5</v>
      </c>
      <c r="N16" s="1">
        <v>300</v>
      </c>
      <c r="O16" s="1" t="s">
        <v>765</v>
      </c>
      <c r="P16" s="1" t="s">
        <v>366</v>
      </c>
      <c r="Q16" s="1"/>
      <c r="R16" s="1" t="s">
        <v>185</v>
      </c>
      <c r="S16" s="1" t="s">
        <v>360</v>
      </c>
      <c r="T16" s="1" t="s">
        <v>220</v>
      </c>
      <c r="U16" s="1" t="s">
        <v>202</v>
      </c>
      <c r="V16" s="1" t="s">
        <v>827</v>
      </c>
    </row>
    <row r="17" spans="1:22" x14ac:dyDescent="0.25">
      <c r="A17" s="1" t="s">
        <v>3</v>
      </c>
      <c r="B17" s="1">
        <v>720</v>
      </c>
      <c r="C17" s="1">
        <v>600</v>
      </c>
      <c r="D17" s="1">
        <v>525</v>
      </c>
      <c r="E17" s="1">
        <v>1</v>
      </c>
      <c r="F17" s="1">
        <v>3541.7000000000003</v>
      </c>
      <c r="G17" s="1">
        <v>0</v>
      </c>
      <c r="H17" s="1">
        <v>0</v>
      </c>
      <c r="I17" s="1">
        <v>0.28633500000000001</v>
      </c>
      <c r="J17" s="1">
        <v>0</v>
      </c>
      <c r="K17" s="1">
        <v>0</v>
      </c>
      <c r="L17" s="1"/>
      <c r="M17" s="1">
        <v>2461.7000000000003</v>
      </c>
      <c r="N17" s="1">
        <v>300</v>
      </c>
      <c r="O17" s="1" t="s">
        <v>765</v>
      </c>
      <c r="P17" s="1" t="s">
        <v>365</v>
      </c>
      <c r="Q17" s="1"/>
      <c r="R17" s="1" t="s">
        <v>185</v>
      </c>
      <c r="S17" s="1" t="s">
        <v>360</v>
      </c>
      <c r="T17" s="1" t="s">
        <v>220</v>
      </c>
      <c r="U17" s="1" t="s">
        <v>202</v>
      </c>
      <c r="V17" s="1" t="s">
        <v>827</v>
      </c>
    </row>
    <row r="18" spans="1:22" x14ac:dyDescent="0.25">
      <c r="A18" s="1" t="s">
        <v>3</v>
      </c>
      <c r="B18" s="1">
        <v>720</v>
      </c>
      <c r="C18" s="1">
        <v>600</v>
      </c>
      <c r="D18" s="1">
        <v>525</v>
      </c>
      <c r="E18" s="1">
        <v>1</v>
      </c>
      <c r="F18" s="1">
        <v>3541.7000000000003</v>
      </c>
      <c r="G18" s="1">
        <v>0</v>
      </c>
      <c r="H18" s="1">
        <v>0</v>
      </c>
      <c r="I18" s="1">
        <v>0.28633500000000001</v>
      </c>
      <c r="J18" s="1">
        <v>0</v>
      </c>
      <c r="K18" s="1">
        <v>0</v>
      </c>
      <c r="L18" s="1"/>
      <c r="M18" s="1">
        <v>2461.7000000000003</v>
      </c>
      <c r="N18" s="1">
        <v>300</v>
      </c>
      <c r="O18" s="1" t="s">
        <v>765</v>
      </c>
      <c r="P18" s="1" t="s">
        <v>365</v>
      </c>
      <c r="Q18" s="1"/>
      <c r="R18" s="1" t="s">
        <v>185</v>
      </c>
      <c r="S18" s="1" t="s">
        <v>360</v>
      </c>
      <c r="T18" s="1" t="s">
        <v>220</v>
      </c>
      <c r="U18" s="1" t="s">
        <v>202</v>
      </c>
      <c r="V18" s="1" t="s">
        <v>827</v>
      </c>
    </row>
    <row r="19" spans="1:22" x14ac:dyDescent="0.25">
      <c r="A19" s="1" t="s">
        <v>3</v>
      </c>
      <c r="B19" s="1">
        <v>720</v>
      </c>
      <c r="C19" s="1">
        <v>600</v>
      </c>
      <c r="D19" s="1">
        <v>525</v>
      </c>
      <c r="E19" s="1">
        <v>1</v>
      </c>
      <c r="F19" s="1">
        <v>3541.7000000000003</v>
      </c>
      <c r="G19" s="1">
        <v>0</v>
      </c>
      <c r="H19" s="1">
        <v>0</v>
      </c>
      <c r="I19" s="1">
        <v>0.28633500000000001</v>
      </c>
      <c r="J19" s="1">
        <v>0</v>
      </c>
      <c r="K19" s="1">
        <v>0</v>
      </c>
      <c r="L19" s="1"/>
      <c r="M19" s="1">
        <v>2461.7000000000003</v>
      </c>
      <c r="N19" s="1">
        <v>300</v>
      </c>
      <c r="O19" s="1" t="s">
        <v>765</v>
      </c>
      <c r="P19" s="1" t="s">
        <v>365</v>
      </c>
      <c r="Q19" s="1"/>
      <c r="R19" s="1" t="s">
        <v>185</v>
      </c>
      <c r="S19" s="1" t="s">
        <v>360</v>
      </c>
      <c r="T19" s="1" t="s">
        <v>220</v>
      </c>
      <c r="U19" s="1" t="s">
        <v>202</v>
      </c>
      <c r="V19" s="1" t="s">
        <v>827</v>
      </c>
    </row>
    <row r="20" spans="1:22" x14ac:dyDescent="0.25">
      <c r="A20" s="1" t="s">
        <v>2</v>
      </c>
      <c r="B20" s="1">
        <v>720</v>
      </c>
      <c r="C20" s="1">
        <v>600</v>
      </c>
      <c r="D20" s="1">
        <v>315</v>
      </c>
      <c r="E20" s="1">
        <v>1</v>
      </c>
      <c r="F20" s="1">
        <v>2574.4499999999998</v>
      </c>
      <c r="G20" s="1">
        <v>0</v>
      </c>
      <c r="H20" s="1">
        <v>0</v>
      </c>
      <c r="I20" s="1">
        <v>0.167265</v>
      </c>
      <c r="J20" s="1">
        <v>0</v>
      </c>
      <c r="K20" s="1">
        <v>0</v>
      </c>
      <c r="L20" s="1"/>
      <c r="M20" s="1">
        <v>1804.4499999999996</v>
      </c>
      <c r="N20" s="1">
        <v>300</v>
      </c>
      <c r="O20" s="1" t="s">
        <v>765</v>
      </c>
      <c r="P20" s="1" t="s">
        <v>365</v>
      </c>
      <c r="Q20" s="1"/>
      <c r="R20" s="1" t="s">
        <v>185</v>
      </c>
      <c r="S20" s="1" t="s">
        <v>360</v>
      </c>
      <c r="T20" s="1" t="s">
        <v>220</v>
      </c>
      <c r="U20" s="1" t="s">
        <v>202</v>
      </c>
      <c r="V20" s="1" t="s">
        <v>826</v>
      </c>
    </row>
  </sheetData>
  <phoneticPr fontId="6" type="noConversion"/>
  <pageMargins left="0.7" right="0.7" top="0.75" bottom="0.75" header="0.3" footer="0.3"/>
  <tableParts count="2">
    <tablePart r:id="rId1"/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7E7163-CA8E-4BD1-BDB6-57F1BB5E1325}">
  <sheetPr codeName="Лист79"/>
  <dimension ref="A1:AF148"/>
  <sheetViews>
    <sheetView topLeftCell="A16" zoomScale="85" zoomScaleNormal="85" workbookViewId="0">
      <selection activeCell="A26" sqref="A26"/>
    </sheetView>
  </sheetViews>
  <sheetFormatPr defaultRowHeight="15.75" x14ac:dyDescent="0.25"/>
  <cols>
    <col min="1" max="1" width="38.5703125" style="290" bestFit="1" customWidth="1"/>
    <col min="2" max="2" width="15" style="290" customWidth="1"/>
    <col min="3" max="3" width="9.140625" style="290" customWidth="1"/>
    <col min="4" max="4" width="7.42578125" style="290" customWidth="1"/>
    <col min="5" max="6" width="9.140625" style="290"/>
    <col min="7" max="7" width="6.5703125" style="290" customWidth="1"/>
    <col min="8" max="10" width="9.140625" style="290"/>
    <col min="11" max="11" width="18.140625" style="290" bestFit="1" customWidth="1"/>
    <col min="12" max="12" width="31.7109375" style="290" bestFit="1" customWidth="1"/>
    <col min="13" max="13" width="15.140625" style="290" bestFit="1" customWidth="1"/>
    <col min="14" max="14" width="25.28515625" style="290" customWidth="1"/>
    <col min="15" max="15" width="15.85546875" style="290" bestFit="1" customWidth="1"/>
    <col min="16" max="16" width="14.7109375" style="290" customWidth="1"/>
    <col min="17" max="17" width="13.28515625" style="290" customWidth="1"/>
    <col min="18" max="18" width="9.140625" style="290"/>
    <col min="19" max="19" width="34.85546875" style="290" bestFit="1" customWidth="1"/>
    <col min="20" max="20" width="23.28515625" style="290" bestFit="1" customWidth="1"/>
    <col min="21" max="21" width="22.7109375" style="290" bestFit="1" customWidth="1"/>
    <col min="22" max="22" width="16.140625" style="290" bestFit="1" customWidth="1"/>
    <col min="23" max="23" width="18.85546875" style="290" bestFit="1" customWidth="1"/>
    <col min="24" max="24" width="16.140625" style="290" bestFit="1" customWidth="1"/>
    <col min="25" max="25" width="16.140625" style="290" customWidth="1"/>
    <col min="26" max="27" width="18.28515625" style="290" customWidth="1"/>
    <col min="28" max="28" width="36.28515625" style="290" bestFit="1" customWidth="1"/>
    <col min="29" max="30" width="29.42578125" style="290" customWidth="1"/>
    <col min="31" max="31" width="15.42578125" style="290" bestFit="1" customWidth="1"/>
    <col min="32" max="32" width="12.140625" style="290" customWidth="1"/>
    <col min="33" max="33" width="10.85546875" style="290" customWidth="1"/>
    <col min="34" max="34" width="10.5703125" style="290" customWidth="1"/>
    <col min="35" max="35" width="13" style="290" customWidth="1"/>
    <col min="36" max="36" width="14.5703125" style="290" customWidth="1"/>
    <col min="37" max="40" width="15.5703125" style="290" bestFit="1" customWidth="1"/>
    <col min="41" max="16384" width="9.140625" style="290"/>
  </cols>
  <sheetData>
    <row r="1" spans="2:32" ht="30" customHeight="1" x14ac:dyDescent="0.25">
      <c r="B1" s="290" t="s">
        <v>197</v>
      </c>
      <c r="E1" s="290" t="s">
        <v>168</v>
      </c>
      <c r="K1" s="309" t="s">
        <v>199</v>
      </c>
      <c r="L1" s="309"/>
      <c r="M1" s="309"/>
      <c r="N1" s="309"/>
      <c r="O1" s="309"/>
      <c r="S1" s="290" t="s">
        <v>206</v>
      </c>
      <c r="T1" s="290" t="s">
        <v>207</v>
      </c>
      <c r="U1" s="290" t="s">
        <v>208</v>
      </c>
      <c r="V1" s="290" t="s">
        <v>209</v>
      </c>
      <c r="W1" s="290" t="s">
        <v>210</v>
      </c>
      <c r="X1" s="290" t="s">
        <v>211</v>
      </c>
      <c r="Y1" s="290" t="s">
        <v>756</v>
      </c>
      <c r="Z1" s="290" t="s">
        <v>814</v>
      </c>
      <c r="AB1" s="304" t="s">
        <v>212</v>
      </c>
      <c r="AC1" s="304" t="s">
        <v>213</v>
      </c>
      <c r="AD1" s="304" t="s">
        <v>214</v>
      </c>
      <c r="AE1" s="304" t="s">
        <v>215</v>
      </c>
      <c r="AF1" s="304" t="s">
        <v>806</v>
      </c>
    </row>
    <row r="2" spans="2:32" ht="30" customHeight="1" x14ac:dyDescent="0.25">
      <c r="K2" s="289"/>
      <c r="L2" s="289"/>
      <c r="M2" s="289"/>
      <c r="N2" s="289"/>
      <c r="O2" s="289"/>
      <c r="S2" s="290" t="s">
        <v>360</v>
      </c>
      <c r="T2" s="290" t="s">
        <v>205</v>
      </c>
      <c r="U2" s="290">
        <v>2</v>
      </c>
      <c r="V2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2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2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2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2" s="300">
        <v>6</v>
      </c>
      <c r="AB2" s="274" t="s">
        <v>217</v>
      </c>
      <c r="AC2" s="274" t="s">
        <v>218</v>
      </c>
      <c r="AD2" s="274">
        <v>19</v>
      </c>
      <c r="AE2" s="274">
        <v>0</v>
      </c>
      <c r="AF2" s="291" t="s">
        <v>87</v>
      </c>
    </row>
    <row r="3" spans="2:32" ht="30" customHeight="1" x14ac:dyDescent="0.25">
      <c r="K3" s="290" t="s">
        <v>184</v>
      </c>
      <c r="L3" s="290" t="s">
        <v>200</v>
      </c>
      <c r="M3" s="290" t="s">
        <v>201</v>
      </c>
      <c r="N3" s="290" t="s">
        <v>202</v>
      </c>
      <c r="O3" s="290" t="s">
        <v>203</v>
      </c>
      <c r="P3" s="290" t="s">
        <v>756</v>
      </c>
      <c r="S3" s="290" t="s">
        <v>259</v>
      </c>
      <c r="T3" s="290" t="s">
        <v>204</v>
      </c>
      <c r="U3" s="290">
        <v>1</v>
      </c>
      <c r="V3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3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3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3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3" s="300">
        <v>22</v>
      </c>
      <c r="AB3" s="274" t="s">
        <v>220</v>
      </c>
      <c r="AC3" s="274" t="s">
        <v>221</v>
      </c>
      <c r="AD3" s="274">
        <v>19</v>
      </c>
      <c r="AE3" s="274">
        <v>16</v>
      </c>
      <c r="AF3" s="291" t="s">
        <v>87</v>
      </c>
    </row>
    <row r="4" spans="2:32" ht="30" customHeight="1" x14ac:dyDescent="0.25">
      <c r="K4" s="290" t="s">
        <v>204</v>
      </c>
      <c r="L4" s="290">
        <v>1</v>
      </c>
      <c r="M4" s="301">
        <v>4041</v>
      </c>
      <c r="N4" s="301">
        <v>4445</v>
      </c>
      <c r="O4" s="301">
        <v>4851</v>
      </c>
      <c r="P4" s="292">
        <v>0.2</v>
      </c>
      <c r="S4" s="290" t="s">
        <v>306</v>
      </c>
      <c r="T4" s="290" t="s">
        <v>205</v>
      </c>
      <c r="U4" s="290">
        <v>1</v>
      </c>
      <c r="V4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4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4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4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4" s="300">
        <v>39</v>
      </c>
      <c r="AB4" s="274" t="s">
        <v>223</v>
      </c>
      <c r="AC4" s="274" t="s">
        <v>221</v>
      </c>
      <c r="AD4" s="274">
        <v>19</v>
      </c>
      <c r="AE4" s="274">
        <v>16</v>
      </c>
      <c r="AF4" s="291" t="s">
        <v>87</v>
      </c>
    </row>
    <row r="5" spans="2:32" ht="30" customHeight="1" x14ac:dyDescent="0.25">
      <c r="B5" s="290" t="s">
        <v>162</v>
      </c>
      <c r="E5" s="290" t="s">
        <v>160</v>
      </c>
      <c r="H5" s="290" t="s">
        <v>159</v>
      </c>
      <c r="K5" s="290" t="s">
        <v>204</v>
      </c>
      <c r="L5" s="290">
        <v>2</v>
      </c>
      <c r="M5" s="301">
        <v>4649</v>
      </c>
      <c r="N5" s="301">
        <v>5113</v>
      </c>
      <c r="O5" s="301">
        <v>5578</v>
      </c>
      <c r="P5" s="293">
        <v>0</v>
      </c>
      <c r="S5" s="290" t="s">
        <v>308</v>
      </c>
      <c r="T5" s="290" t="s">
        <v>205</v>
      </c>
      <c r="U5" s="290">
        <v>1</v>
      </c>
      <c r="V5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5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5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5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5" s="300">
        <v>45</v>
      </c>
      <c r="AB5" s="274" t="s">
        <v>225</v>
      </c>
      <c r="AC5" s="274" t="s">
        <v>221</v>
      </c>
      <c r="AD5" s="274">
        <v>19</v>
      </c>
      <c r="AE5" s="274">
        <v>16</v>
      </c>
      <c r="AF5" s="291" t="s">
        <v>87</v>
      </c>
    </row>
    <row r="6" spans="2:32" ht="30" customHeight="1" x14ac:dyDescent="0.25">
      <c r="K6" s="290" t="s">
        <v>204</v>
      </c>
      <c r="L6" s="290">
        <v>3</v>
      </c>
      <c r="M6" s="301">
        <v>5542</v>
      </c>
      <c r="N6" s="301">
        <v>6096</v>
      </c>
      <c r="O6" s="301">
        <v>6650</v>
      </c>
      <c r="P6" s="293">
        <v>0</v>
      </c>
      <c r="S6" s="290" t="s">
        <v>361</v>
      </c>
      <c r="T6" s="290" t="s">
        <v>205</v>
      </c>
      <c r="U6" s="290">
        <v>1</v>
      </c>
      <c r="V6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6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6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6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6" s="300">
        <v>64</v>
      </c>
      <c r="AB6" s="274" t="s">
        <v>227</v>
      </c>
      <c r="AC6" s="274" t="s">
        <v>218</v>
      </c>
      <c r="AD6" s="274">
        <v>19</v>
      </c>
      <c r="AE6" s="274">
        <v>0</v>
      </c>
      <c r="AF6" s="291" t="s">
        <v>10</v>
      </c>
    </row>
    <row r="7" spans="2:32" ht="30" customHeight="1" x14ac:dyDescent="0.25">
      <c r="K7" s="290" t="s">
        <v>205</v>
      </c>
      <c r="L7" s="290">
        <v>1</v>
      </c>
      <c r="M7" s="301">
        <v>4900</v>
      </c>
      <c r="N7" s="301">
        <v>5387</v>
      </c>
      <c r="O7" s="301">
        <v>5880</v>
      </c>
      <c r="P7" s="292">
        <v>0.2</v>
      </c>
      <c r="S7" s="290" t="s">
        <v>363</v>
      </c>
      <c r="T7" s="290" t="s">
        <v>205</v>
      </c>
      <c r="U7" s="290">
        <v>4</v>
      </c>
      <c r="V7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7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7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7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" s="300">
        <v>77</v>
      </c>
      <c r="AB7" s="274" t="s">
        <v>229</v>
      </c>
      <c r="AC7" s="274" t="s">
        <v>218</v>
      </c>
      <c r="AD7" s="274">
        <v>19</v>
      </c>
      <c r="AE7" s="274">
        <v>0</v>
      </c>
      <c r="AF7" s="291" t="s">
        <v>10</v>
      </c>
    </row>
    <row r="8" spans="2:32" ht="30" customHeight="1" x14ac:dyDescent="0.25">
      <c r="K8" s="290" t="s">
        <v>205</v>
      </c>
      <c r="L8" s="290">
        <v>2</v>
      </c>
      <c r="M8" s="301">
        <v>5542</v>
      </c>
      <c r="N8" s="301">
        <v>6096</v>
      </c>
      <c r="O8" s="301">
        <v>6650</v>
      </c>
      <c r="P8" s="293">
        <v>0</v>
      </c>
      <c r="S8" s="290" t="s">
        <v>364</v>
      </c>
      <c r="T8" s="290" t="s">
        <v>205</v>
      </c>
      <c r="U8" s="290">
        <v>3</v>
      </c>
      <c r="V8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8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8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8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" s="300">
        <v>90</v>
      </c>
      <c r="AB8" s="274" t="s">
        <v>231</v>
      </c>
      <c r="AC8" s="274" t="s">
        <v>221</v>
      </c>
      <c r="AD8" s="274">
        <v>19</v>
      </c>
      <c r="AE8" s="274">
        <v>0</v>
      </c>
      <c r="AF8" s="291" t="s">
        <v>87</v>
      </c>
    </row>
    <row r="9" spans="2:32" ht="30" customHeight="1" x14ac:dyDescent="0.25">
      <c r="B9" s="290" t="s">
        <v>161</v>
      </c>
      <c r="E9" s="290" t="s">
        <v>166</v>
      </c>
      <c r="H9" s="290" t="s">
        <v>167</v>
      </c>
      <c r="K9" s="290" t="s">
        <v>205</v>
      </c>
      <c r="L9" s="290">
        <v>3</v>
      </c>
      <c r="M9" s="301">
        <v>6433</v>
      </c>
      <c r="N9" s="301">
        <v>7078</v>
      </c>
      <c r="O9" s="301">
        <v>7700</v>
      </c>
      <c r="P9" s="293">
        <v>0</v>
      </c>
      <c r="S9" s="290" t="s">
        <v>216</v>
      </c>
      <c r="T9" s="290" t="s">
        <v>204</v>
      </c>
      <c r="U9" s="290">
        <v>1</v>
      </c>
      <c r="V9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9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9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9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9" s="300">
        <v>101</v>
      </c>
      <c r="AB9" s="274" t="s">
        <v>233</v>
      </c>
      <c r="AC9" s="274" t="s">
        <v>221</v>
      </c>
      <c r="AD9" s="274">
        <v>19</v>
      </c>
      <c r="AE9" s="274">
        <v>0</v>
      </c>
      <c r="AF9" s="291" t="s">
        <v>87</v>
      </c>
    </row>
    <row r="10" spans="2:32" ht="30" customHeight="1" x14ac:dyDescent="0.25">
      <c r="K10" s="290" t="s">
        <v>205</v>
      </c>
      <c r="L10" s="290">
        <v>4</v>
      </c>
      <c r="M10" s="301">
        <v>7327</v>
      </c>
      <c r="N10" s="301">
        <v>8060</v>
      </c>
      <c r="O10" s="301">
        <v>8790</v>
      </c>
      <c r="P10" s="294">
        <v>0</v>
      </c>
      <c r="S10" s="290" t="s">
        <v>219</v>
      </c>
      <c r="T10" s="290" t="s">
        <v>204</v>
      </c>
      <c r="U10" s="290">
        <v>1</v>
      </c>
      <c r="V10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10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10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10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0" s="300">
        <v>119</v>
      </c>
      <c r="AB10" s="274" t="s">
        <v>235</v>
      </c>
      <c r="AC10" s="274" t="s">
        <v>218</v>
      </c>
      <c r="AD10" s="274">
        <v>19</v>
      </c>
      <c r="AE10" s="274">
        <v>0</v>
      </c>
      <c r="AF10" s="291" t="s">
        <v>87</v>
      </c>
    </row>
    <row r="11" spans="2:32" ht="30" customHeight="1" x14ac:dyDescent="0.25">
      <c r="S11" s="290" t="s">
        <v>222</v>
      </c>
      <c r="T11" s="290" t="s">
        <v>204</v>
      </c>
      <c r="U11" s="290">
        <v>1</v>
      </c>
      <c r="V11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11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11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11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1" s="300">
        <v>124</v>
      </c>
      <c r="AB11" s="274" t="s">
        <v>237</v>
      </c>
      <c r="AC11" s="274" t="s">
        <v>218</v>
      </c>
      <c r="AD11" s="274">
        <v>19</v>
      </c>
      <c r="AE11" s="274">
        <v>16</v>
      </c>
      <c r="AF11" s="291" t="s">
        <v>87</v>
      </c>
    </row>
    <row r="12" spans="2:32" ht="30" customHeight="1" x14ac:dyDescent="0.25">
      <c r="S12" s="290" t="s">
        <v>224</v>
      </c>
      <c r="T12" s="290" t="s">
        <v>204</v>
      </c>
      <c r="U12" s="290">
        <v>1</v>
      </c>
      <c r="V12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12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12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12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2" s="300">
        <v>125</v>
      </c>
      <c r="AB12" s="274" t="s">
        <v>239</v>
      </c>
      <c r="AC12" s="274" t="s">
        <v>218</v>
      </c>
      <c r="AD12" s="274">
        <v>19</v>
      </c>
      <c r="AE12" s="274">
        <v>0</v>
      </c>
      <c r="AF12" s="291" t="s">
        <v>87</v>
      </c>
    </row>
    <row r="13" spans="2:32" ht="30" customHeight="1" x14ac:dyDescent="0.25">
      <c r="B13" s="290" t="s">
        <v>165</v>
      </c>
      <c r="E13" s="290" t="s">
        <v>164</v>
      </c>
      <c r="H13" s="290" t="s">
        <v>163</v>
      </c>
      <c r="S13" s="290" t="s">
        <v>226</v>
      </c>
      <c r="T13" s="290" t="s">
        <v>205</v>
      </c>
      <c r="U13" s="290">
        <v>2</v>
      </c>
      <c r="V13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13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13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13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3" s="300">
        <v>127</v>
      </c>
      <c r="AB13" s="274" t="s">
        <v>241</v>
      </c>
      <c r="AC13" s="274" t="s">
        <v>218</v>
      </c>
      <c r="AD13" s="274">
        <v>0</v>
      </c>
      <c r="AE13" s="274">
        <v>16</v>
      </c>
      <c r="AF13" s="291" t="s">
        <v>87</v>
      </c>
    </row>
    <row r="14" spans="2:32" ht="30" customHeight="1" x14ac:dyDescent="0.25">
      <c r="S14" s="290" t="s">
        <v>228</v>
      </c>
      <c r="T14" s="290" t="s">
        <v>204</v>
      </c>
      <c r="U14" s="290">
        <v>1</v>
      </c>
      <c r="V14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14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14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14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4" s="300">
        <v>165</v>
      </c>
      <c r="AB14" s="274" t="s">
        <v>243</v>
      </c>
      <c r="AC14" s="274" t="s">
        <v>218</v>
      </c>
      <c r="AD14" s="274">
        <v>19</v>
      </c>
      <c r="AE14" s="274">
        <v>16</v>
      </c>
      <c r="AF14" s="291" t="s">
        <v>87</v>
      </c>
    </row>
    <row r="15" spans="2:32" ht="30" customHeight="1" x14ac:dyDescent="0.25">
      <c r="S15" s="290" t="s">
        <v>230</v>
      </c>
      <c r="T15" s="290" t="s">
        <v>205</v>
      </c>
      <c r="U15" s="290">
        <v>1</v>
      </c>
      <c r="V15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15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15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15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5" s="300">
        <v>168</v>
      </c>
      <c r="AB15" s="274" t="s">
        <v>245</v>
      </c>
      <c r="AC15" s="274" t="s">
        <v>218</v>
      </c>
      <c r="AD15" s="274">
        <v>19</v>
      </c>
      <c r="AE15" s="274">
        <v>0</v>
      </c>
      <c r="AF15" s="291" t="s">
        <v>87</v>
      </c>
    </row>
    <row r="16" spans="2:32" ht="30" customHeight="1" x14ac:dyDescent="0.25">
      <c r="S16" s="290" t="s">
        <v>232</v>
      </c>
      <c r="T16" s="290" t="s">
        <v>205</v>
      </c>
      <c r="U16" s="290">
        <v>4</v>
      </c>
      <c r="V16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16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16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16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6" s="300">
        <v>169</v>
      </c>
      <c r="AB16" s="274" t="s">
        <v>247</v>
      </c>
      <c r="AC16" s="274" t="s">
        <v>221</v>
      </c>
      <c r="AD16" s="274">
        <v>19</v>
      </c>
      <c r="AE16" s="274">
        <v>16</v>
      </c>
      <c r="AF16" s="291" t="s">
        <v>87</v>
      </c>
    </row>
    <row r="17" spans="1:32" ht="30" customHeight="1" x14ac:dyDescent="0.25">
      <c r="S17" s="290" t="s">
        <v>234</v>
      </c>
      <c r="T17" s="290" t="s">
        <v>204</v>
      </c>
      <c r="U17" s="290">
        <v>1</v>
      </c>
      <c r="V17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17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17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17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7" s="300">
        <v>174</v>
      </c>
      <c r="AB17" s="274" t="s">
        <v>249</v>
      </c>
      <c r="AC17" s="274" t="s">
        <v>221</v>
      </c>
      <c r="AD17" s="274">
        <v>19</v>
      </c>
      <c r="AE17" s="274">
        <v>16</v>
      </c>
      <c r="AF17" s="291" t="s">
        <v>87</v>
      </c>
    </row>
    <row r="18" spans="1:32" ht="30" customHeight="1" x14ac:dyDescent="0.25">
      <c r="A18" s="290" t="s">
        <v>144</v>
      </c>
      <c r="S18" s="290" t="s">
        <v>236</v>
      </c>
      <c r="T18" s="290" t="s">
        <v>205</v>
      </c>
      <c r="U18" s="290">
        <v>1</v>
      </c>
      <c r="V18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18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18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18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8" s="300">
        <v>182</v>
      </c>
      <c r="AB18" s="274" t="s">
        <v>252</v>
      </c>
      <c r="AC18" s="274" t="s">
        <v>221</v>
      </c>
      <c r="AD18" s="274">
        <v>19</v>
      </c>
      <c r="AE18" s="274">
        <v>16</v>
      </c>
      <c r="AF18" s="291" t="s">
        <v>87</v>
      </c>
    </row>
    <row r="19" spans="1:32" ht="30" customHeight="1" x14ac:dyDescent="0.25">
      <c r="A19" s="290" t="s">
        <v>501</v>
      </c>
      <c r="B19" s="290" t="s">
        <v>751</v>
      </c>
      <c r="S19" s="290" t="s">
        <v>238</v>
      </c>
      <c r="T19" s="290" t="s">
        <v>205</v>
      </c>
      <c r="U19" s="290">
        <v>1</v>
      </c>
      <c r="V19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19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19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19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9" s="300">
        <v>185</v>
      </c>
      <c r="AB19" s="274" t="s">
        <v>254</v>
      </c>
      <c r="AC19" s="274" t="s">
        <v>221</v>
      </c>
      <c r="AD19" s="274">
        <v>19</v>
      </c>
      <c r="AE19" s="274">
        <v>16</v>
      </c>
      <c r="AF19" s="274" t="s">
        <v>807</v>
      </c>
    </row>
    <row r="20" spans="1:32" ht="30" customHeight="1" x14ac:dyDescent="0.25">
      <c r="A20" s="290" t="s">
        <v>752</v>
      </c>
      <c r="B20" s="290">
        <v>1872</v>
      </c>
      <c r="S20" s="290" t="s">
        <v>240</v>
      </c>
      <c r="T20" s="290" t="s">
        <v>204</v>
      </c>
      <c r="U20" s="290">
        <v>1</v>
      </c>
      <c r="V20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20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20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20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0" s="300">
        <v>186</v>
      </c>
      <c r="AB20" s="274" t="s">
        <v>256</v>
      </c>
      <c r="AC20" s="274" t="s">
        <v>221</v>
      </c>
      <c r="AD20" s="274">
        <v>19</v>
      </c>
      <c r="AE20" s="274">
        <v>16</v>
      </c>
      <c r="AF20" s="274" t="s">
        <v>807</v>
      </c>
    </row>
    <row r="21" spans="1:32" ht="30" customHeight="1" x14ac:dyDescent="0.25">
      <c r="A21" s="290" t="s">
        <v>753</v>
      </c>
      <c r="B21" s="290">
        <v>2618</v>
      </c>
      <c r="S21" s="290" t="s">
        <v>242</v>
      </c>
      <c r="T21" s="290" t="s">
        <v>205</v>
      </c>
      <c r="U21" s="290">
        <v>1</v>
      </c>
      <c r="V21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21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21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21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1" s="300">
        <v>192</v>
      </c>
      <c r="AB21" s="274" t="s">
        <v>258</v>
      </c>
      <c r="AC21" s="274" t="s">
        <v>218</v>
      </c>
      <c r="AD21" s="274">
        <v>19</v>
      </c>
      <c r="AE21" s="274">
        <v>0</v>
      </c>
      <c r="AF21" s="274" t="s">
        <v>807</v>
      </c>
    </row>
    <row r="22" spans="1:32" ht="30" customHeight="1" x14ac:dyDescent="0.25">
      <c r="A22" s="274" t="s">
        <v>688</v>
      </c>
      <c r="B22" s="290">
        <f>'комплекты фурнитуры'!$Q$88</f>
        <v>1110</v>
      </c>
      <c r="S22" s="290" t="s">
        <v>244</v>
      </c>
      <c r="T22" s="290" t="s">
        <v>205</v>
      </c>
      <c r="U22" s="290">
        <v>1</v>
      </c>
      <c r="V22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22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22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22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2" s="300">
        <v>196</v>
      </c>
      <c r="AB22" s="274" t="s">
        <v>260</v>
      </c>
      <c r="AC22" s="274" t="s">
        <v>218</v>
      </c>
      <c r="AD22" s="274">
        <v>19</v>
      </c>
      <c r="AE22" s="274">
        <v>0</v>
      </c>
      <c r="AF22" s="274" t="s">
        <v>807</v>
      </c>
    </row>
    <row r="23" spans="1:32" ht="30" customHeight="1" x14ac:dyDescent="0.25">
      <c r="S23" s="290" t="s">
        <v>246</v>
      </c>
      <c r="T23" s="290" t="s">
        <v>205</v>
      </c>
      <c r="U23" s="290">
        <v>1</v>
      </c>
      <c r="V23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23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23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23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3" s="300">
        <v>197</v>
      </c>
      <c r="AB23" s="274" t="s">
        <v>262</v>
      </c>
      <c r="AC23" s="274" t="s">
        <v>218</v>
      </c>
      <c r="AD23" s="274">
        <v>19</v>
      </c>
      <c r="AE23" s="274">
        <v>0</v>
      </c>
      <c r="AF23" s="274" t="s">
        <v>807</v>
      </c>
    </row>
    <row r="24" spans="1:32" ht="30" customHeight="1" x14ac:dyDescent="0.25">
      <c r="A24" s="308" t="s">
        <v>808</v>
      </c>
      <c r="B24" s="308"/>
      <c r="S24" s="290" t="s">
        <v>248</v>
      </c>
      <c r="T24" s="290" t="s">
        <v>205</v>
      </c>
      <c r="U24" s="290">
        <v>1</v>
      </c>
      <c r="V24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24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24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24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4" s="300">
        <v>198</v>
      </c>
      <c r="AB24" s="274" t="s">
        <v>264</v>
      </c>
      <c r="AC24" s="274" t="s">
        <v>218</v>
      </c>
      <c r="AD24" s="274">
        <v>19</v>
      </c>
      <c r="AE24" s="274">
        <v>0</v>
      </c>
      <c r="AF24" s="274" t="s">
        <v>807</v>
      </c>
    </row>
    <row r="25" spans="1:32" ht="30" customHeight="1" x14ac:dyDescent="0.25">
      <c r="A25" s="290" t="s">
        <v>501</v>
      </c>
      <c r="B25" s="290" t="s">
        <v>842</v>
      </c>
      <c r="S25" s="290" t="s">
        <v>250</v>
      </c>
      <c r="T25" s="290" t="s">
        <v>205</v>
      </c>
      <c r="U25" s="290">
        <v>1</v>
      </c>
      <c r="V25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25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25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25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5" s="300">
        <v>201</v>
      </c>
      <c r="AB25" s="274" t="s">
        <v>266</v>
      </c>
      <c r="AC25" s="274" t="s">
        <v>218</v>
      </c>
      <c r="AD25" s="274">
        <v>22</v>
      </c>
      <c r="AE25" s="274">
        <v>0</v>
      </c>
      <c r="AF25" s="274" t="s">
        <v>807</v>
      </c>
    </row>
    <row r="26" spans="1:32" ht="30" customHeight="1" x14ac:dyDescent="0.25">
      <c r="A26" s="295" t="s">
        <v>844</v>
      </c>
      <c r="B26" s="288">
        <v>2392</v>
      </c>
      <c r="F26" s="295"/>
      <c r="S26" s="290" t="s">
        <v>251</v>
      </c>
      <c r="T26" s="290" t="s">
        <v>205</v>
      </c>
      <c r="U26" s="290">
        <v>3</v>
      </c>
      <c r="V26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26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26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26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26" s="300">
        <v>211</v>
      </c>
      <c r="AB26" s="274" t="s">
        <v>268</v>
      </c>
      <c r="AC26" s="274" t="s">
        <v>221</v>
      </c>
      <c r="AD26" s="274">
        <v>18</v>
      </c>
      <c r="AE26" s="274">
        <v>16</v>
      </c>
      <c r="AF26" s="274" t="s">
        <v>807</v>
      </c>
    </row>
    <row r="27" spans="1:32" ht="30" customHeight="1" x14ac:dyDescent="0.25">
      <c r="A27" s="295" t="s">
        <v>845</v>
      </c>
      <c r="B27" s="288">
        <v>520</v>
      </c>
      <c r="C27" s="295"/>
      <c r="D27" s="295"/>
      <c r="E27" s="295"/>
      <c r="F27" s="295"/>
      <c r="S27" s="290" t="s">
        <v>253</v>
      </c>
      <c r="T27" s="290" t="s">
        <v>205</v>
      </c>
      <c r="U27" s="290">
        <v>2</v>
      </c>
      <c r="V27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27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27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27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27" s="300">
        <v>212</v>
      </c>
      <c r="AB27" s="274" t="s">
        <v>270</v>
      </c>
      <c r="AC27" s="274" t="s">
        <v>221</v>
      </c>
      <c r="AD27" s="274">
        <v>18</v>
      </c>
      <c r="AE27" s="274">
        <v>16</v>
      </c>
      <c r="AF27" s="274" t="s">
        <v>807</v>
      </c>
    </row>
    <row r="28" spans="1:32" ht="30" customHeight="1" x14ac:dyDescent="0.25">
      <c r="A28" s="295" t="s">
        <v>846</v>
      </c>
      <c r="B28" s="288">
        <v>312</v>
      </c>
      <c r="C28" s="295"/>
      <c r="D28" s="295"/>
      <c r="E28" s="295"/>
      <c r="F28" s="295"/>
      <c r="S28" s="290" t="s">
        <v>255</v>
      </c>
      <c r="T28" s="290" t="s">
        <v>205</v>
      </c>
      <c r="U28" s="290">
        <v>1</v>
      </c>
      <c r="V28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28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28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28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8" s="300">
        <v>217</v>
      </c>
      <c r="AB28" s="274" t="s">
        <v>272</v>
      </c>
      <c r="AC28" s="274" t="s">
        <v>221</v>
      </c>
      <c r="AD28" s="274">
        <v>19</v>
      </c>
      <c r="AE28" s="274">
        <v>16</v>
      </c>
      <c r="AF28" s="274" t="s">
        <v>807</v>
      </c>
    </row>
    <row r="29" spans="1:32" ht="30" customHeight="1" x14ac:dyDescent="0.25">
      <c r="A29" s="295" t="s">
        <v>847</v>
      </c>
      <c r="B29" s="288" t="s">
        <v>809</v>
      </c>
      <c r="C29" s="295"/>
      <c r="D29" s="295"/>
      <c r="E29" s="295"/>
      <c r="F29" s="295"/>
      <c r="S29" s="290" t="s">
        <v>257</v>
      </c>
      <c r="T29" s="290" t="s">
        <v>205</v>
      </c>
      <c r="U29" s="290">
        <v>3</v>
      </c>
      <c r="V29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29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29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29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29" s="300">
        <v>218</v>
      </c>
      <c r="AB29" s="274" t="s">
        <v>274</v>
      </c>
      <c r="AC29" s="274" t="s">
        <v>221</v>
      </c>
      <c r="AD29" s="274">
        <v>19</v>
      </c>
      <c r="AE29" s="274">
        <v>0</v>
      </c>
      <c r="AF29" s="274" t="s">
        <v>807</v>
      </c>
    </row>
    <row r="30" spans="1:32" ht="30" customHeight="1" x14ac:dyDescent="0.25">
      <c r="A30" s="295" t="s">
        <v>848</v>
      </c>
      <c r="B30" s="288">
        <v>312</v>
      </c>
      <c r="C30" s="295"/>
      <c r="D30" s="295"/>
      <c r="E30" s="295"/>
      <c r="F30" s="295"/>
      <c r="S30" s="290" t="s">
        <v>261</v>
      </c>
      <c r="T30" s="290" t="s">
        <v>205</v>
      </c>
      <c r="U30" s="290">
        <v>1</v>
      </c>
      <c r="V30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30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30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30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30" s="300">
        <v>222</v>
      </c>
      <c r="AB30" s="274" t="s">
        <v>276</v>
      </c>
      <c r="AC30" s="274" t="s">
        <v>221</v>
      </c>
      <c r="AD30" s="274">
        <v>19</v>
      </c>
      <c r="AE30" s="274">
        <v>0</v>
      </c>
      <c r="AF30" s="274" t="s">
        <v>807</v>
      </c>
    </row>
    <row r="31" spans="1:32" ht="30" customHeight="1" x14ac:dyDescent="0.25">
      <c r="A31" s="295" t="s">
        <v>849</v>
      </c>
      <c r="B31" s="288" t="s">
        <v>810</v>
      </c>
      <c r="C31" s="295"/>
      <c r="D31" s="295"/>
      <c r="E31" s="295"/>
      <c r="F31" s="295"/>
      <c r="S31" s="290" t="s">
        <v>263</v>
      </c>
      <c r="T31" s="290" t="s">
        <v>205</v>
      </c>
      <c r="U31" s="290">
        <v>3</v>
      </c>
      <c r="V31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31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31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31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31" s="300">
        <v>223</v>
      </c>
      <c r="AB31" s="274" t="s">
        <v>278</v>
      </c>
      <c r="AC31" s="274" t="s">
        <v>218</v>
      </c>
      <c r="AD31" s="274">
        <v>19</v>
      </c>
      <c r="AE31" s="274">
        <v>0</v>
      </c>
      <c r="AF31" s="274" t="s">
        <v>807</v>
      </c>
    </row>
    <row r="32" spans="1:32" ht="30" customHeight="1" x14ac:dyDescent="0.25">
      <c r="A32" s="295" t="s">
        <v>850</v>
      </c>
      <c r="B32" s="288" t="s">
        <v>811</v>
      </c>
      <c r="C32" s="295"/>
      <c r="D32" s="295"/>
      <c r="E32" s="295"/>
      <c r="F32" s="295"/>
      <c r="S32" s="290" t="s">
        <v>265</v>
      </c>
      <c r="T32" s="290" t="s">
        <v>205</v>
      </c>
      <c r="U32" s="290">
        <v>2</v>
      </c>
      <c r="V32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32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32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32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32" s="300">
        <v>224</v>
      </c>
      <c r="AB32" s="274" t="s">
        <v>280</v>
      </c>
      <c r="AC32" s="274" t="s">
        <v>218</v>
      </c>
      <c r="AD32" s="274">
        <v>19</v>
      </c>
      <c r="AE32" s="274">
        <v>0</v>
      </c>
      <c r="AF32" s="274" t="s">
        <v>807</v>
      </c>
    </row>
    <row r="33" spans="1:32" ht="30" customHeight="1" x14ac:dyDescent="0.25">
      <c r="A33" s="295" t="s">
        <v>851</v>
      </c>
      <c r="B33" s="288">
        <v>374.4</v>
      </c>
      <c r="C33" s="295"/>
      <c r="D33" s="295"/>
      <c r="E33" s="295"/>
      <c r="F33" s="295"/>
      <c r="S33" s="290" t="s">
        <v>267</v>
      </c>
      <c r="T33" s="290" t="s">
        <v>205</v>
      </c>
      <c r="U33" s="290">
        <v>3</v>
      </c>
      <c r="V33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33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33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33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33" s="300">
        <v>226</v>
      </c>
      <c r="AB33" s="274" t="s">
        <v>282</v>
      </c>
      <c r="AC33" s="274" t="s">
        <v>221</v>
      </c>
      <c r="AD33" s="274">
        <v>19</v>
      </c>
      <c r="AE33" s="274">
        <v>16</v>
      </c>
      <c r="AF33" s="274" t="s">
        <v>807</v>
      </c>
    </row>
    <row r="34" spans="1:32" ht="30" customHeight="1" x14ac:dyDescent="0.25">
      <c r="A34" s="305" t="s">
        <v>812</v>
      </c>
      <c r="B34" s="306">
        <v>1.25</v>
      </c>
      <c r="C34" s="295"/>
      <c r="D34" s="295"/>
      <c r="E34" s="295"/>
      <c r="S34" s="290" t="s">
        <v>269</v>
      </c>
      <c r="T34" s="290" t="s">
        <v>204</v>
      </c>
      <c r="U34" s="290">
        <v>1</v>
      </c>
      <c r="V34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34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34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34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34" s="300">
        <v>229</v>
      </c>
      <c r="AB34" s="274" t="s">
        <v>284</v>
      </c>
      <c r="AC34" s="274" t="s">
        <v>221</v>
      </c>
      <c r="AD34" s="274">
        <v>19</v>
      </c>
      <c r="AE34" s="274">
        <v>16</v>
      </c>
      <c r="AF34" s="274" t="s">
        <v>807</v>
      </c>
    </row>
    <row r="35" spans="1:32" ht="30" customHeight="1" x14ac:dyDescent="0.25">
      <c r="A35" s="295"/>
      <c r="B35" s="295"/>
      <c r="S35" s="290" t="s">
        <v>271</v>
      </c>
      <c r="T35" s="290" t="s">
        <v>205</v>
      </c>
      <c r="U35" s="290">
        <v>2</v>
      </c>
      <c r="V35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35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35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35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35" s="300">
        <v>230</v>
      </c>
      <c r="AB35" s="274" t="s">
        <v>286</v>
      </c>
      <c r="AC35" s="274" t="s">
        <v>221</v>
      </c>
      <c r="AD35" s="274">
        <v>19</v>
      </c>
      <c r="AE35" s="274">
        <v>0</v>
      </c>
      <c r="AF35" s="274" t="s">
        <v>807</v>
      </c>
    </row>
    <row r="36" spans="1:32" ht="30" customHeight="1" x14ac:dyDescent="0.25">
      <c r="C36" s="295"/>
      <c r="D36" s="295"/>
      <c r="E36" s="295"/>
      <c r="F36" s="295"/>
      <c r="G36" s="296"/>
      <c r="S36" s="290" t="s">
        <v>273</v>
      </c>
      <c r="T36" s="290" t="s">
        <v>205</v>
      </c>
      <c r="U36" s="290">
        <v>1</v>
      </c>
      <c r="V36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36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36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36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36" s="300">
        <v>232</v>
      </c>
      <c r="AB36" s="274" t="s">
        <v>288</v>
      </c>
      <c r="AC36" s="274" t="s">
        <v>221</v>
      </c>
      <c r="AD36" s="274">
        <v>19</v>
      </c>
      <c r="AE36" s="274">
        <v>0</v>
      </c>
      <c r="AF36" s="274" t="s">
        <v>807</v>
      </c>
    </row>
    <row r="37" spans="1:32" ht="30" customHeight="1" x14ac:dyDescent="0.25">
      <c r="A37" s="295"/>
      <c r="B37" s="295"/>
      <c r="S37" s="290" t="s">
        <v>275</v>
      </c>
      <c r="T37" s="290" t="s">
        <v>205</v>
      </c>
      <c r="U37" s="290">
        <v>1</v>
      </c>
      <c r="V37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37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37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37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37" s="300">
        <v>233</v>
      </c>
      <c r="AB37" s="274" t="s">
        <v>290</v>
      </c>
      <c r="AC37" s="274" t="s">
        <v>221</v>
      </c>
      <c r="AD37" s="274">
        <v>19</v>
      </c>
      <c r="AE37" s="274">
        <v>16</v>
      </c>
      <c r="AF37" s="274" t="s">
        <v>807</v>
      </c>
    </row>
    <row r="38" spans="1:32" ht="30" customHeight="1" x14ac:dyDescent="0.25">
      <c r="C38" s="295"/>
      <c r="D38" s="295"/>
      <c r="E38" s="295"/>
      <c r="F38" s="295"/>
      <c r="S38" s="290" t="s">
        <v>277</v>
      </c>
      <c r="T38" s="290" t="s">
        <v>205</v>
      </c>
      <c r="U38" s="290">
        <v>1</v>
      </c>
      <c r="V38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38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38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38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38" s="300">
        <v>236</v>
      </c>
      <c r="AB38" s="274" t="s">
        <v>292</v>
      </c>
      <c r="AC38" s="274" t="s">
        <v>221</v>
      </c>
      <c r="AD38" s="274">
        <v>19</v>
      </c>
      <c r="AE38" s="274">
        <v>16</v>
      </c>
      <c r="AF38" s="274" t="s">
        <v>807</v>
      </c>
    </row>
    <row r="39" spans="1:32" ht="30" customHeight="1" x14ac:dyDescent="0.25">
      <c r="A39" s="274" t="s">
        <v>843</v>
      </c>
      <c r="B39" s="274" t="s">
        <v>181</v>
      </c>
      <c r="C39" s="295"/>
      <c r="D39" s="295"/>
      <c r="E39" s="295"/>
      <c r="F39" s="295"/>
      <c r="S39" s="290" t="s">
        <v>279</v>
      </c>
      <c r="T39" s="290" t="s">
        <v>205</v>
      </c>
      <c r="U39" s="290">
        <v>2</v>
      </c>
      <c r="V39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39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39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39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39" s="300">
        <v>276</v>
      </c>
      <c r="AB39" s="274" t="s">
        <v>294</v>
      </c>
      <c r="AC39" s="274" t="s">
        <v>221</v>
      </c>
      <c r="AD39" s="274">
        <v>19</v>
      </c>
      <c r="AE39" s="274">
        <v>16</v>
      </c>
      <c r="AF39" s="274" t="s">
        <v>807</v>
      </c>
    </row>
    <row r="40" spans="1:32" ht="30" customHeight="1" thickBot="1" x14ac:dyDescent="0.3">
      <c r="A40" s="275" t="s">
        <v>829</v>
      </c>
      <c r="B40" s="276">
        <v>1179</v>
      </c>
      <c r="S40" s="290" t="s">
        <v>281</v>
      </c>
      <c r="T40" s="290" t="s">
        <v>205</v>
      </c>
      <c r="U40" s="290">
        <v>2</v>
      </c>
      <c r="V40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40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40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40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0" s="300">
        <v>277</v>
      </c>
      <c r="AB40" s="274" t="s">
        <v>296</v>
      </c>
      <c r="AC40" s="274" t="s">
        <v>221</v>
      </c>
      <c r="AD40" s="274">
        <v>19</v>
      </c>
      <c r="AE40" s="274">
        <v>16</v>
      </c>
      <c r="AF40" s="274" t="s">
        <v>807</v>
      </c>
    </row>
    <row r="41" spans="1:32" ht="30" customHeight="1" thickBot="1" x14ac:dyDescent="0.3">
      <c r="A41" s="277" t="s">
        <v>830</v>
      </c>
      <c r="B41" s="278">
        <v>2024</v>
      </c>
      <c r="C41" s="297"/>
      <c r="D41" s="297"/>
      <c r="E41" s="297"/>
      <c r="S41" s="290" t="s">
        <v>283</v>
      </c>
      <c r="T41" s="290" t="s">
        <v>205</v>
      </c>
      <c r="U41" s="290">
        <v>2</v>
      </c>
      <c r="V41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41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41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41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1" s="300">
        <v>278</v>
      </c>
      <c r="AB41" s="274" t="s">
        <v>298</v>
      </c>
      <c r="AC41" s="274" t="s">
        <v>221</v>
      </c>
      <c r="AD41" s="274">
        <v>19</v>
      </c>
      <c r="AE41" s="274">
        <v>16</v>
      </c>
      <c r="AF41" s="274" t="s">
        <v>807</v>
      </c>
    </row>
    <row r="42" spans="1:32" ht="30" customHeight="1" thickBot="1" x14ac:dyDescent="0.3">
      <c r="A42" s="279" t="s">
        <v>831</v>
      </c>
      <c r="B42" s="278">
        <v>2024</v>
      </c>
      <c r="C42" s="297"/>
      <c r="D42" s="302"/>
      <c r="E42" s="297"/>
      <c r="S42" s="290" t="s">
        <v>285</v>
      </c>
      <c r="T42" s="290" t="s">
        <v>205</v>
      </c>
      <c r="U42" s="290">
        <v>1</v>
      </c>
      <c r="V42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42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42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42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42" s="300">
        <v>281</v>
      </c>
      <c r="AB42" s="274" t="s">
        <v>300</v>
      </c>
      <c r="AC42" s="274" t="s">
        <v>218</v>
      </c>
      <c r="AD42" s="274">
        <v>19</v>
      </c>
      <c r="AE42" s="274">
        <v>0</v>
      </c>
      <c r="AF42" s="274" t="s">
        <v>807</v>
      </c>
    </row>
    <row r="43" spans="1:32" ht="30" customHeight="1" thickBot="1" x14ac:dyDescent="0.3">
      <c r="A43" s="280" t="s">
        <v>832</v>
      </c>
      <c r="B43" s="278">
        <v>2024</v>
      </c>
      <c r="C43" s="297"/>
      <c r="D43" s="302"/>
      <c r="E43" s="297"/>
      <c r="S43" s="290" t="s">
        <v>287</v>
      </c>
      <c r="T43" s="290" t="s">
        <v>205</v>
      </c>
      <c r="U43" s="290">
        <v>4</v>
      </c>
      <c r="V43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43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43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43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3" s="300">
        <v>283</v>
      </c>
      <c r="AB43" s="274" t="s">
        <v>302</v>
      </c>
      <c r="AC43" s="274" t="s">
        <v>218</v>
      </c>
      <c r="AD43" s="274">
        <v>19</v>
      </c>
      <c r="AE43" s="274">
        <v>0</v>
      </c>
      <c r="AF43" s="274" t="s">
        <v>807</v>
      </c>
    </row>
    <row r="44" spans="1:32" ht="30" customHeight="1" thickBot="1" x14ac:dyDescent="0.3">
      <c r="A44" s="277" t="s">
        <v>833</v>
      </c>
      <c r="B44" s="281">
        <v>2931</v>
      </c>
      <c r="C44" s="297"/>
      <c r="D44" s="302"/>
      <c r="E44" s="297"/>
      <c r="S44" s="290" t="s">
        <v>289</v>
      </c>
      <c r="T44" s="290" t="s">
        <v>205</v>
      </c>
      <c r="U44" s="290">
        <v>4</v>
      </c>
      <c r="V44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44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44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44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4" s="300">
        <v>284</v>
      </c>
      <c r="AB44" s="274" t="s">
        <v>304</v>
      </c>
      <c r="AC44" s="274" t="s">
        <v>218</v>
      </c>
      <c r="AD44" s="274">
        <v>19</v>
      </c>
      <c r="AE44" s="274">
        <v>0</v>
      </c>
      <c r="AF44" s="274" t="s">
        <v>807</v>
      </c>
    </row>
    <row r="45" spans="1:32" ht="30" customHeight="1" thickBot="1" x14ac:dyDescent="0.3">
      <c r="A45" s="282" t="s">
        <v>834</v>
      </c>
      <c r="B45" s="278">
        <v>4373</v>
      </c>
      <c r="C45" s="303"/>
      <c r="D45" s="302"/>
      <c r="E45" s="297"/>
      <c r="S45" s="290" t="s">
        <v>291</v>
      </c>
      <c r="T45" s="290" t="s">
        <v>205</v>
      </c>
      <c r="U45" s="290">
        <v>1</v>
      </c>
      <c r="V45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45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45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45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45" s="300">
        <v>285</v>
      </c>
    </row>
    <row r="46" spans="1:32" ht="30" customHeight="1" thickBot="1" x14ac:dyDescent="0.3">
      <c r="A46" s="283" t="s">
        <v>835</v>
      </c>
      <c r="B46" s="278">
        <v>4373</v>
      </c>
      <c r="C46" s="297"/>
      <c r="D46" s="302"/>
      <c r="E46" s="297"/>
      <c r="S46" s="290" t="s">
        <v>293</v>
      </c>
      <c r="T46" s="290" t="s">
        <v>205</v>
      </c>
      <c r="U46" s="290">
        <v>3</v>
      </c>
      <c r="V46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46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46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46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6" s="300">
        <v>286</v>
      </c>
    </row>
    <row r="47" spans="1:32" ht="30" customHeight="1" thickBot="1" x14ac:dyDescent="0.3">
      <c r="A47" s="284" t="s">
        <v>836</v>
      </c>
      <c r="B47" s="285">
        <v>4033</v>
      </c>
      <c r="C47" s="297"/>
      <c r="D47" s="302"/>
      <c r="E47" s="297"/>
      <c r="S47" s="290" t="s">
        <v>295</v>
      </c>
      <c r="T47" s="290" t="s">
        <v>205</v>
      </c>
      <c r="U47" s="290">
        <v>3</v>
      </c>
      <c r="V47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47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47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47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7" s="300">
        <v>296</v>
      </c>
    </row>
    <row r="48" spans="1:32" ht="30" customHeight="1" thickBot="1" x14ac:dyDescent="0.3">
      <c r="A48" s="284" t="s">
        <v>837</v>
      </c>
      <c r="B48" s="285">
        <v>4915</v>
      </c>
      <c r="C48" s="297"/>
      <c r="D48" s="302"/>
      <c r="E48" s="297"/>
      <c r="S48" s="290" t="s">
        <v>297</v>
      </c>
      <c r="T48" s="290" t="s">
        <v>205</v>
      </c>
      <c r="U48" s="290">
        <v>3</v>
      </c>
      <c r="V48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48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48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48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8" s="300">
        <v>300</v>
      </c>
    </row>
    <row r="49" spans="1:26" ht="30" customHeight="1" thickBot="1" x14ac:dyDescent="0.3">
      <c r="A49" s="277" t="s">
        <v>838</v>
      </c>
      <c r="B49" s="278">
        <v>4660</v>
      </c>
      <c r="C49" s="297"/>
      <c r="D49" s="302"/>
      <c r="E49" s="297"/>
      <c r="S49" s="290" t="s">
        <v>299</v>
      </c>
      <c r="T49" s="290" t="s">
        <v>205</v>
      </c>
      <c r="U49" s="290">
        <v>2</v>
      </c>
      <c r="V49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49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49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49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9" s="300">
        <v>301</v>
      </c>
    </row>
    <row r="50" spans="1:26" ht="30" customHeight="1" thickBot="1" x14ac:dyDescent="0.3">
      <c r="A50" s="284" t="s">
        <v>839</v>
      </c>
      <c r="B50" s="278">
        <v>4660</v>
      </c>
      <c r="C50" s="297"/>
      <c r="D50" s="302"/>
      <c r="E50" s="297"/>
      <c r="S50" s="290" t="s">
        <v>301</v>
      </c>
      <c r="T50" s="290" t="s">
        <v>204</v>
      </c>
      <c r="U50" s="290">
        <v>1</v>
      </c>
      <c r="V50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50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50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50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50" s="300">
        <v>307</v>
      </c>
    </row>
    <row r="51" spans="1:26" ht="30" customHeight="1" thickBot="1" x14ac:dyDescent="0.3">
      <c r="A51" s="286" t="s">
        <v>840</v>
      </c>
      <c r="B51" s="281">
        <v>5423</v>
      </c>
      <c r="C51" s="297"/>
      <c r="D51" s="302"/>
      <c r="E51" s="297"/>
      <c r="S51" s="290" t="s">
        <v>303</v>
      </c>
      <c r="T51" s="290" t="s">
        <v>204</v>
      </c>
      <c r="U51" s="290">
        <v>1</v>
      </c>
      <c r="V51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51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51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51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51" s="300">
        <v>308</v>
      </c>
    </row>
    <row r="52" spans="1:26" ht="30" customHeight="1" x14ac:dyDescent="0.25">
      <c r="A52" s="287" t="s">
        <v>841</v>
      </c>
      <c r="B52" s="278">
        <v>9200</v>
      </c>
      <c r="C52" s="303"/>
      <c r="D52" s="302"/>
      <c r="E52" s="297"/>
      <c r="S52" s="290" t="s">
        <v>305</v>
      </c>
      <c r="T52" s="290" t="s">
        <v>205</v>
      </c>
      <c r="U52" s="290">
        <v>4</v>
      </c>
      <c r="V52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52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52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52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2" s="300">
        <v>384</v>
      </c>
    </row>
    <row r="53" spans="1:26" ht="30" customHeight="1" x14ac:dyDescent="0.25">
      <c r="C53" s="297"/>
      <c r="D53" s="302"/>
      <c r="E53" s="297"/>
      <c r="S53" s="290" t="s">
        <v>307</v>
      </c>
      <c r="T53" s="290" t="s">
        <v>205</v>
      </c>
      <c r="U53" s="290">
        <v>1</v>
      </c>
      <c r="V53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53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53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53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53" s="300">
        <v>419</v>
      </c>
    </row>
    <row r="54" spans="1:26" ht="30" customHeight="1" x14ac:dyDescent="0.25">
      <c r="S54" s="290" t="s">
        <v>309</v>
      </c>
      <c r="T54" s="290" t="s">
        <v>204</v>
      </c>
      <c r="U54" s="290">
        <v>3</v>
      </c>
      <c r="V54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54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54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54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4" s="300">
        <v>500</v>
      </c>
    </row>
    <row r="55" spans="1:26" ht="30" customHeight="1" x14ac:dyDescent="0.25">
      <c r="S55" s="290" t="s">
        <v>310</v>
      </c>
      <c r="T55" s="290" t="s">
        <v>204</v>
      </c>
      <c r="U55" s="290">
        <v>3</v>
      </c>
      <c r="V55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55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55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55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5" s="300">
        <v>501</v>
      </c>
    </row>
    <row r="56" spans="1:26" ht="30" customHeight="1" x14ac:dyDescent="0.25">
      <c r="S56" s="290" t="s">
        <v>311</v>
      </c>
      <c r="T56" s="290" t="s">
        <v>204</v>
      </c>
      <c r="U56" s="290">
        <v>3</v>
      </c>
      <c r="V56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56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56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56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6" s="300">
        <v>503</v>
      </c>
    </row>
    <row r="57" spans="1:26" ht="30" customHeight="1" x14ac:dyDescent="0.25">
      <c r="S57" s="290" t="s">
        <v>312</v>
      </c>
      <c r="T57" s="290" t="s">
        <v>204</v>
      </c>
      <c r="U57" s="290">
        <v>3</v>
      </c>
      <c r="V57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57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57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57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7" s="300">
        <v>504</v>
      </c>
    </row>
    <row r="58" spans="1:26" ht="30" customHeight="1" x14ac:dyDescent="0.25">
      <c r="S58" s="290" t="s">
        <v>313</v>
      </c>
      <c r="T58" s="290" t="s">
        <v>204</v>
      </c>
      <c r="U58" s="290">
        <v>3</v>
      </c>
      <c r="V58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58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58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58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8" s="300">
        <v>505</v>
      </c>
    </row>
    <row r="59" spans="1:26" ht="30" customHeight="1" x14ac:dyDescent="0.25">
      <c r="S59" s="290" t="s">
        <v>314</v>
      </c>
      <c r="T59" s="290" t="s">
        <v>204</v>
      </c>
      <c r="U59" s="290">
        <v>3</v>
      </c>
      <c r="V59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59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59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59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9" s="300">
        <v>506</v>
      </c>
    </row>
    <row r="60" spans="1:26" ht="30" customHeight="1" x14ac:dyDescent="0.25">
      <c r="S60" s="290" t="s">
        <v>315</v>
      </c>
      <c r="T60" s="290" t="s">
        <v>204</v>
      </c>
      <c r="U60" s="290">
        <v>3</v>
      </c>
      <c r="V60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60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60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60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0" s="300">
        <v>507</v>
      </c>
    </row>
    <row r="61" spans="1:26" ht="30" customHeight="1" x14ac:dyDescent="0.25">
      <c r="S61" s="290" t="s">
        <v>316</v>
      </c>
      <c r="T61" s="290" t="s">
        <v>204</v>
      </c>
      <c r="U61" s="290">
        <v>3</v>
      </c>
      <c r="V61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61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61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61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1" s="300">
        <v>508</v>
      </c>
    </row>
    <row r="62" spans="1:26" ht="30" customHeight="1" x14ac:dyDescent="0.25">
      <c r="S62" s="290" t="s">
        <v>317</v>
      </c>
      <c r="T62" s="290" t="s">
        <v>204</v>
      </c>
      <c r="U62" s="290">
        <v>3</v>
      </c>
      <c r="V62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62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62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62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2" s="300">
        <v>509</v>
      </c>
    </row>
    <row r="63" spans="1:26" ht="30" customHeight="1" x14ac:dyDescent="0.25">
      <c r="S63" s="290" t="s">
        <v>318</v>
      </c>
      <c r="T63" s="290" t="s">
        <v>204</v>
      </c>
      <c r="U63" s="290">
        <v>3</v>
      </c>
      <c r="V63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63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63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63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3" s="300">
        <v>510</v>
      </c>
    </row>
    <row r="64" spans="1:26" ht="30" customHeight="1" x14ac:dyDescent="0.25">
      <c r="S64" s="290" t="s">
        <v>319</v>
      </c>
      <c r="T64" s="290" t="s">
        <v>204</v>
      </c>
      <c r="U64" s="290">
        <v>2</v>
      </c>
      <c r="V64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64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64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64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4" s="300">
        <v>511</v>
      </c>
    </row>
    <row r="65" spans="19:26" ht="30" customHeight="1" x14ac:dyDescent="0.25">
      <c r="S65" s="290" t="s">
        <v>320</v>
      </c>
      <c r="T65" s="290" t="s">
        <v>204</v>
      </c>
      <c r="U65" s="290">
        <v>3</v>
      </c>
      <c r="V65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65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65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65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5" s="300">
        <v>513</v>
      </c>
    </row>
    <row r="66" spans="19:26" ht="30" customHeight="1" x14ac:dyDescent="0.25">
      <c r="S66" s="290" t="s">
        <v>321</v>
      </c>
      <c r="T66" s="290" t="s">
        <v>204</v>
      </c>
      <c r="U66" s="290">
        <v>2</v>
      </c>
      <c r="V66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66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66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66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6" s="300">
        <v>514</v>
      </c>
    </row>
    <row r="67" spans="19:26" ht="30" customHeight="1" x14ac:dyDescent="0.25">
      <c r="S67" s="290" t="s">
        <v>322</v>
      </c>
      <c r="T67" s="290" t="s">
        <v>204</v>
      </c>
      <c r="U67" s="290">
        <v>3</v>
      </c>
      <c r="V67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67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67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67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7" s="300">
        <v>515</v>
      </c>
    </row>
    <row r="68" spans="19:26" ht="30" customHeight="1" x14ac:dyDescent="0.25">
      <c r="S68" s="290" t="s">
        <v>323</v>
      </c>
      <c r="T68" s="290" t="s">
        <v>204</v>
      </c>
      <c r="U68" s="290">
        <v>2</v>
      </c>
      <c r="V68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68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68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68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8" s="300">
        <v>516</v>
      </c>
    </row>
    <row r="69" spans="19:26" ht="30" customHeight="1" x14ac:dyDescent="0.25">
      <c r="S69" s="290" t="s">
        <v>324</v>
      </c>
      <c r="T69" s="290" t="s">
        <v>204</v>
      </c>
      <c r="U69" s="290">
        <v>1</v>
      </c>
      <c r="V69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69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69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69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69" s="300">
        <v>518</v>
      </c>
    </row>
    <row r="70" spans="19:26" ht="30" customHeight="1" x14ac:dyDescent="0.25">
      <c r="S70" s="290" t="s">
        <v>325</v>
      </c>
      <c r="T70" s="290" t="s">
        <v>204</v>
      </c>
      <c r="U70" s="290">
        <v>2</v>
      </c>
      <c r="V70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70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70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70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0" s="300">
        <v>519</v>
      </c>
    </row>
    <row r="71" spans="19:26" ht="30" customHeight="1" x14ac:dyDescent="0.25">
      <c r="S71" s="290" t="s">
        <v>326</v>
      </c>
      <c r="T71" s="290" t="s">
        <v>204</v>
      </c>
      <c r="U71" s="290">
        <v>2</v>
      </c>
      <c r="V71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71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71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71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1" s="300">
        <v>520</v>
      </c>
    </row>
    <row r="72" spans="19:26" ht="30" customHeight="1" x14ac:dyDescent="0.25">
      <c r="S72" s="290" t="s">
        <v>328</v>
      </c>
      <c r="T72" s="290" t="s">
        <v>204</v>
      </c>
      <c r="U72" s="290">
        <v>2</v>
      </c>
      <c r="V72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72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72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72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2" s="300">
        <v>522</v>
      </c>
    </row>
    <row r="73" spans="19:26" ht="30" customHeight="1" x14ac:dyDescent="0.25">
      <c r="S73" s="290" t="s">
        <v>329</v>
      </c>
      <c r="T73" s="290" t="s">
        <v>204</v>
      </c>
      <c r="U73" s="290">
        <v>3</v>
      </c>
      <c r="V73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73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73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73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3" s="300">
        <v>524</v>
      </c>
    </row>
    <row r="74" spans="19:26" ht="30" customHeight="1" x14ac:dyDescent="0.25">
      <c r="S74" s="290" t="s">
        <v>330</v>
      </c>
      <c r="T74" s="290" t="s">
        <v>204</v>
      </c>
      <c r="U74" s="290">
        <v>3</v>
      </c>
      <c r="V74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74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74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74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4" s="300">
        <v>525</v>
      </c>
    </row>
    <row r="75" spans="19:26" ht="30" customHeight="1" x14ac:dyDescent="0.25">
      <c r="S75" s="290" t="s">
        <v>331</v>
      </c>
      <c r="T75" s="290" t="s">
        <v>204</v>
      </c>
      <c r="U75" s="290">
        <v>3</v>
      </c>
      <c r="V75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75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75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75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5" s="300">
        <v>526</v>
      </c>
    </row>
    <row r="76" spans="19:26" ht="30" customHeight="1" x14ac:dyDescent="0.25">
      <c r="S76" s="290" t="s">
        <v>332</v>
      </c>
      <c r="T76" s="290" t="s">
        <v>204</v>
      </c>
      <c r="U76" s="290">
        <v>3</v>
      </c>
      <c r="V76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76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76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76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6" s="300">
        <v>528</v>
      </c>
    </row>
    <row r="77" spans="19:26" ht="30" customHeight="1" x14ac:dyDescent="0.25">
      <c r="S77" s="290" t="s">
        <v>333</v>
      </c>
      <c r="T77" s="290" t="s">
        <v>204</v>
      </c>
      <c r="U77" s="290">
        <v>3</v>
      </c>
      <c r="V77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77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77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77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7" s="300">
        <v>529</v>
      </c>
    </row>
    <row r="78" spans="19:26" ht="30" customHeight="1" x14ac:dyDescent="0.25">
      <c r="S78" s="290" t="s">
        <v>334</v>
      </c>
      <c r="T78" s="290" t="s">
        <v>205</v>
      </c>
      <c r="U78" s="290">
        <v>4</v>
      </c>
      <c r="V78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78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78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78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8" s="300">
        <v>530</v>
      </c>
    </row>
    <row r="79" spans="19:26" ht="30" customHeight="1" x14ac:dyDescent="0.25">
      <c r="S79" s="290" t="s">
        <v>335</v>
      </c>
      <c r="T79" s="290" t="s">
        <v>205</v>
      </c>
      <c r="U79" s="290">
        <v>3</v>
      </c>
      <c r="V79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79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79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79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9" s="300">
        <v>533</v>
      </c>
    </row>
    <row r="80" spans="19:26" ht="30" customHeight="1" x14ac:dyDescent="0.25">
      <c r="S80" s="290" t="s">
        <v>336</v>
      </c>
      <c r="T80" s="290" t="s">
        <v>205</v>
      </c>
      <c r="U80" s="290">
        <v>2</v>
      </c>
      <c r="V80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80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80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80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0" s="300">
        <v>534</v>
      </c>
    </row>
    <row r="81" spans="1:26" ht="30" customHeight="1" x14ac:dyDescent="0.25">
      <c r="S81" s="290" t="s">
        <v>337</v>
      </c>
      <c r="T81" s="290" t="s">
        <v>205</v>
      </c>
      <c r="U81" s="290">
        <v>2</v>
      </c>
      <c r="V81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81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81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81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1" s="300">
        <v>535</v>
      </c>
    </row>
    <row r="82" spans="1:26" ht="30" customHeight="1" x14ac:dyDescent="0.25">
      <c r="S82" s="290" t="s">
        <v>338</v>
      </c>
      <c r="T82" s="290" t="s">
        <v>205</v>
      </c>
      <c r="U82" s="290">
        <v>4</v>
      </c>
      <c r="V82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82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82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82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2" s="300">
        <v>536</v>
      </c>
    </row>
    <row r="83" spans="1:26" ht="30" customHeight="1" x14ac:dyDescent="0.25">
      <c r="S83" s="290" t="s">
        <v>339</v>
      </c>
      <c r="T83" s="290" t="s">
        <v>205</v>
      </c>
      <c r="U83" s="290">
        <v>4</v>
      </c>
      <c r="V83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83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83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83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3" s="300">
        <v>537</v>
      </c>
    </row>
    <row r="84" spans="1:26" ht="30" customHeight="1" x14ac:dyDescent="0.25">
      <c r="S84" s="290" t="s">
        <v>340</v>
      </c>
      <c r="T84" s="290" t="s">
        <v>204</v>
      </c>
      <c r="U84" s="290">
        <v>2</v>
      </c>
      <c r="V84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84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84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84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4" s="300">
        <v>538</v>
      </c>
    </row>
    <row r="85" spans="1:26" ht="30" customHeight="1" x14ac:dyDescent="0.25">
      <c r="S85" s="290" t="s">
        <v>341</v>
      </c>
      <c r="T85" s="290" t="s">
        <v>204</v>
      </c>
      <c r="U85" s="290">
        <v>3</v>
      </c>
      <c r="V85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85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85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85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5" s="300">
        <v>539</v>
      </c>
    </row>
    <row r="86" spans="1:26" ht="30" customHeight="1" x14ac:dyDescent="0.25">
      <c r="S86" s="290" t="s">
        <v>342</v>
      </c>
      <c r="T86" s="290" t="s">
        <v>204</v>
      </c>
      <c r="U86" s="290">
        <v>3</v>
      </c>
      <c r="V86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86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86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86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6" s="300">
        <v>540</v>
      </c>
    </row>
    <row r="87" spans="1:26" ht="30" customHeight="1" x14ac:dyDescent="0.25">
      <c r="S87" s="290" t="s">
        <v>343</v>
      </c>
      <c r="T87" s="290" t="s">
        <v>204</v>
      </c>
      <c r="U87" s="290">
        <v>3</v>
      </c>
      <c r="V87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87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87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87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7" s="300">
        <v>541</v>
      </c>
    </row>
    <row r="88" spans="1:26" ht="30" customHeight="1" x14ac:dyDescent="0.25">
      <c r="A88" s="274"/>
      <c r="B88" s="274"/>
      <c r="S88" s="290" t="s">
        <v>344</v>
      </c>
      <c r="T88" s="290" t="s">
        <v>204</v>
      </c>
      <c r="U88" s="290">
        <v>3</v>
      </c>
      <c r="V88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88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88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88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8" s="300">
        <v>543</v>
      </c>
    </row>
    <row r="89" spans="1:26" ht="30" customHeight="1" x14ac:dyDescent="0.25">
      <c r="A89" s="274"/>
      <c r="B89" s="274"/>
      <c r="C89" s="274"/>
      <c r="D89" s="274"/>
      <c r="S89" s="290" t="s">
        <v>345</v>
      </c>
      <c r="T89" s="290" t="s">
        <v>204</v>
      </c>
      <c r="U89" s="290">
        <v>3</v>
      </c>
      <c r="V89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89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89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89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9" s="300">
        <v>544</v>
      </c>
    </row>
    <row r="90" spans="1:26" ht="30" customHeight="1" x14ac:dyDescent="0.25">
      <c r="A90" s="274"/>
      <c r="B90" s="274"/>
      <c r="C90" s="274"/>
      <c r="D90" s="274"/>
      <c r="S90" s="290" t="s">
        <v>346</v>
      </c>
      <c r="T90" s="290" t="s">
        <v>204</v>
      </c>
      <c r="U90" s="290">
        <v>2</v>
      </c>
      <c r="V90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90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90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90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0" s="300">
        <v>545</v>
      </c>
    </row>
    <row r="91" spans="1:26" ht="30" customHeight="1" x14ac:dyDescent="0.25">
      <c r="A91" s="274"/>
      <c r="B91" s="274"/>
      <c r="C91" s="274"/>
      <c r="D91" s="274"/>
      <c r="S91" s="290" t="s">
        <v>347</v>
      </c>
      <c r="T91" s="290" t="s">
        <v>204</v>
      </c>
      <c r="U91" s="290">
        <v>3</v>
      </c>
      <c r="V91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1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1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1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1" s="300">
        <v>546</v>
      </c>
    </row>
    <row r="92" spans="1:26" ht="30" customHeight="1" x14ac:dyDescent="0.25">
      <c r="A92" s="274"/>
      <c r="B92" s="274"/>
      <c r="C92" s="274"/>
      <c r="D92" s="274"/>
      <c r="S92" s="290" t="s">
        <v>348</v>
      </c>
      <c r="T92" s="290" t="s">
        <v>204</v>
      </c>
      <c r="U92" s="290">
        <v>3</v>
      </c>
      <c r="V92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2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2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2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2" s="300">
        <v>547</v>
      </c>
    </row>
    <row r="93" spans="1:26" ht="30" customHeight="1" x14ac:dyDescent="0.25">
      <c r="A93" s="274"/>
      <c r="B93" s="274"/>
      <c r="C93" s="274"/>
      <c r="D93" s="274"/>
      <c r="S93" s="290" t="s">
        <v>349</v>
      </c>
      <c r="T93" s="290" t="s">
        <v>205</v>
      </c>
      <c r="U93" s="290">
        <v>4</v>
      </c>
      <c r="V93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93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93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93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3" s="300">
        <v>548</v>
      </c>
    </row>
    <row r="94" spans="1:26" ht="30" customHeight="1" x14ac:dyDescent="0.25">
      <c r="A94" s="274"/>
      <c r="B94" s="274"/>
      <c r="C94" s="274"/>
      <c r="D94" s="274"/>
      <c r="S94" s="290" t="s">
        <v>350</v>
      </c>
      <c r="T94" s="290" t="s">
        <v>204</v>
      </c>
      <c r="U94" s="290">
        <v>3</v>
      </c>
      <c r="V94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4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4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4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4" s="300">
        <v>549</v>
      </c>
    </row>
    <row r="95" spans="1:26" ht="30" customHeight="1" x14ac:dyDescent="0.25">
      <c r="A95" s="274"/>
      <c r="B95" s="274"/>
      <c r="C95" s="274"/>
      <c r="D95" s="274"/>
      <c r="S95" s="290" t="s">
        <v>351</v>
      </c>
      <c r="T95" s="290" t="s">
        <v>204</v>
      </c>
      <c r="U95" s="290">
        <v>3</v>
      </c>
      <c r="V95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5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5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5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5" s="300">
        <v>550</v>
      </c>
    </row>
    <row r="96" spans="1:26" ht="30" customHeight="1" x14ac:dyDescent="0.25">
      <c r="A96" s="274"/>
      <c r="B96" s="274"/>
      <c r="C96" s="274"/>
      <c r="D96" s="274"/>
      <c r="S96" s="290" t="s">
        <v>352</v>
      </c>
      <c r="T96" s="290" t="s">
        <v>204</v>
      </c>
      <c r="U96" s="290">
        <v>3</v>
      </c>
      <c r="V96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6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6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6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6" s="300">
        <v>551</v>
      </c>
    </row>
    <row r="97" spans="1:26" ht="30" customHeight="1" x14ac:dyDescent="0.25">
      <c r="A97" s="274"/>
      <c r="B97" s="274"/>
      <c r="C97" s="274"/>
      <c r="D97" s="274"/>
      <c r="S97" s="290" t="s">
        <v>353</v>
      </c>
      <c r="T97" s="290" t="s">
        <v>204</v>
      </c>
      <c r="U97" s="290">
        <v>3</v>
      </c>
      <c r="V97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7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7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7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7" s="300">
        <v>552</v>
      </c>
    </row>
    <row r="98" spans="1:26" ht="30" customHeight="1" x14ac:dyDescent="0.25">
      <c r="A98" s="274"/>
      <c r="B98" s="274"/>
      <c r="C98" s="274"/>
      <c r="D98" s="274"/>
      <c r="S98" s="290" t="s">
        <v>354</v>
      </c>
      <c r="T98" s="290" t="s">
        <v>204</v>
      </c>
      <c r="U98" s="290">
        <v>3</v>
      </c>
      <c r="V98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8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8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8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8" s="300">
        <v>553</v>
      </c>
    </row>
    <row r="99" spans="1:26" ht="30" customHeight="1" x14ac:dyDescent="0.25">
      <c r="A99" s="274"/>
      <c r="B99" s="274"/>
      <c r="C99" s="274"/>
      <c r="D99" s="274"/>
      <c r="S99" s="290" t="s">
        <v>355</v>
      </c>
      <c r="T99" s="290" t="s">
        <v>204</v>
      </c>
      <c r="U99" s="290">
        <v>3</v>
      </c>
      <c r="V99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9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9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9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9" s="300">
        <v>554</v>
      </c>
    </row>
    <row r="100" spans="1:26" ht="30" customHeight="1" x14ac:dyDescent="0.25">
      <c r="A100" s="274"/>
      <c r="B100" s="274"/>
      <c r="C100" s="274"/>
      <c r="D100" s="274"/>
      <c r="S100" s="290" t="s">
        <v>356</v>
      </c>
      <c r="T100" s="290" t="s">
        <v>204</v>
      </c>
      <c r="U100" s="290">
        <v>3</v>
      </c>
      <c r="V100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100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100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100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00" s="300">
        <v>555</v>
      </c>
    </row>
    <row r="101" spans="1:26" ht="30" customHeight="1" x14ac:dyDescent="0.25">
      <c r="A101" s="274"/>
      <c r="B101" s="274"/>
      <c r="C101" s="274"/>
      <c r="D101" s="274"/>
      <c r="S101" s="290" t="s">
        <v>357</v>
      </c>
      <c r="T101" s="290" t="s">
        <v>204</v>
      </c>
      <c r="U101" s="290">
        <v>2</v>
      </c>
      <c r="V101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101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101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101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01" s="300">
        <v>556</v>
      </c>
    </row>
    <row r="102" spans="1:26" ht="30" customHeight="1" x14ac:dyDescent="0.25">
      <c r="A102" s="274"/>
      <c r="B102" s="274"/>
      <c r="C102" s="274"/>
      <c r="D102" s="274"/>
      <c r="S102" s="290" t="s">
        <v>358</v>
      </c>
      <c r="T102" s="290" t="s">
        <v>204</v>
      </c>
      <c r="U102" s="290">
        <v>3</v>
      </c>
      <c r="V102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102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102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102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02" s="300">
        <v>557</v>
      </c>
    </row>
    <row r="103" spans="1:26" ht="30" customHeight="1" x14ac:dyDescent="0.25">
      <c r="A103" s="274"/>
      <c r="B103" s="274"/>
      <c r="C103" s="274"/>
      <c r="D103" s="274"/>
      <c r="S103" s="290" t="s">
        <v>359</v>
      </c>
      <c r="T103" s="290" t="s">
        <v>204</v>
      </c>
      <c r="U103" s="290">
        <v>2</v>
      </c>
      <c r="V103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103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103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103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03" s="300">
        <v>558</v>
      </c>
    </row>
    <row r="104" spans="1:26" ht="30" customHeight="1" x14ac:dyDescent="0.25">
      <c r="A104" s="274"/>
      <c r="B104" s="274"/>
      <c r="C104" s="274"/>
      <c r="D104" s="274"/>
      <c r="S104" s="290" t="s">
        <v>362</v>
      </c>
      <c r="T104" s="290" t="s">
        <v>204</v>
      </c>
      <c r="U104" s="290">
        <v>1</v>
      </c>
      <c r="V104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104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104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104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04" s="300">
        <v>709</v>
      </c>
    </row>
    <row r="105" spans="1:26" ht="30" customHeight="1" x14ac:dyDescent="0.25">
      <c r="A105" s="274"/>
      <c r="B105" s="274"/>
      <c r="C105" s="274"/>
      <c r="D105" s="274"/>
      <c r="S105" s="290" t="s">
        <v>327</v>
      </c>
      <c r="T105" s="290" t="s">
        <v>204</v>
      </c>
      <c r="U105" s="290">
        <v>2</v>
      </c>
      <c r="V105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105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105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105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05" s="300">
        <v>5211</v>
      </c>
    </row>
    <row r="106" spans="1:26" ht="30" customHeight="1" x14ac:dyDescent="0.25">
      <c r="C106" s="274"/>
      <c r="D106" s="274"/>
    </row>
    <row r="107" spans="1:26" ht="30" customHeight="1" x14ac:dyDescent="0.25"/>
    <row r="108" spans="1:26" ht="30" customHeight="1" x14ac:dyDescent="0.25"/>
    <row r="109" spans="1:26" ht="30" customHeight="1" x14ac:dyDescent="0.25"/>
    <row r="110" spans="1:26" ht="30" customHeight="1" x14ac:dyDescent="0.25"/>
    <row r="111" spans="1:26" ht="30" customHeight="1" x14ac:dyDescent="0.25"/>
    <row r="112" spans="1:26" ht="30" customHeight="1" x14ac:dyDescent="0.25"/>
    <row r="113" spans="19:28" ht="30" customHeight="1" x14ac:dyDescent="0.25"/>
    <row r="114" spans="19:28" ht="30" customHeight="1" x14ac:dyDescent="0.25"/>
    <row r="115" spans="19:28" ht="30" customHeight="1" x14ac:dyDescent="0.25"/>
    <row r="116" spans="19:28" ht="30" customHeight="1" x14ac:dyDescent="0.25"/>
    <row r="117" spans="19:28" ht="30" customHeight="1" x14ac:dyDescent="0.25"/>
    <row r="118" spans="19:28" ht="30" customHeight="1" x14ac:dyDescent="0.25">
      <c r="S118" s="290" t="s">
        <v>767</v>
      </c>
    </row>
    <row r="119" spans="19:28" ht="30" customHeight="1" x14ac:dyDescent="0.25">
      <c r="S119" s="290" t="s">
        <v>768</v>
      </c>
      <c r="T119" s="290" t="s">
        <v>769</v>
      </c>
      <c r="U119" s="290" t="s">
        <v>180</v>
      </c>
      <c r="V119" s="290" t="s">
        <v>783</v>
      </c>
      <c r="W119" s="290" t="s">
        <v>784</v>
      </c>
      <c r="X119" s="290" t="s">
        <v>798</v>
      </c>
      <c r="Y119" s="290" t="s">
        <v>799</v>
      </c>
      <c r="Z119" s="290" t="s">
        <v>800</v>
      </c>
      <c r="AA119" s="290" t="s">
        <v>815</v>
      </c>
      <c r="AB119" s="290" t="s">
        <v>801</v>
      </c>
    </row>
    <row r="120" spans="19:28" ht="30" customHeight="1" x14ac:dyDescent="0.25">
      <c r="S120" s="298" t="s">
        <v>770</v>
      </c>
      <c r="T120" s="290" t="s">
        <v>782</v>
      </c>
      <c r="U120" s="290">
        <v>38</v>
      </c>
      <c r="V120" s="290">
        <v>3000</v>
      </c>
      <c r="W120" s="290">
        <v>1200</v>
      </c>
      <c r="X120" s="299">
        <v>2536</v>
      </c>
      <c r="Y120" s="299">
        <v>4278</v>
      </c>
      <c r="Z120" s="299">
        <v>6020</v>
      </c>
      <c r="AA120" s="299"/>
      <c r="AB120" s="299">
        <v>0</v>
      </c>
    </row>
    <row r="121" spans="19:28" ht="30" customHeight="1" x14ac:dyDescent="0.25">
      <c r="S121" s="298" t="s">
        <v>771</v>
      </c>
      <c r="T121" s="290" t="s">
        <v>782</v>
      </c>
      <c r="U121" s="290">
        <v>38</v>
      </c>
      <c r="V121" s="290">
        <v>3000</v>
      </c>
      <c r="W121" s="290">
        <v>600</v>
      </c>
      <c r="X121" s="299">
        <v>2536</v>
      </c>
      <c r="Y121" s="299">
        <v>4278</v>
      </c>
      <c r="Z121" s="299">
        <v>6020</v>
      </c>
      <c r="AA121" s="299"/>
      <c r="AB121" s="299">
        <v>0</v>
      </c>
    </row>
    <row r="122" spans="19:28" ht="30" customHeight="1" x14ac:dyDescent="0.25">
      <c r="S122" s="298" t="s">
        <v>772</v>
      </c>
      <c r="T122" s="290" t="s">
        <v>782</v>
      </c>
      <c r="U122" s="290">
        <v>38</v>
      </c>
      <c r="V122" s="290">
        <v>3000</v>
      </c>
      <c r="W122" s="290">
        <v>1200</v>
      </c>
      <c r="X122" s="299">
        <v>2536</v>
      </c>
      <c r="Y122" s="299">
        <v>4278</v>
      </c>
      <c r="Z122" s="299">
        <v>6020</v>
      </c>
      <c r="AA122" s="299"/>
      <c r="AB122" s="299">
        <v>0</v>
      </c>
    </row>
    <row r="123" spans="19:28" ht="30" customHeight="1" x14ac:dyDescent="0.25">
      <c r="S123" s="298" t="s">
        <v>773</v>
      </c>
      <c r="T123" s="290" t="s">
        <v>782</v>
      </c>
      <c r="U123" s="290">
        <v>38</v>
      </c>
      <c r="V123" s="290">
        <v>3000</v>
      </c>
      <c r="W123" s="290">
        <v>1200</v>
      </c>
      <c r="X123" s="299">
        <v>2536</v>
      </c>
      <c r="Y123" s="299">
        <v>4278</v>
      </c>
      <c r="Z123" s="299">
        <v>6020</v>
      </c>
      <c r="AA123" s="299"/>
      <c r="AB123" s="299">
        <v>0</v>
      </c>
    </row>
    <row r="124" spans="19:28" ht="30" customHeight="1" x14ac:dyDescent="0.25">
      <c r="S124" s="298" t="s">
        <v>774</v>
      </c>
      <c r="T124" s="290" t="s">
        <v>782</v>
      </c>
      <c r="U124" s="290">
        <v>38</v>
      </c>
      <c r="V124" s="290">
        <v>3000</v>
      </c>
      <c r="W124" s="290">
        <v>1200</v>
      </c>
      <c r="X124" s="299">
        <v>2536</v>
      </c>
      <c r="Y124" s="299">
        <v>4278</v>
      </c>
      <c r="Z124" s="299">
        <v>6020</v>
      </c>
      <c r="AA124" s="299"/>
      <c r="AB124" s="299">
        <v>0</v>
      </c>
    </row>
    <row r="125" spans="19:28" ht="30" customHeight="1" x14ac:dyDescent="0.25">
      <c r="S125" s="298" t="s">
        <v>775</v>
      </c>
      <c r="T125" s="290" t="s">
        <v>782</v>
      </c>
      <c r="U125" s="290">
        <v>38</v>
      </c>
      <c r="V125" s="290">
        <v>3000</v>
      </c>
      <c r="W125" s="290">
        <v>1200</v>
      </c>
      <c r="X125" s="299">
        <v>2536</v>
      </c>
      <c r="Y125" s="299">
        <v>4278</v>
      </c>
      <c r="Z125" s="299">
        <v>6020</v>
      </c>
      <c r="AA125" s="299"/>
      <c r="AB125" s="299">
        <v>0</v>
      </c>
    </row>
    <row r="126" spans="19:28" ht="30" customHeight="1" x14ac:dyDescent="0.25">
      <c r="S126" s="298" t="s">
        <v>776</v>
      </c>
      <c r="T126" s="290" t="s">
        <v>782</v>
      </c>
      <c r="U126" s="290">
        <v>38</v>
      </c>
      <c r="V126" s="290">
        <v>3000</v>
      </c>
      <c r="W126" s="290">
        <v>1200</v>
      </c>
      <c r="X126" s="299">
        <v>2536</v>
      </c>
      <c r="Y126" s="299">
        <v>4278</v>
      </c>
      <c r="Z126" s="299">
        <v>6020</v>
      </c>
      <c r="AA126" s="299"/>
      <c r="AB126" s="299">
        <v>0</v>
      </c>
    </row>
    <row r="127" spans="19:28" ht="30" customHeight="1" x14ac:dyDescent="0.25">
      <c r="S127" s="298" t="s">
        <v>777</v>
      </c>
      <c r="T127" s="290" t="s">
        <v>782</v>
      </c>
      <c r="U127" s="290">
        <v>38</v>
      </c>
      <c r="V127" s="290">
        <v>3000</v>
      </c>
      <c r="W127" s="290">
        <v>1200</v>
      </c>
      <c r="X127" s="299">
        <v>2536</v>
      </c>
      <c r="Y127" s="299">
        <v>4278</v>
      </c>
      <c r="Z127" s="299">
        <v>6020</v>
      </c>
      <c r="AA127" s="299"/>
      <c r="AB127" s="299">
        <v>0</v>
      </c>
    </row>
    <row r="128" spans="19:28" ht="30" customHeight="1" x14ac:dyDescent="0.25">
      <c r="S128" s="298" t="s">
        <v>778</v>
      </c>
      <c r="T128" s="290" t="s">
        <v>782</v>
      </c>
      <c r="U128" s="290">
        <v>38</v>
      </c>
      <c r="V128" s="290">
        <v>3000</v>
      </c>
      <c r="W128" s="290">
        <v>1200</v>
      </c>
      <c r="X128" s="299">
        <v>2536</v>
      </c>
      <c r="Y128" s="299">
        <v>4278</v>
      </c>
      <c r="Z128" s="299">
        <v>6020</v>
      </c>
      <c r="AA128" s="299"/>
      <c r="AB128" s="299">
        <v>0</v>
      </c>
    </row>
    <row r="129" spans="19:28" ht="30" customHeight="1" x14ac:dyDescent="0.25">
      <c r="S129" s="298" t="s">
        <v>779</v>
      </c>
      <c r="T129" s="290" t="s">
        <v>782</v>
      </c>
      <c r="U129" s="290">
        <v>38</v>
      </c>
      <c r="V129" s="290">
        <v>3000</v>
      </c>
      <c r="W129" s="290">
        <v>1200</v>
      </c>
      <c r="X129" s="299">
        <v>2536</v>
      </c>
      <c r="Y129" s="299">
        <v>4278</v>
      </c>
      <c r="Z129" s="299">
        <v>6020</v>
      </c>
      <c r="AA129" s="299"/>
      <c r="AB129" s="299">
        <v>0</v>
      </c>
    </row>
    <row r="130" spans="19:28" ht="30" customHeight="1" x14ac:dyDescent="0.25">
      <c r="S130" s="298" t="s">
        <v>780</v>
      </c>
      <c r="T130" s="290" t="s">
        <v>782</v>
      </c>
      <c r="U130" s="290">
        <v>38</v>
      </c>
      <c r="V130" s="290">
        <v>3600</v>
      </c>
      <c r="W130" s="290">
        <v>1200</v>
      </c>
      <c r="X130" s="299">
        <v>2536</v>
      </c>
      <c r="Y130" s="299">
        <v>4278</v>
      </c>
      <c r="Z130" s="299">
        <v>6020</v>
      </c>
      <c r="AA130" s="299"/>
      <c r="AB130" s="299">
        <v>0</v>
      </c>
    </row>
    <row r="131" spans="19:28" ht="30" customHeight="1" x14ac:dyDescent="0.25">
      <c r="S131" s="298" t="s">
        <v>781</v>
      </c>
      <c r="T131" s="290" t="s">
        <v>782</v>
      </c>
      <c r="U131" s="290">
        <v>38</v>
      </c>
      <c r="V131" s="290">
        <v>3600</v>
      </c>
      <c r="W131" s="290">
        <v>1200</v>
      </c>
      <c r="X131" s="299">
        <v>2536</v>
      </c>
      <c r="Y131" s="299">
        <v>4278</v>
      </c>
      <c r="Z131" s="299">
        <v>6020</v>
      </c>
      <c r="AA131" s="299"/>
      <c r="AB131" s="299">
        <v>0</v>
      </c>
    </row>
    <row r="132" spans="19:28" ht="30" customHeight="1" x14ac:dyDescent="0.25">
      <c r="S132" s="290" t="s">
        <v>773</v>
      </c>
      <c r="T132" s="290" t="s">
        <v>782</v>
      </c>
      <c r="U132" s="290">
        <v>15</v>
      </c>
      <c r="V132" s="290">
        <v>3600</v>
      </c>
      <c r="W132" s="290">
        <v>1200</v>
      </c>
      <c r="X132" s="299">
        <v>1268</v>
      </c>
      <c r="Y132" s="299">
        <v>2139</v>
      </c>
      <c r="Z132" s="299">
        <v>3010</v>
      </c>
      <c r="AA132" s="299"/>
      <c r="AB132" s="299">
        <v>0</v>
      </c>
    </row>
    <row r="133" spans="19:28" ht="30" customHeight="1" x14ac:dyDescent="0.25">
      <c r="S133" s="290" t="s">
        <v>785</v>
      </c>
      <c r="T133" s="290" t="s">
        <v>782</v>
      </c>
      <c r="U133" s="290">
        <v>15</v>
      </c>
      <c r="V133" s="290">
        <v>3600</v>
      </c>
      <c r="W133" s="290">
        <v>1200</v>
      </c>
      <c r="X133" s="299">
        <v>1268</v>
      </c>
      <c r="Y133" s="299">
        <v>2139</v>
      </c>
      <c r="Z133" s="299">
        <v>3010</v>
      </c>
      <c r="AA133" s="299"/>
      <c r="AB133" s="299">
        <v>0</v>
      </c>
    </row>
    <row r="134" spans="19:28" ht="30" customHeight="1" x14ac:dyDescent="0.25">
      <c r="S134" s="290" t="s">
        <v>786</v>
      </c>
      <c r="T134" s="290" t="s">
        <v>782</v>
      </c>
      <c r="U134" s="290">
        <v>15</v>
      </c>
      <c r="V134" s="290">
        <v>3600</v>
      </c>
      <c r="W134" s="290">
        <v>1200</v>
      </c>
      <c r="X134" s="299">
        <v>1268</v>
      </c>
      <c r="Y134" s="299">
        <v>2139</v>
      </c>
      <c r="Z134" s="299">
        <v>3010</v>
      </c>
      <c r="AA134" s="299"/>
      <c r="AB134" s="299">
        <v>0</v>
      </c>
    </row>
    <row r="135" spans="19:28" ht="30" customHeight="1" x14ac:dyDescent="0.25">
      <c r="S135" s="290" t="s">
        <v>777</v>
      </c>
      <c r="T135" s="290" t="s">
        <v>782</v>
      </c>
      <c r="U135" s="290">
        <v>15</v>
      </c>
      <c r="V135" s="290">
        <v>3600</v>
      </c>
      <c r="W135" s="290">
        <v>1200</v>
      </c>
      <c r="X135" s="299">
        <v>1268</v>
      </c>
      <c r="Y135" s="299">
        <v>2139</v>
      </c>
      <c r="Z135" s="299">
        <v>3010</v>
      </c>
      <c r="AA135" s="299"/>
      <c r="AB135" s="299">
        <v>0</v>
      </c>
    </row>
    <row r="136" spans="19:28" ht="30" customHeight="1" x14ac:dyDescent="0.25">
      <c r="S136" s="290" t="s">
        <v>787</v>
      </c>
      <c r="T136" s="290" t="s">
        <v>782</v>
      </c>
      <c r="U136" s="290">
        <v>15</v>
      </c>
      <c r="V136" s="290">
        <v>3600</v>
      </c>
      <c r="W136" s="290">
        <v>1200</v>
      </c>
      <c r="X136" s="299">
        <v>1268</v>
      </c>
      <c r="Y136" s="299">
        <v>2139</v>
      </c>
      <c r="Z136" s="299">
        <v>3010</v>
      </c>
      <c r="AA136" s="299"/>
      <c r="AB136" s="299">
        <v>0</v>
      </c>
    </row>
    <row r="137" spans="19:28" ht="30" customHeight="1" x14ac:dyDescent="0.25">
      <c r="S137" s="290" t="s">
        <v>788</v>
      </c>
      <c r="T137" s="290" t="s">
        <v>782</v>
      </c>
      <c r="U137" s="290">
        <v>15</v>
      </c>
      <c r="V137" s="290">
        <v>3600</v>
      </c>
      <c r="W137" s="290">
        <v>1200</v>
      </c>
      <c r="X137" s="299">
        <v>1268</v>
      </c>
      <c r="Y137" s="299">
        <v>2139</v>
      </c>
      <c r="Z137" s="299">
        <v>3010</v>
      </c>
      <c r="AA137" s="299"/>
      <c r="AB137" s="299">
        <v>0</v>
      </c>
    </row>
    <row r="138" spans="19:28" ht="30" customHeight="1" x14ac:dyDescent="0.25">
      <c r="S138" s="290" t="s">
        <v>780</v>
      </c>
      <c r="T138" s="290" t="s">
        <v>782</v>
      </c>
      <c r="U138" s="290">
        <v>15</v>
      </c>
      <c r="V138" s="290">
        <v>3600</v>
      </c>
      <c r="W138" s="290">
        <v>600</v>
      </c>
      <c r="X138" s="299">
        <v>1268</v>
      </c>
      <c r="Y138" s="299">
        <v>2139</v>
      </c>
      <c r="Z138" s="299">
        <v>3010</v>
      </c>
      <c r="AA138" s="299"/>
      <c r="AB138" s="299">
        <v>0</v>
      </c>
    </row>
    <row r="139" spans="19:28" ht="30" customHeight="1" x14ac:dyDescent="0.25">
      <c r="S139" s="290" t="s">
        <v>781</v>
      </c>
      <c r="T139" s="290" t="s">
        <v>782</v>
      </c>
      <c r="U139" s="290">
        <v>15</v>
      </c>
      <c r="V139" s="290">
        <v>3600</v>
      </c>
      <c r="W139" s="290">
        <v>1200</v>
      </c>
      <c r="X139" s="299">
        <v>1268</v>
      </c>
      <c r="Y139" s="299">
        <v>2139</v>
      </c>
      <c r="Z139" s="299">
        <v>3010</v>
      </c>
      <c r="AA139" s="299"/>
      <c r="AB139" s="299">
        <v>0</v>
      </c>
    </row>
    <row r="140" spans="19:28" ht="30" customHeight="1" x14ac:dyDescent="0.25">
      <c r="S140" s="290" t="s">
        <v>775</v>
      </c>
      <c r="T140" s="290" t="s">
        <v>782</v>
      </c>
      <c r="U140" s="290">
        <v>15</v>
      </c>
      <c r="V140" s="290">
        <v>3600</v>
      </c>
      <c r="W140" s="290">
        <v>1200</v>
      </c>
      <c r="X140" s="299">
        <v>1268</v>
      </c>
      <c r="Y140" s="299">
        <v>2139</v>
      </c>
      <c r="Z140" s="299">
        <v>3010</v>
      </c>
      <c r="AA140" s="299"/>
      <c r="AB140" s="299">
        <v>0</v>
      </c>
    </row>
    <row r="141" spans="19:28" ht="30" customHeight="1" x14ac:dyDescent="0.25">
      <c r="S141" s="298" t="s">
        <v>789</v>
      </c>
      <c r="T141" s="290" t="s">
        <v>796</v>
      </c>
      <c r="U141" s="290">
        <v>38</v>
      </c>
      <c r="V141" s="290">
        <v>4190</v>
      </c>
      <c r="W141" s="290">
        <v>1200</v>
      </c>
      <c r="X141" s="299">
        <v>5477</v>
      </c>
      <c r="Y141" s="299">
        <v>9240</v>
      </c>
      <c r="Z141" s="299">
        <v>13003</v>
      </c>
      <c r="AA141" s="299"/>
      <c r="AB141" s="299">
        <v>18022</v>
      </c>
    </row>
    <row r="142" spans="19:28" ht="30" customHeight="1" x14ac:dyDescent="0.25">
      <c r="S142" s="298" t="s">
        <v>790</v>
      </c>
      <c r="T142" s="290" t="s">
        <v>796</v>
      </c>
      <c r="U142" s="290">
        <v>38</v>
      </c>
      <c r="V142" s="290">
        <v>4190</v>
      </c>
      <c r="W142" s="290">
        <v>1200</v>
      </c>
      <c r="X142" s="299">
        <v>5477</v>
      </c>
      <c r="Y142" s="299">
        <v>9240</v>
      </c>
      <c r="Z142" s="299">
        <v>13003</v>
      </c>
      <c r="AA142" s="299"/>
      <c r="AB142" s="299">
        <v>18022</v>
      </c>
    </row>
    <row r="143" spans="19:28" ht="30" customHeight="1" x14ac:dyDescent="0.25">
      <c r="S143" s="298" t="s">
        <v>791</v>
      </c>
      <c r="T143" s="290" t="s">
        <v>796</v>
      </c>
      <c r="U143" s="290">
        <v>38</v>
      </c>
      <c r="V143" s="290">
        <v>4190</v>
      </c>
      <c r="W143" s="290">
        <v>1200</v>
      </c>
      <c r="X143" s="299">
        <v>5477</v>
      </c>
      <c r="Y143" s="299">
        <v>9240</v>
      </c>
      <c r="Z143" s="299">
        <v>13003</v>
      </c>
      <c r="AA143" s="299"/>
      <c r="AB143" s="299">
        <v>18022</v>
      </c>
    </row>
    <row r="144" spans="19:28" ht="30" customHeight="1" x14ac:dyDescent="0.25">
      <c r="S144" s="298" t="s">
        <v>792</v>
      </c>
      <c r="T144" s="290" t="s">
        <v>796</v>
      </c>
      <c r="U144" s="290">
        <v>38</v>
      </c>
      <c r="V144" s="290">
        <v>4190</v>
      </c>
      <c r="W144" s="290">
        <v>1200</v>
      </c>
      <c r="X144" s="299">
        <v>5477</v>
      </c>
      <c r="Y144" s="299">
        <v>9240</v>
      </c>
      <c r="Z144" s="299">
        <v>13003</v>
      </c>
      <c r="AA144" s="299"/>
      <c r="AB144" s="299">
        <v>18022</v>
      </c>
    </row>
    <row r="145" spans="19:28" ht="30" customHeight="1" x14ac:dyDescent="0.25">
      <c r="S145" s="298" t="s">
        <v>793</v>
      </c>
      <c r="T145" s="290" t="s">
        <v>796</v>
      </c>
      <c r="U145" s="290">
        <v>38</v>
      </c>
      <c r="V145" s="290">
        <v>4190</v>
      </c>
      <c r="W145" s="290">
        <v>1200</v>
      </c>
      <c r="X145" s="299">
        <v>5477</v>
      </c>
      <c r="Y145" s="299">
        <v>9240</v>
      </c>
      <c r="Z145" s="299">
        <v>13003</v>
      </c>
      <c r="AA145" s="299"/>
      <c r="AB145" s="299">
        <v>18022</v>
      </c>
    </row>
    <row r="146" spans="19:28" ht="30" customHeight="1" x14ac:dyDescent="0.25">
      <c r="S146" s="298" t="s">
        <v>794</v>
      </c>
      <c r="T146" s="290" t="s">
        <v>796</v>
      </c>
      <c r="U146" s="290">
        <v>38</v>
      </c>
      <c r="V146" s="290">
        <v>4190</v>
      </c>
      <c r="W146" s="290">
        <v>1200</v>
      </c>
      <c r="X146" s="299">
        <v>5477</v>
      </c>
      <c r="Y146" s="299">
        <v>9240</v>
      </c>
      <c r="Z146" s="299">
        <v>13003</v>
      </c>
      <c r="AA146" s="299"/>
      <c r="AB146" s="299">
        <v>18022</v>
      </c>
    </row>
    <row r="147" spans="19:28" ht="30" customHeight="1" x14ac:dyDescent="0.25">
      <c r="S147" s="298" t="s">
        <v>795</v>
      </c>
      <c r="T147" s="290" t="s">
        <v>796</v>
      </c>
      <c r="U147" s="290">
        <v>38</v>
      </c>
      <c r="V147" s="290">
        <v>4190</v>
      </c>
      <c r="W147" s="290">
        <v>1200</v>
      </c>
      <c r="X147" s="299">
        <v>5477</v>
      </c>
      <c r="Y147" s="299">
        <v>9240</v>
      </c>
      <c r="Z147" s="299">
        <v>13003</v>
      </c>
      <c r="AA147" s="299"/>
      <c r="AB147" s="299">
        <v>18022</v>
      </c>
    </row>
    <row r="148" spans="19:28" ht="30" customHeight="1" x14ac:dyDescent="0.25">
      <c r="S148" s="290" t="s">
        <v>797</v>
      </c>
      <c r="T148" s="290" t="s">
        <v>796</v>
      </c>
      <c r="U148" s="290">
        <v>38</v>
      </c>
      <c r="V148" s="290">
        <v>4190</v>
      </c>
      <c r="W148" s="290">
        <v>1200</v>
      </c>
      <c r="X148" s="299">
        <v>5477</v>
      </c>
      <c r="Y148" s="299">
        <v>9240</v>
      </c>
      <c r="Z148" s="299">
        <v>13003</v>
      </c>
      <c r="AA148" s="299"/>
      <c r="AB148" s="299">
        <v>18022</v>
      </c>
    </row>
  </sheetData>
  <mergeCells count="2">
    <mergeCell ref="A24:B24"/>
    <mergeCell ref="K1:O1"/>
  </mergeCells>
  <phoneticPr fontId="6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1275" r:id="rId4" name="ImageBelPrem">
          <controlPr defaultSize="0" autoLine="0" r:id="rId5">
            <anchor moveWithCells="1">
              <from>
                <xdr:col>7</xdr:col>
                <xdr:colOff>0</xdr:colOff>
                <xdr:row>13</xdr:row>
                <xdr:rowOff>0</xdr:rowOff>
              </from>
              <to>
                <xdr:col>9</xdr:col>
                <xdr:colOff>0</xdr:colOff>
                <xdr:row>15</xdr:row>
                <xdr:rowOff>209550</xdr:rowOff>
              </to>
            </anchor>
          </controlPr>
        </control>
      </mc:Choice>
      <mc:Fallback>
        <control shapeId="11275" r:id="rId4" name="ImageBelPrem"/>
      </mc:Fallback>
    </mc:AlternateContent>
    <mc:AlternateContent xmlns:mc="http://schemas.openxmlformats.org/markup-compatibility/2006">
      <mc:Choice Requires="x14">
        <control shapeId="11274" r:id="rId6" name="ImageSerGal">
          <controlPr defaultSize="0" autoLine="0" r:id="rId7">
            <anchor moveWithCells="1">
              <from>
                <xdr:col>4</xdr:col>
                <xdr:colOff>0</xdr:colOff>
                <xdr:row>13</xdr:row>
                <xdr:rowOff>0</xdr:rowOff>
              </from>
              <to>
                <xdr:col>6</xdr:col>
                <xdr:colOff>0</xdr:colOff>
                <xdr:row>15</xdr:row>
                <xdr:rowOff>209550</xdr:rowOff>
              </to>
            </anchor>
          </controlPr>
        </control>
      </mc:Choice>
      <mc:Fallback>
        <control shapeId="11274" r:id="rId6" name="ImageSerGal"/>
      </mc:Fallback>
    </mc:AlternateContent>
    <mc:AlternateContent xmlns:mc="http://schemas.openxmlformats.org/markup-compatibility/2006">
      <mc:Choice Requires="x14">
        <control shapeId="11273" r:id="rId8" name="ImageOnixSer">
          <controlPr defaultSize="0" autoLine="0" r:id="rId9">
            <anchor moveWithCells="1">
              <from>
                <xdr:col>1</xdr:col>
                <xdr:colOff>0</xdr:colOff>
                <xdr:row>13</xdr:row>
                <xdr:rowOff>0</xdr:rowOff>
              </from>
              <to>
                <xdr:col>2</xdr:col>
                <xdr:colOff>219075</xdr:colOff>
                <xdr:row>15</xdr:row>
                <xdr:rowOff>209550</xdr:rowOff>
              </to>
            </anchor>
          </controlPr>
        </control>
      </mc:Choice>
      <mc:Fallback>
        <control shapeId="11273" r:id="rId8" name="ImageOnixSer"/>
      </mc:Fallback>
    </mc:AlternateContent>
    <mc:AlternateContent xmlns:mc="http://schemas.openxmlformats.org/markup-compatibility/2006">
      <mc:Choice Requires="x14">
        <control shapeId="11272" r:id="rId10" name="ImageMusson">
          <controlPr defaultSize="0" autoLine="0" r:id="rId11">
            <anchor moveWithCells="1">
              <from>
                <xdr:col>7</xdr:col>
                <xdr:colOff>0</xdr:colOff>
                <xdr:row>9</xdr:row>
                <xdr:rowOff>0</xdr:rowOff>
              </from>
              <to>
                <xdr:col>9</xdr:col>
                <xdr:colOff>0</xdr:colOff>
                <xdr:row>11</xdr:row>
                <xdr:rowOff>219075</xdr:rowOff>
              </to>
            </anchor>
          </controlPr>
        </control>
      </mc:Choice>
      <mc:Fallback>
        <control shapeId="11272" r:id="rId10" name="ImageMusson"/>
      </mc:Fallback>
    </mc:AlternateContent>
    <mc:AlternateContent xmlns:mc="http://schemas.openxmlformats.org/markup-compatibility/2006">
      <mc:Choice Requires="x14">
        <control shapeId="11271" r:id="rId12" name="ImageMarengo">
          <controlPr defaultSize="0" autoLine="0" r:id="rId13">
            <anchor moveWithCells="1">
              <from>
                <xdr:col>4</xdr:col>
                <xdr:colOff>0</xdr:colOff>
                <xdr:row>9</xdr:row>
                <xdr:rowOff>0</xdr:rowOff>
              </from>
              <to>
                <xdr:col>6</xdr:col>
                <xdr:colOff>0</xdr:colOff>
                <xdr:row>11</xdr:row>
                <xdr:rowOff>219075</xdr:rowOff>
              </to>
            </anchor>
          </controlPr>
        </control>
      </mc:Choice>
      <mc:Fallback>
        <control shapeId="11271" r:id="rId12" name="ImageMarengo"/>
      </mc:Fallback>
    </mc:AlternateContent>
    <mc:AlternateContent xmlns:mc="http://schemas.openxmlformats.org/markup-compatibility/2006">
      <mc:Choice Requires="x14">
        <control shapeId="11270" r:id="rId14" name="ImageDubSolsberri">
          <controlPr defaultSize="0" autoLine="0" r:id="rId15">
            <anchor moveWithCells="1">
              <from>
                <xdr:col>1</xdr:col>
                <xdr:colOff>0</xdr:colOff>
                <xdr:row>9</xdr:row>
                <xdr:rowOff>0</xdr:rowOff>
              </from>
              <to>
                <xdr:col>2</xdr:col>
                <xdr:colOff>219075</xdr:colOff>
                <xdr:row>11</xdr:row>
                <xdr:rowOff>219075</xdr:rowOff>
              </to>
            </anchor>
          </controlPr>
        </control>
      </mc:Choice>
      <mc:Fallback>
        <control shapeId="11270" r:id="rId14" name="ImageDubSolsberri"/>
      </mc:Fallback>
    </mc:AlternateContent>
    <mc:AlternateContent xmlns:mc="http://schemas.openxmlformats.org/markup-compatibility/2006">
      <mc:Choice Requires="x14">
        <control shapeId="11269" r:id="rId16" name="ImageDybKendalNat">
          <controlPr defaultSize="0" autoLine="0" r:id="rId17">
            <anchor moveWithCells="1">
              <from>
                <xdr:col>7</xdr:col>
                <xdr:colOff>0</xdr:colOff>
                <xdr:row>5</xdr:row>
                <xdr:rowOff>0</xdr:rowOff>
              </from>
              <to>
                <xdr:col>9</xdr:col>
                <xdr:colOff>0</xdr:colOff>
                <xdr:row>7</xdr:row>
                <xdr:rowOff>209550</xdr:rowOff>
              </to>
            </anchor>
          </controlPr>
        </control>
      </mc:Choice>
      <mc:Fallback>
        <control shapeId="11269" r:id="rId16" name="ImageDybKendalNat"/>
      </mc:Fallback>
    </mc:AlternateContent>
    <mc:AlternateContent xmlns:mc="http://schemas.openxmlformats.org/markup-compatibility/2006">
      <mc:Choice Requires="x14">
        <control shapeId="11268" r:id="rId18" name="ImageBetonChickago">
          <controlPr defaultSize="0" autoLine="0" r:id="rId19">
            <anchor moveWithCells="1">
              <from>
                <xdr:col>1</xdr:col>
                <xdr:colOff>0</xdr:colOff>
                <xdr:row>5</xdr:row>
                <xdr:rowOff>0</xdr:rowOff>
              </from>
              <to>
                <xdr:col>2</xdr:col>
                <xdr:colOff>219075</xdr:colOff>
                <xdr:row>7</xdr:row>
                <xdr:rowOff>209550</xdr:rowOff>
              </to>
            </anchor>
          </controlPr>
        </control>
      </mc:Choice>
      <mc:Fallback>
        <control shapeId="11268" r:id="rId18" name="ImageBetonChickago"/>
      </mc:Fallback>
    </mc:AlternateContent>
    <mc:AlternateContent xmlns:mc="http://schemas.openxmlformats.org/markup-compatibility/2006">
      <mc:Choice Requires="x14">
        <control shapeId="11267" r:id="rId20" name="ImageDubKendalKonyak">
          <controlPr defaultSize="0" autoLine="0" r:id="rId21">
            <anchor moveWithCells="1">
              <from>
                <xdr:col>4</xdr:col>
                <xdr:colOff>0</xdr:colOff>
                <xdr:row>5</xdr:row>
                <xdr:rowOff>0</xdr:rowOff>
              </from>
              <to>
                <xdr:col>6</xdr:col>
                <xdr:colOff>0</xdr:colOff>
                <xdr:row>7</xdr:row>
                <xdr:rowOff>209550</xdr:rowOff>
              </to>
            </anchor>
          </controlPr>
        </control>
      </mc:Choice>
      <mc:Fallback>
        <control shapeId="11267" r:id="rId20" name="ImageDubKendalKonyak"/>
      </mc:Fallback>
    </mc:AlternateContent>
    <mc:AlternateContent xmlns:mc="http://schemas.openxmlformats.org/markup-compatibility/2006">
      <mc:Choice Requires="x14">
        <control shapeId="11266" r:id="rId22" name="ImageSvetloSer">
          <controlPr defaultSize="0" autoLine="0" r:id="rId23">
            <anchor moveWithCells="1">
              <from>
                <xdr:col>4</xdr:col>
                <xdr:colOff>0</xdr:colOff>
                <xdr:row>1</xdr:row>
                <xdr:rowOff>0</xdr:rowOff>
              </from>
              <to>
                <xdr:col>6</xdr:col>
                <xdr:colOff>0</xdr:colOff>
                <xdr:row>3</xdr:row>
                <xdr:rowOff>209550</xdr:rowOff>
              </to>
            </anchor>
          </controlPr>
        </control>
      </mc:Choice>
      <mc:Fallback>
        <control shapeId="11266" r:id="rId22" name="ImageSvetloSer"/>
      </mc:Fallback>
    </mc:AlternateContent>
    <mc:AlternateContent xmlns:mc="http://schemas.openxmlformats.org/markup-compatibility/2006">
      <mc:Choice Requires="x14">
        <control shapeId="11265" r:id="rId24" name="ImageBelBaz">
          <controlPr defaultSize="0" autoLine="0" r:id="rId25">
            <anchor moveWithCells="1">
              <from>
                <xdr:col>1</xdr:col>
                <xdr:colOff>0</xdr:colOff>
                <xdr:row>1</xdr:row>
                <xdr:rowOff>0</xdr:rowOff>
              </from>
              <to>
                <xdr:col>2</xdr:col>
                <xdr:colOff>219075</xdr:colOff>
                <xdr:row>3</xdr:row>
                <xdr:rowOff>209550</xdr:rowOff>
              </to>
            </anchor>
          </controlPr>
        </control>
      </mc:Choice>
      <mc:Fallback>
        <control shapeId="11265" r:id="rId24" name="ImageBelBaz"/>
      </mc:Fallback>
    </mc:AlternateContent>
  </controls>
  <tableParts count="7">
    <tablePart r:id="rId26"/>
    <tablePart r:id="rId27"/>
    <tablePart r:id="rId28"/>
    <tablePart r:id="rId29"/>
    <tablePart r:id="rId30"/>
    <tablePart r:id="rId31"/>
    <tablePart r:id="rId32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168FAB-304F-44F8-BA7F-55AE3231C26E}">
  <sheetPr codeName="Лист5"/>
  <dimension ref="A1:A90"/>
  <sheetViews>
    <sheetView topLeftCell="A43" zoomScale="85" zoomScaleNormal="85" workbookViewId="0">
      <selection activeCell="J44" sqref="J44"/>
    </sheetView>
  </sheetViews>
  <sheetFormatPr defaultRowHeight="15" x14ac:dyDescent="0.25"/>
  <cols>
    <col min="1" max="1" width="25" style="1" customWidth="1"/>
    <col min="2" max="2" width="30.7109375" customWidth="1"/>
  </cols>
  <sheetData>
    <row r="1" spans="1:1" ht="170.1" customHeight="1" thickBot="1" x14ac:dyDescent="0.3">
      <c r="A1" s="8" t="s">
        <v>3</v>
      </c>
    </row>
    <row r="2" spans="1:1" ht="170.1" customHeight="1" thickBot="1" x14ac:dyDescent="0.3">
      <c r="A2" s="3" t="s">
        <v>0</v>
      </c>
    </row>
    <row r="3" spans="1:1" ht="170.1" customHeight="1" thickBot="1" x14ac:dyDescent="0.3">
      <c r="A3" s="9" t="s">
        <v>11</v>
      </c>
    </row>
    <row r="4" spans="1:1" ht="170.1" customHeight="1" thickBot="1" x14ac:dyDescent="0.3">
      <c r="A4" s="3" t="s">
        <v>697</v>
      </c>
    </row>
    <row r="5" spans="1:1" ht="170.1" customHeight="1" thickBot="1" x14ac:dyDescent="0.3">
      <c r="A5" s="3" t="s">
        <v>698</v>
      </c>
    </row>
    <row r="6" spans="1:1" ht="170.1" customHeight="1" thickBot="1" x14ac:dyDescent="0.3">
      <c r="A6" s="9" t="s">
        <v>13</v>
      </c>
    </row>
    <row r="7" spans="1:1" ht="170.1" customHeight="1" thickBot="1" x14ac:dyDescent="0.3">
      <c r="A7" s="3" t="s">
        <v>14</v>
      </c>
    </row>
    <row r="8" spans="1:1" ht="170.1" customHeight="1" thickBot="1" x14ac:dyDescent="0.3">
      <c r="A8" s="9" t="s">
        <v>191</v>
      </c>
    </row>
    <row r="9" spans="1:1" ht="170.1" customHeight="1" thickBot="1" x14ac:dyDescent="0.3">
      <c r="A9" s="9" t="s">
        <v>190</v>
      </c>
    </row>
    <row r="10" spans="1:1" ht="170.1" customHeight="1" thickBot="1" x14ac:dyDescent="0.3">
      <c r="A10" s="3" t="s">
        <v>193</v>
      </c>
    </row>
    <row r="11" spans="1:1" ht="170.1" customHeight="1" thickBot="1" x14ac:dyDescent="0.3">
      <c r="A11" s="3" t="s">
        <v>192</v>
      </c>
    </row>
    <row r="12" spans="1:1" ht="170.1" customHeight="1" thickBot="1" x14ac:dyDescent="0.3">
      <c r="A12" s="9"/>
    </row>
    <row r="13" spans="1:1" ht="170.1" customHeight="1" thickBot="1" x14ac:dyDescent="0.3">
      <c r="A13" s="3"/>
    </row>
    <row r="14" spans="1:1" ht="170.1" customHeight="1" thickBot="1" x14ac:dyDescent="0.3">
      <c r="A14" s="9" t="s">
        <v>17</v>
      </c>
    </row>
    <row r="15" spans="1:1" ht="170.1" customHeight="1" x14ac:dyDescent="0.25">
      <c r="A15" s="3" t="s">
        <v>141</v>
      </c>
    </row>
    <row r="16" spans="1:1" ht="170.1" customHeight="1" x14ac:dyDescent="0.25">
      <c r="A16" s="13" t="s">
        <v>18</v>
      </c>
    </row>
    <row r="17" spans="1:1" ht="170.1" customHeight="1" x14ac:dyDescent="0.25">
      <c r="A17" s="17" t="s">
        <v>1</v>
      </c>
    </row>
    <row r="18" spans="1:1" ht="170.1" customHeight="1" x14ac:dyDescent="0.25">
      <c r="A18" s="13" t="s">
        <v>19</v>
      </c>
    </row>
    <row r="19" spans="1:1" ht="170.1" customHeight="1" x14ac:dyDescent="0.25">
      <c r="A19" s="17" t="s">
        <v>20</v>
      </c>
    </row>
    <row r="20" spans="1:1" ht="170.1" customHeight="1" thickBot="1" x14ac:dyDescent="0.3">
      <c r="A20" s="13" t="s">
        <v>21</v>
      </c>
    </row>
    <row r="21" spans="1:1" ht="170.1" customHeight="1" thickBot="1" x14ac:dyDescent="0.3">
      <c r="A21" s="3" t="s">
        <v>22</v>
      </c>
    </row>
    <row r="22" spans="1:1" ht="170.1" customHeight="1" thickBot="1" x14ac:dyDescent="0.3">
      <c r="A22" s="9" t="s">
        <v>23</v>
      </c>
    </row>
    <row r="23" spans="1:1" ht="170.1" customHeight="1" thickBot="1" x14ac:dyDescent="0.3">
      <c r="A23" s="3" t="s">
        <v>24</v>
      </c>
    </row>
    <row r="24" spans="1:1" ht="170.1" customHeight="1" x14ac:dyDescent="0.25">
      <c r="A24" s="9" t="s">
        <v>25</v>
      </c>
    </row>
    <row r="25" spans="1:1" ht="170.1" customHeight="1" x14ac:dyDescent="0.25">
      <c r="A25" s="4" t="s">
        <v>26</v>
      </c>
    </row>
    <row r="26" spans="1:1" ht="170.1" customHeight="1" x14ac:dyDescent="0.25">
      <c r="A26" s="18" t="s">
        <v>27</v>
      </c>
    </row>
    <row r="27" spans="1:1" ht="170.1" customHeight="1" thickBot="1" x14ac:dyDescent="0.3">
      <c r="A27" s="5" t="s">
        <v>701</v>
      </c>
    </row>
    <row r="28" spans="1:1" ht="170.1" customHeight="1" thickBot="1" x14ac:dyDescent="0.3">
      <c r="A28" s="5" t="s">
        <v>702</v>
      </c>
    </row>
    <row r="29" spans="1:1" ht="170.1" customHeight="1" thickBot="1" x14ac:dyDescent="0.3">
      <c r="A29" s="19" t="s">
        <v>29</v>
      </c>
    </row>
    <row r="30" spans="1:1" ht="170.1" customHeight="1" thickBot="1" x14ac:dyDescent="0.3">
      <c r="A30" s="14" t="s">
        <v>30</v>
      </c>
    </row>
    <row r="31" spans="1:1" ht="170.1" customHeight="1" thickBot="1" x14ac:dyDescent="0.3">
      <c r="A31" s="19" t="s">
        <v>196</v>
      </c>
    </row>
    <row r="32" spans="1:1" ht="170.1" customHeight="1" thickBot="1" x14ac:dyDescent="0.3">
      <c r="A32" s="19" t="s">
        <v>195</v>
      </c>
    </row>
    <row r="33" spans="1:1" ht="170.1" customHeight="1" thickBot="1" x14ac:dyDescent="0.3">
      <c r="A33" s="14" t="s">
        <v>31</v>
      </c>
    </row>
    <row r="34" spans="1:1" ht="170.1" customHeight="1" thickBot="1" x14ac:dyDescent="0.3">
      <c r="A34" s="11" t="s">
        <v>2</v>
      </c>
    </row>
    <row r="35" spans="1:1" ht="170.1" customHeight="1" thickBot="1" x14ac:dyDescent="0.3">
      <c r="A35" s="7" t="s">
        <v>132</v>
      </c>
    </row>
    <row r="36" spans="1:1" ht="170.1" customHeight="1" thickBot="1" x14ac:dyDescent="0.3">
      <c r="A36" s="10" t="s">
        <v>133</v>
      </c>
    </row>
    <row r="37" spans="1:1" ht="170.1" customHeight="1" thickBot="1" x14ac:dyDescent="0.3">
      <c r="A37" s="7" t="s">
        <v>703</v>
      </c>
    </row>
    <row r="38" spans="1:1" ht="170.1" customHeight="1" x14ac:dyDescent="0.25">
      <c r="A38" s="7" t="s">
        <v>704</v>
      </c>
    </row>
    <row r="39" spans="1:1" ht="170.1" customHeight="1" thickBot="1" x14ac:dyDescent="0.3">
      <c r="A39" s="11" t="s">
        <v>135</v>
      </c>
    </row>
    <row r="40" spans="1:1" ht="170.1" customHeight="1" thickBot="1" x14ac:dyDescent="0.3">
      <c r="A40" s="7" t="s">
        <v>136</v>
      </c>
    </row>
    <row r="41" spans="1:1" ht="170.1" customHeight="1" thickBot="1" x14ac:dyDescent="0.3">
      <c r="A41" s="10" t="s">
        <v>32</v>
      </c>
    </row>
    <row r="42" spans="1:1" ht="170.1" customHeight="1" thickBot="1" x14ac:dyDescent="0.3">
      <c r="A42" s="7" t="s">
        <v>816</v>
      </c>
    </row>
    <row r="43" spans="1:1" ht="170.1" customHeight="1" thickBot="1" x14ac:dyDescent="0.3">
      <c r="A43" s="20" t="s">
        <v>897</v>
      </c>
    </row>
    <row r="44" spans="1:1" ht="170.1" customHeight="1" thickBot="1" x14ac:dyDescent="0.3">
      <c r="A44" s="20" t="s">
        <v>898</v>
      </c>
    </row>
    <row r="45" spans="1:1" ht="170.1" customHeight="1" thickBot="1" x14ac:dyDescent="0.3">
      <c r="A45" s="21" t="s">
        <v>902</v>
      </c>
    </row>
    <row r="46" spans="1:1" ht="170.1" customHeight="1" thickBot="1" x14ac:dyDescent="0.3">
      <c r="A46" s="21" t="s">
        <v>903</v>
      </c>
    </row>
    <row r="47" spans="1:1" ht="170.1" customHeight="1" thickBot="1" x14ac:dyDescent="0.3">
      <c r="A47" s="12" t="s">
        <v>36</v>
      </c>
    </row>
    <row r="48" spans="1:1" ht="170.1" customHeight="1" thickBot="1" x14ac:dyDescent="0.3">
      <c r="A48" s="7" t="s">
        <v>705</v>
      </c>
    </row>
    <row r="49" spans="1:1" ht="170.1" customHeight="1" thickBot="1" x14ac:dyDescent="0.3">
      <c r="A49" s="7" t="s">
        <v>706</v>
      </c>
    </row>
    <row r="50" spans="1:1" ht="170.1" customHeight="1" thickBot="1" x14ac:dyDescent="0.3">
      <c r="A50" s="10" t="s">
        <v>707</v>
      </c>
    </row>
    <row r="51" spans="1:1" ht="170.1" customHeight="1" thickBot="1" x14ac:dyDescent="0.3">
      <c r="A51" s="10" t="s">
        <v>708</v>
      </c>
    </row>
    <row r="52" spans="1:1" ht="170.1" customHeight="1" thickBot="1" x14ac:dyDescent="0.3">
      <c r="A52" s="10" t="s">
        <v>709</v>
      </c>
    </row>
    <row r="53" spans="1:1" ht="170.1" customHeight="1" thickBot="1" x14ac:dyDescent="0.3">
      <c r="A53" s="7" t="s">
        <v>710</v>
      </c>
    </row>
    <row r="54" spans="1:1" ht="170.1" customHeight="1" thickBot="1" x14ac:dyDescent="0.3">
      <c r="A54" s="7" t="s">
        <v>877</v>
      </c>
    </row>
    <row r="55" spans="1:1" ht="170.1" customHeight="1" thickBot="1" x14ac:dyDescent="0.3">
      <c r="A55" s="22" t="s">
        <v>711</v>
      </c>
    </row>
    <row r="56" spans="1:1" ht="170.1" customHeight="1" thickBot="1" x14ac:dyDescent="0.3">
      <c r="A56" s="22" t="s">
        <v>712</v>
      </c>
    </row>
    <row r="57" spans="1:1" ht="170.1" customHeight="1" thickBot="1" x14ac:dyDescent="0.3">
      <c r="A57" s="10" t="s">
        <v>880</v>
      </c>
    </row>
    <row r="58" spans="1:1" ht="170.1" customHeight="1" thickBot="1" x14ac:dyDescent="0.3">
      <c r="A58" s="10" t="s">
        <v>881</v>
      </c>
    </row>
    <row r="59" spans="1:1" ht="170.1" customHeight="1" thickBot="1" x14ac:dyDescent="0.3">
      <c r="A59" s="10" t="s">
        <v>882</v>
      </c>
    </row>
    <row r="60" spans="1:1" ht="170.1" customHeight="1" thickBot="1" x14ac:dyDescent="0.3">
      <c r="A60" s="10" t="s">
        <v>883</v>
      </c>
    </row>
    <row r="61" spans="1:1" ht="170.1" customHeight="1" thickBot="1" x14ac:dyDescent="0.3">
      <c r="A61" s="7" t="s">
        <v>139</v>
      </c>
    </row>
    <row r="62" spans="1:1" ht="170.1" customHeight="1" thickBot="1" x14ac:dyDescent="0.3">
      <c r="A62" s="10" t="s">
        <v>41</v>
      </c>
    </row>
    <row r="63" spans="1:1" ht="170.1" customHeight="1" thickBot="1" x14ac:dyDescent="0.3">
      <c r="A63" s="7" t="s">
        <v>42</v>
      </c>
    </row>
    <row r="64" spans="1:1" ht="170.1" customHeight="1" thickBot="1" x14ac:dyDescent="0.3">
      <c r="A64" s="23" t="s">
        <v>43</v>
      </c>
    </row>
    <row r="65" spans="1:1" ht="170.1" customHeight="1" thickBot="1" x14ac:dyDescent="0.3">
      <c r="A65" s="6" t="s">
        <v>890</v>
      </c>
    </row>
    <row r="66" spans="1:1" ht="170.1" customHeight="1" thickBot="1" x14ac:dyDescent="0.3">
      <c r="A66" s="24" t="s">
        <v>891</v>
      </c>
    </row>
    <row r="67" spans="1:1" ht="170.1" customHeight="1" thickBot="1" x14ac:dyDescent="0.3">
      <c r="A67" s="6" t="s">
        <v>45</v>
      </c>
    </row>
    <row r="68" spans="1:1" ht="170.1" customHeight="1" thickBot="1" x14ac:dyDescent="0.3">
      <c r="A68" s="12" t="s">
        <v>46</v>
      </c>
    </row>
    <row r="69" spans="1:1" ht="170.1" customHeight="1" thickBot="1" x14ac:dyDescent="0.3">
      <c r="A69" s="7" t="s">
        <v>864</v>
      </c>
    </row>
    <row r="70" spans="1:1" ht="170.1" customHeight="1" thickBot="1" x14ac:dyDescent="0.3">
      <c r="A70" s="7" t="s">
        <v>865</v>
      </c>
    </row>
    <row r="71" spans="1:1" ht="170.1" customHeight="1" thickBot="1" x14ac:dyDescent="0.3">
      <c r="A71" s="25" t="s">
        <v>868</v>
      </c>
    </row>
    <row r="72" spans="1:1" ht="170.1" customHeight="1" thickBot="1" x14ac:dyDescent="0.3">
      <c r="A72" s="25" t="s">
        <v>869</v>
      </c>
    </row>
    <row r="73" spans="1:1" ht="170.1" customHeight="1" thickBot="1" x14ac:dyDescent="0.3">
      <c r="A73" s="25" t="s">
        <v>870</v>
      </c>
    </row>
    <row r="74" spans="1:1" ht="170.1" customHeight="1" thickBot="1" x14ac:dyDescent="0.3">
      <c r="A74" s="7" t="s">
        <v>49</v>
      </c>
    </row>
    <row r="75" spans="1:1" ht="170.1" customHeight="1" thickBot="1" x14ac:dyDescent="0.3">
      <c r="A75" s="10" t="s">
        <v>140</v>
      </c>
    </row>
    <row r="76" spans="1:1" ht="170.1" customHeight="1" thickBot="1" x14ac:dyDescent="0.3">
      <c r="A76" s="7" t="s">
        <v>50</v>
      </c>
    </row>
    <row r="77" spans="1:1" ht="170.1" customHeight="1" thickBot="1" x14ac:dyDescent="0.3">
      <c r="A77" s="10" t="s">
        <v>51</v>
      </c>
    </row>
    <row r="78" spans="1:1" ht="170.1" customHeight="1" thickBot="1" x14ac:dyDescent="0.3">
      <c r="A78" s="26" t="s">
        <v>52</v>
      </c>
    </row>
    <row r="79" spans="1:1" ht="170.1" customHeight="1" thickBot="1" x14ac:dyDescent="0.3">
      <c r="A79" s="10" t="s">
        <v>53</v>
      </c>
    </row>
    <row r="80" spans="1:1" ht="170.1" customHeight="1" thickBot="1" x14ac:dyDescent="0.3">
      <c r="A80" s="7" t="s">
        <v>735</v>
      </c>
    </row>
    <row r="81" spans="1:1" ht="170.1" customHeight="1" thickBot="1" x14ac:dyDescent="0.3">
      <c r="A81" s="7" t="s">
        <v>736</v>
      </c>
    </row>
    <row r="82" spans="1:1" ht="170.1" customHeight="1" thickBot="1" x14ac:dyDescent="0.3">
      <c r="A82" s="10" t="s">
        <v>739</v>
      </c>
    </row>
    <row r="83" spans="1:1" ht="170.1" customHeight="1" thickBot="1" x14ac:dyDescent="0.3">
      <c r="A83" s="10" t="s">
        <v>740</v>
      </c>
    </row>
    <row r="84" spans="1:1" ht="170.1" customHeight="1" thickBot="1" x14ac:dyDescent="0.3">
      <c r="A84" s="7" t="s">
        <v>743</v>
      </c>
    </row>
    <row r="85" spans="1:1" ht="170.1" customHeight="1" thickBot="1" x14ac:dyDescent="0.3">
      <c r="A85" s="7" t="s">
        <v>744</v>
      </c>
    </row>
    <row r="86" spans="1:1" ht="170.1" customHeight="1" thickBot="1" x14ac:dyDescent="0.3">
      <c r="A86" s="7" t="s">
        <v>745</v>
      </c>
    </row>
    <row r="87" spans="1:1" ht="170.1" customHeight="1" thickBot="1" x14ac:dyDescent="0.3">
      <c r="A87" s="10" t="s">
        <v>57</v>
      </c>
    </row>
    <row r="88" spans="1:1" ht="170.1" customHeight="1" thickBot="1" x14ac:dyDescent="0.3">
      <c r="A88" s="7" t="s">
        <v>58</v>
      </c>
    </row>
    <row r="89" spans="1:1" ht="170.1" customHeight="1" x14ac:dyDescent="0.25">
      <c r="A89" s="10" t="s">
        <v>59</v>
      </c>
    </row>
    <row r="90" spans="1:1" ht="170.1" customHeight="1" x14ac:dyDescent="0.25">
      <c r="A90" s="27" t="s">
        <v>60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5214" r:id="rId3" name="EHV1D_960">
          <controlPr defaultSize="0" autoLine="0" r:id="rId4">
            <anchor moveWithCells="1">
              <from>
                <xdr:col>1</xdr:col>
                <xdr:colOff>0</xdr:colOff>
                <xdr:row>43</xdr:row>
                <xdr:rowOff>0</xdr:rowOff>
              </from>
              <to>
                <xdr:col>2</xdr:col>
                <xdr:colOff>0</xdr:colOff>
                <xdr:row>44</xdr:row>
                <xdr:rowOff>0</xdr:rowOff>
              </to>
            </anchor>
          </controlPr>
        </control>
      </mc:Choice>
      <mc:Fallback>
        <control shapeId="5214" r:id="rId3" name="EHV1D_960"/>
      </mc:Fallback>
    </mc:AlternateContent>
    <mc:AlternateContent xmlns:mc="http://schemas.openxmlformats.org/markup-compatibility/2006">
      <mc:Choice Requires="x14">
        <control shapeId="5213" r:id="rId5" name="EHV2D_960">
          <controlPr defaultSize="0" autoLine="0" r:id="rId6">
            <anchor moveWithCells="1">
              <from>
                <xdr:col>1</xdr:col>
                <xdr:colOff>0</xdr:colOff>
                <xdr:row>45</xdr:row>
                <xdr:rowOff>0</xdr:rowOff>
              </from>
              <to>
                <xdr:col>2</xdr:col>
                <xdr:colOff>0</xdr:colOff>
                <xdr:row>46</xdr:row>
                <xdr:rowOff>0</xdr:rowOff>
              </to>
            </anchor>
          </controlPr>
        </control>
      </mc:Choice>
      <mc:Fallback>
        <control shapeId="5213" r:id="rId5" name="EHV2D_960"/>
      </mc:Fallback>
    </mc:AlternateContent>
    <mc:AlternateContent xmlns:mc="http://schemas.openxmlformats.org/markup-compatibility/2006">
      <mc:Choice Requires="x14">
        <control shapeId="5212" r:id="rId7" name="ESVX1D_720">
          <controlPr defaultSize="0" autoLine="0" r:id="rId8">
            <anchor moveWithCells="1">
              <from>
                <xdr:col>1</xdr:col>
                <xdr:colOff>0</xdr:colOff>
                <xdr:row>64</xdr:row>
                <xdr:rowOff>0</xdr:rowOff>
              </from>
              <to>
                <xdr:col>2</xdr:col>
                <xdr:colOff>0</xdr:colOff>
                <xdr:row>65</xdr:row>
                <xdr:rowOff>0</xdr:rowOff>
              </to>
            </anchor>
          </controlPr>
        </control>
      </mc:Choice>
      <mc:Fallback>
        <control shapeId="5212" r:id="rId7" name="ESVX1D_720"/>
      </mc:Fallback>
    </mc:AlternateContent>
    <mc:AlternateContent xmlns:mc="http://schemas.openxmlformats.org/markup-compatibility/2006">
      <mc:Choice Requires="x14">
        <control shapeId="5211" r:id="rId9" name="ERV1D_960">
          <controlPr defaultSize="0" autoLine="0" r:id="rId10">
            <anchor moveWithCells="1">
              <from>
                <xdr:col>1</xdr:col>
                <xdr:colOff>0</xdr:colOff>
                <xdr:row>59</xdr:row>
                <xdr:rowOff>0</xdr:rowOff>
              </from>
              <to>
                <xdr:col>2</xdr:col>
                <xdr:colOff>0</xdr:colOff>
                <xdr:row>60</xdr:row>
                <xdr:rowOff>0</xdr:rowOff>
              </to>
            </anchor>
          </controlPr>
        </control>
      </mc:Choice>
      <mc:Fallback>
        <control shapeId="5211" r:id="rId9" name="ERV1D_960"/>
      </mc:Fallback>
    </mc:AlternateContent>
    <mc:AlternateContent xmlns:mc="http://schemas.openxmlformats.org/markup-compatibility/2006">
      <mc:Choice Requires="x14">
        <control shapeId="5210" r:id="rId11" name="ERV1D_720">
          <controlPr defaultSize="0" autoLine="0" r:id="rId10">
            <anchor moveWithCells="1">
              <from>
                <xdr:col>1</xdr:col>
                <xdr:colOff>0</xdr:colOff>
                <xdr:row>58</xdr:row>
                <xdr:rowOff>0</xdr:rowOff>
              </from>
              <to>
                <xdr:col>2</xdr:col>
                <xdr:colOff>0</xdr:colOff>
                <xdr:row>59</xdr:row>
                <xdr:rowOff>0</xdr:rowOff>
              </to>
            </anchor>
          </controlPr>
        </control>
      </mc:Choice>
      <mc:Fallback>
        <control shapeId="5210" r:id="rId11" name="ERV1D_720"/>
      </mc:Fallback>
    </mc:AlternateContent>
    <mc:AlternateContent xmlns:mc="http://schemas.openxmlformats.org/markup-compatibility/2006">
      <mc:Choice Requires="x14">
        <control shapeId="5209" r:id="rId12" name="ERV1D_480">
          <controlPr defaultSize="0" autoLine="0" r:id="rId10">
            <anchor moveWithCells="1">
              <from>
                <xdr:col>1</xdr:col>
                <xdr:colOff>0</xdr:colOff>
                <xdr:row>56</xdr:row>
                <xdr:rowOff>0</xdr:rowOff>
              </from>
              <to>
                <xdr:col>2</xdr:col>
                <xdr:colOff>0</xdr:colOff>
                <xdr:row>57</xdr:row>
                <xdr:rowOff>0</xdr:rowOff>
              </to>
            </anchor>
          </controlPr>
        </control>
      </mc:Choice>
      <mc:Fallback>
        <control shapeId="5209" r:id="rId12" name="ERV1D_480"/>
      </mc:Fallback>
    </mc:AlternateContent>
    <mc:AlternateContent xmlns:mc="http://schemas.openxmlformats.org/markup-compatibility/2006">
      <mc:Choice Requires="x14">
        <control shapeId="5208" r:id="rId13" name="EWV1V_900">
          <controlPr defaultSize="0" autoLine="0" r:id="rId14">
            <anchor moveWithCells="1">
              <from>
                <xdr:col>1</xdr:col>
                <xdr:colOff>0</xdr:colOff>
                <xdr:row>53</xdr:row>
                <xdr:rowOff>0</xdr:rowOff>
              </from>
              <to>
                <xdr:col>2</xdr:col>
                <xdr:colOff>0</xdr:colOff>
                <xdr:row>54</xdr:row>
                <xdr:rowOff>0</xdr:rowOff>
              </to>
            </anchor>
          </controlPr>
        </control>
      </mc:Choice>
      <mc:Fallback>
        <control shapeId="5208" r:id="rId13" name="EWV1V_900"/>
      </mc:Fallback>
    </mc:AlternateContent>
    <mc:AlternateContent xmlns:mc="http://schemas.openxmlformats.org/markup-compatibility/2006">
      <mc:Choice Requires="x14">
        <control shapeId="5207" r:id="rId15" name="EPT1B_584">
          <controlPr defaultSize="0" autoLine="0" r:id="rId16">
            <anchor moveWithCells="1">
              <from>
                <xdr:col>1</xdr:col>
                <xdr:colOff>0</xdr:colOff>
                <xdr:row>72</xdr:row>
                <xdr:rowOff>0</xdr:rowOff>
              </from>
              <to>
                <xdr:col>2</xdr:col>
                <xdr:colOff>0</xdr:colOff>
                <xdr:row>73</xdr:row>
                <xdr:rowOff>0</xdr:rowOff>
              </to>
            </anchor>
          </controlPr>
        </control>
      </mc:Choice>
      <mc:Fallback>
        <control shapeId="5207" r:id="rId15" name="EPT1B_584"/>
      </mc:Fallback>
    </mc:AlternateContent>
    <mc:AlternateContent xmlns:mc="http://schemas.openxmlformats.org/markup-compatibility/2006">
      <mc:Choice Requires="x14">
        <control shapeId="5206" r:id="rId17" name="EPT1B_455">
          <controlPr defaultSize="0" autoLine="0" r:id="rId16">
            <anchor moveWithCells="1">
              <from>
                <xdr:col>1</xdr:col>
                <xdr:colOff>0</xdr:colOff>
                <xdr:row>71</xdr:row>
                <xdr:rowOff>0</xdr:rowOff>
              </from>
              <to>
                <xdr:col>2</xdr:col>
                <xdr:colOff>0</xdr:colOff>
                <xdr:row>72</xdr:row>
                <xdr:rowOff>0</xdr:rowOff>
              </to>
            </anchor>
          </controlPr>
        </control>
      </mc:Choice>
      <mc:Fallback>
        <control shapeId="5206" r:id="rId17" name="EPT1B_455"/>
      </mc:Fallback>
    </mc:AlternateContent>
    <mc:AlternateContent xmlns:mc="http://schemas.openxmlformats.org/markup-compatibility/2006">
      <mc:Choice Requires="x14">
        <control shapeId="5205" r:id="rId18" name="EPT1D_595">
          <controlPr defaultSize="0" autoLine="0" r:id="rId19">
            <anchor moveWithCells="1">
              <from>
                <xdr:col>1</xdr:col>
                <xdr:colOff>0</xdr:colOff>
                <xdr:row>69</xdr:row>
                <xdr:rowOff>0</xdr:rowOff>
              </from>
              <to>
                <xdr:col>2</xdr:col>
                <xdr:colOff>0</xdr:colOff>
                <xdr:row>70</xdr:row>
                <xdr:rowOff>0</xdr:rowOff>
              </to>
            </anchor>
          </controlPr>
        </control>
      </mc:Choice>
      <mc:Fallback>
        <control shapeId="5205" r:id="rId18" name="EPT1D_595"/>
      </mc:Fallback>
    </mc:AlternateContent>
    <mc:AlternateContent xmlns:mc="http://schemas.openxmlformats.org/markup-compatibility/2006">
      <mc:Choice Requires="x14">
        <control shapeId="5204" r:id="rId20" name="EPT2B1D_595">
          <controlPr defaultSize="0" autoLine="0" r:id="rId21">
            <anchor moveWithCells="1">
              <from>
                <xdr:col>1</xdr:col>
                <xdr:colOff>0</xdr:colOff>
                <xdr:row>85</xdr:row>
                <xdr:rowOff>0</xdr:rowOff>
              </from>
              <to>
                <xdr:col>2</xdr:col>
                <xdr:colOff>0</xdr:colOff>
                <xdr:row>85</xdr:row>
                <xdr:rowOff>2133600</xdr:rowOff>
              </to>
            </anchor>
          </controlPr>
        </control>
      </mc:Choice>
      <mc:Fallback>
        <control shapeId="5204" r:id="rId20" name="EPT2B1D_595"/>
      </mc:Fallback>
    </mc:AlternateContent>
    <mc:AlternateContent xmlns:mc="http://schemas.openxmlformats.org/markup-compatibility/2006">
      <mc:Choice Requires="x14">
        <control shapeId="5203" r:id="rId22" name="EPT2B1D_455">
          <controlPr defaultSize="0" autoLine="0" r:id="rId21">
            <anchor moveWithCells="1">
              <from>
                <xdr:col>1</xdr:col>
                <xdr:colOff>0</xdr:colOff>
                <xdr:row>84</xdr:row>
                <xdr:rowOff>0</xdr:rowOff>
              </from>
              <to>
                <xdr:col>2</xdr:col>
                <xdr:colOff>0</xdr:colOff>
                <xdr:row>84</xdr:row>
                <xdr:rowOff>2133600</xdr:rowOff>
              </to>
            </anchor>
          </controlPr>
        </control>
      </mc:Choice>
      <mc:Fallback>
        <control shapeId="5203" r:id="rId22" name="EPT2B1D_455"/>
      </mc:Fallback>
    </mc:AlternateContent>
    <mc:AlternateContent xmlns:mc="http://schemas.openxmlformats.org/markup-compatibility/2006">
      <mc:Choice Requires="x14">
        <control shapeId="5202" r:id="rId23" name="EPTG2D_595">
          <controlPr defaultSize="0" autoLine="0" r:id="rId24">
            <anchor moveWithCells="1">
              <from>
                <xdr:col>1</xdr:col>
                <xdr:colOff>0</xdr:colOff>
                <xdr:row>82</xdr:row>
                <xdr:rowOff>0</xdr:rowOff>
              </from>
              <to>
                <xdr:col>2</xdr:col>
                <xdr:colOff>0</xdr:colOff>
                <xdr:row>83</xdr:row>
                <xdr:rowOff>0</xdr:rowOff>
              </to>
            </anchor>
          </controlPr>
        </control>
      </mc:Choice>
      <mc:Fallback>
        <control shapeId="5202" r:id="rId23" name="EPTG2D_595"/>
      </mc:Fallback>
    </mc:AlternateContent>
    <mc:AlternateContent xmlns:mc="http://schemas.openxmlformats.org/markup-compatibility/2006">
      <mc:Choice Requires="x14">
        <control shapeId="5201" r:id="rId25" name="EPT2D_595">
          <controlPr defaultSize="0" autoLine="0" r:id="rId26">
            <anchor moveWithCells="1">
              <from>
                <xdr:col>1</xdr:col>
                <xdr:colOff>0</xdr:colOff>
                <xdr:row>80</xdr:row>
                <xdr:rowOff>0</xdr:rowOff>
              </from>
              <to>
                <xdr:col>2</xdr:col>
                <xdr:colOff>0</xdr:colOff>
                <xdr:row>81</xdr:row>
                <xdr:rowOff>0</xdr:rowOff>
              </to>
            </anchor>
          </controlPr>
        </control>
      </mc:Choice>
      <mc:Fallback>
        <control shapeId="5201" r:id="rId25" name="EPT2D_595"/>
      </mc:Fallback>
    </mc:AlternateContent>
    <mc:AlternateContent xmlns:mc="http://schemas.openxmlformats.org/markup-compatibility/2006">
      <mc:Choice Requires="x14">
        <control shapeId="5194" r:id="rId27" name="ENG1K_450">
          <controlPr defaultSize="0" autoLine="0" r:id="rId28">
            <anchor moveWithCells="1">
              <from>
                <xdr:col>1</xdr:col>
                <xdr:colOff>0</xdr:colOff>
                <xdr:row>27</xdr:row>
                <xdr:rowOff>0</xdr:rowOff>
              </from>
              <to>
                <xdr:col>2</xdr:col>
                <xdr:colOff>0</xdr:colOff>
                <xdr:row>28</xdr:row>
                <xdr:rowOff>0</xdr:rowOff>
              </to>
            </anchor>
          </controlPr>
        </control>
      </mc:Choice>
      <mc:Fallback>
        <control shapeId="5194" r:id="rId27" name="ENG1K_450"/>
      </mc:Fallback>
    </mc:AlternateContent>
    <mc:AlternateContent xmlns:mc="http://schemas.openxmlformats.org/markup-compatibility/2006">
      <mc:Choice Requires="x14">
        <control shapeId="5193" r:id="rId29" name="EMN1K_450">
          <controlPr defaultSize="0" autoLine="0" r:id="rId30">
            <anchor moveWithCells="1">
              <from>
                <xdr:col>1</xdr:col>
                <xdr:colOff>0</xdr:colOff>
                <xdr:row>4</xdr:row>
                <xdr:rowOff>0</xdr:rowOff>
              </from>
              <to>
                <xdr:col>2</xdr:col>
                <xdr:colOff>0</xdr:colOff>
                <xdr:row>5</xdr:row>
                <xdr:rowOff>0</xdr:rowOff>
              </to>
            </anchor>
          </controlPr>
        </control>
      </mc:Choice>
      <mc:Fallback>
        <control shapeId="5193" r:id="rId29" name="EMN1K_450"/>
      </mc:Fallback>
    </mc:AlternateContent>
    <mc:AlternateContent xmlns:mc="http://schemas.openxmlformats.org/markup-compatibility/2006">
      <mc:Choice Requires="x14">
        <control shapeId="5189" r:id="rId31" name="EPSP2D">
          <controlPr defaultSize="0" autoLine="0" autoPict="0" r:id="rId32">
            <anchor moveWithCells="1">
              <from>
                <xdr:col>1</xdr:col>
                <xdr:colOff>0</xdr:colOff>
                <xdr:row>89</xdr:row>
                <xdr:rowOff>0</xdr:rowOff>
              </from>
              <to>
                <xdr:col>2</xdr:col>
                <xdr:colOff>0</xdr:colOff>
                <xdr:row>90</xdr:row>
                <xdr:rowOff>0</xdr:rowOff>
              </to>
            </anchor>
          </controlPr>
        </control>
      </mc:Choice>
      <mc:Fallback>
        <control shapeId="5189" r:id="rId31" name="EPSP2D"/>
      </mc:Fallback>
    </mc:AlternateContent>
    <mc:AlternateContent xmlns:mc="http://schemas.openxmlformats.org/markup-compatibility/2006">
      <mc:Choice Requires="x14">
        <control shapeId="5188" r:id="rId33" name="EPTG1B1D">
          <controlPr defaultSize="0" autoLine="0" autoPict="0" r:id="rId34">
            <anchor moveWithCells="1">
              <from>
                <xdr:col>1</xdr:col>
                <xdr:colOff>0</xdr:colOff>
                <xdr:row>88</xdr:row>
                <xdr:rowOff>0</xdr:rowOff>
              </from>
              <to>
                <xdr:col>2</xdr:col>
                <xdr:colOff>0</xdr:colOff>
                <xdr:row>89</xdr:row>
                <xdr:rowOff>0</xdr:rowOff>
              </to>
            </anchor>
          </controlPr>
        </control>
      </mc:Choice>
      <mc:Fallback>
        <control shapeId="5188" r:id="rId33" name="EPTG1B1D"/>
      </mc:Fallback>
    </mc:AlternateContent>
    <mc:AlternateContent xmlns:mc="http://schemas.openxmlformats.org/markup-compatibility/2006">
      <mc:Choice Requires="x14">
        <control shapeId="5187" r:id="rId35" name="EPT1B1D">
          <controlPr defaultSize="0" autoLine="0" autoPict="0" r:id="rId36">
            <anchor moveWithCells="1">
              <from>
                <xdr:col>1</xdr:col>
                <xdr:colOff>0</xdr:colOff>
                <xdr:row>87</xdr:row>
                <xdr:rowOff>0</xdr:rowOff>
              </from>
              <to>
                <xdr:col>2</xdr:col>
                <xdr:colOff>0</xdr:colOff>
                <xdr:row>88</xdr:row>
                <xdr:rowOff>0</xdr:rowOff>
              </to>
            </anchor>
          </controlPr>
        </control>
      </mc:Choice>
      <mc:Fallback>
        <control shapeId="5187" r:id="rId35" name="EPT1B1D"/>
      </mc:Fallback>
    </mc:AlternateContent>
    <mc:AlternateContent xmlns:mc="http://schemas.openxmlformats.org/markup-compatibility/2006">
      <mc:Choice Requires="x14">
        <control shapeId="5186" r:id="rId37" name="EPTP1D">
          <controlPr defaultSize="0" autoLine="0" autoPict="0" r:id="rId38">
            <anchor moveWithCells="1">
              <from>
                <xdr:col>1</xdr:col>
                <xdr:colOff>0</xdr:colOff>
                <xdr:row>86</xdr:row>
                <xdr:rowOff>0</xdr:rowOff>
              </from>
              <to>
                <xdr:col>2</xdr:col>
                <xdr:colOff>0</xdr:colOff>
                <xdr:row>87</xdr:row>
                <xdr:rowOff>0</xdr:rowOff>
              </to>
            </anchor>
          </controlPr>
        </control>
      </mc:Choice>
      <mc:Fallback>
        <control shapeId="5186" r:id="rId37" name="EPTP1D"/>
      </mc:Fallback>
    </mc:AlternateContent>
    <mc:AlternateContent xmlns:mc="http://schemas.openxmlformats.org/markup-compatibility/2006">
      <mc:Choice Requires="x14">
        <control shapeId="5185" r:id="rId39" name="EPT2B1D_382">
          <controlPr defaultSize="0" autoLine="0" autoPict="0" r:id="rId21">
            <anchor moveWithCells="1">
              <from>
                <xdr:col>1</xdr:col>
                <xdr:colOff>0</xdr:colOff>
                <xdr:row>83</xdr:row>
                <xdr:rowOff>0</xdr:rowOff>
              </from>
              <to>
                <xdr:col>2</xdr:col>
                <xdr:colOff>0</xdr:colOff>
                <xdr:row>83</xdr:row>
                <xdr:rowOff>2133600</xdr:rowOff>
              </to>
            </anchor>
          </controlPr>
        </control>
      </mc:Choice>
      <mc:Fallback>
        <control shapeId="5185" r:id="rId39" name="EPT2B1D_382"/>
      </mc:Fallback>
    </mc:AlternateContent>
    <mc:AlternateContent xmlns:mc="http://schemas.openxmlformats.org/markup-compatibility/2006">
      <mc:Choice Requires="x14">
        <control shapeId="5184" r:id="rId40" name="EPTG2D_455">
          <controlPr defaultSize="0" autoLine="0" autoPict="0" r:id="rId24">
            <anchor moveWithCells="1">
              <from>
                <xdr:col>1</xdr:col>
                <xdr:colOff>0</xdr:colOff>
                <xdr:row>81</xdr:row>
                <xdr:rowOff>0</xdr:rowOff>
              </from>
              <to>
                <xdr:col>2</xdr:col>
                <xdr:colOff>0</xdr:colOff>
                <xdr:row>82</xdr:row>
                <xdr:rowOff>0</xdr:rowOff>
              </to>
            </anchor>
          </controlPr>
        </control>
      </mc:Choice>
      <mc:Fallback>
        <control shapeId="5184" r:id="rId40" name="EPTG2D_455"/>
      </mc:Fallback>
    </mc:AlternateContent>
    <mc:AlternateContent xmlns:mc="http://schemas.openxmlformats.org/markup-compatibility/2006">
      <mc:Choice Requires="x14">
        <control shapeId="5183" r:id="rId41" name="EPT2D_455">
          <controlPr defaultSize="0" autoLine="0" autoPict="0" r:id="rId26">
            <anchor moveWithCells="1">
              <from>
                <xdr:col>1</xdr:col>
                <xdr:colOff>0</xdr:colOff>
                <xdr:row>79</xdr:row>
                <xdr:rowOff>0</xdr:rowOff>
              </from>
              <to>
                <xdr:col>2</xdr:col>
                <xdr:colOff>0</xdr:colOff>
                <xdr:row>80</xdr:row>
                <xdr:rowOff>0</xdr:rowOff>
              </to>
            </anchor>
          </controlPr>
        </control>
      </mc:Choice>
      <mc:Fallback>
        <control shapeId="5183" r:id="rId41" name="EPT2D_455"/>
      </mc:Fallback>
    </mc:AlternateContent>
    <mc:AlternateContent xmlns:mc="http://schemas.openxmlformats.org/markup-compatibility/2006">
      <mc:Choice Requires="x14">
        <control shapeId="5182" r:id="rId42" name="EP2B1D">
          <controlPr defaultSize="0" autoLine="0" autoPict="0" r:id="rId43">
            <anchor moveWithCells="1">
              <from>
                <xdr:col>1</xdr:col>
                <xdr:colOff>0</xdr:colOff>
                <xdr:row>78</xdr:row>
                <xdr:rowOff>0</xdr:rowOff>
              </from>
              <to>
                <xdr:col>2</xdr:col>
                <xdr:colOff>0</xdr:colOff>
                <xdr:row>79</xdr:row>
                <xdr:rowOff>0</xdr:rowOff>
              </to>
            </anchor>
          </controlPr>
        </control>
      </mc:Choice>
      <mc:Fallback>
        <control shapeId="5182" r:id="rId42" name="EP2B1D"/>
      </mc:Fallback>
    </mc:AlternateContent>
    <mc:AlternateContent xmlns:mc="http://schemas.openxmlformats.org/markup-compatibility/2006">
      <mc:Choice Requires="x14">
        <control shapeId="5181" r:id="rId44" name="EP3B1D">
          <controlPr defaultSize="0" autoLine="0" autoPict="0" r:id="rId45">
            <anchor moveWithCells="1">
              <from>
                <xdr:col>1</xdr:col>
                <xdr:colOff>0</xdr:colOff>
                <xdr:row>77</xdr:row>
                <xdr:rowOff>0</xdr:rowOff>
              </from>
              <to>
                <xdr:col>2</xdr:col>
                <xdr:colOff>0</xdr:colOff>
                <xdr:row>77</xdr:row>
                <xdr:rowOff>1952625</xdr:rowOff>
              </to>
            </anchor>
          </controlPr>
        </control>
      </mc:Choice>
      <mc:Fallback>
        <control shapeId="5181" r:id="rId44" name="EP3B1D"/>
      </mc:Fallback>
    </mc:AlternateContent>
    <mc:AlternateContent xmlns:mc="http://schemas.openxmlformats.org/markup-compatibility/2006">
      <mc:Choice Requires="x14">
        <control shapeId="5180" r:id="rId46" name="EPSG2D">
          <controlPr defaultSize="0" autoLine="0" autoPict="0" r:id="rId47">
            <anchor moveWithCells="1">
              <from>
                <xdr:col>1</xdr:col>
                <xdr:colOff>0</xdr:colOff>
                <xdr:row>76</xdr:row>
                <xdr:rowOff>0</xdr:rowOff>
              </from>
              <to>
                <xdr:col>2</xdr:col>
                <xdr:colOff>0</xdr:colOff>
                <xdr:row>77</xdr:row>
                <xdr:rowOff>0</xdr:rowOff>
              </to>
            </anchor>
          </controlPr>
        </control>
      </mc:Choice>
      <mc:Fallback>
        <control shapeId="5180" r:id="rId46" name="EPSG2D"/>
      </mc:Fallback>
    </mc:AlternateContent>
    <mc:AlternateContent xmlns:mc="http://schemas.openxmlformats.org/markup-compatibility/2006">
      <mc:Choice Requires="x14">
        <control shapeId="5179" r:id="rId48" name="EPS2D">
          <controlPr defaultSize="0" autoLine="0" autoPict="0" r:id="rId49">
            <anchor moveWithCells="1">
              <from>
                <xdr:col>1</xdr:col>
                <xdr:colOff>0</xdr:colOff>
                <xdr:row>75</xdr:row>
                <xdr:rowOff>0</xdr:rowOff>
              </from>
              <to>
                <xdr:col>2</xdr:col>
                <xdr:colOff>0</xdr:colOff>
                <xdr:row>76</xdr:row>
                <xdr:rowOff>0</xdr:rowOff>
              </to>
            </anchor>
          </controlPr>
        </control>
      </mc:Choice>
      <mc:Fallback>
        <control shapeId="5179" r:id="rId48" name="EPS2D"/>
      </mc:Fallback>
    </mc:AlternateContent>
    <mc:AlternateContent xmlns:mc="http://schemas.openxmlformats.org/markup-compatibility/2006">
      <mc:Choice Requires="x14">
        <control shapeId="5178" r:id="rId50" name="EPG2D_EPG2DM">
          <controlPr defaultSize="0" autoLine="0" autoPict="0" r:id="rId51">
            <anchor moveWithCells="1">
              <from>
                <xdr:col>1</xdr:col>
                <xdr:colOff>0</xdr:colOff>
                <xdr:row>74</xdr:row>
                <xdr:rowOff>0</xdr:rowOff>
              </from>
              <to>
                <xdr:col>2</xdr:col>
                <xdr:colOff>0</xdr:colOff>
                <xdr:row>75</xdr:row>
                <xdr:rowOff>0</xdr:rowOff>
              </to>
            </anchor>
          </controlPr>
        </control>
      </mc:Choice>
      <mc:Fallback>
        <control shapeId="5178" r:id="rId50" name="EPG2D_EPG2DM"/>
      </mc:Fallback>
    </mc:AlternateContent>
    <mc:AlternateContent xmlns:mc="http://schemas.openxmlformats.org/markup-compatibility/2006">
      <mc:Choice Requires="x14">
        <control shapeId="5177" r:id="rId52" name="EP2D">
          <controlPr defaultSize="0" autoLine="0" autoPict="0" r:id="rId53">
            <anchor moveWithCells="1">
              <from>
                <xdr:col>1</xdr:col>
                <xdr:colOff>0</xdr:colOff>
                <xdr:row>73</xdr:row>
                <xdr:rowOff>0</xdr:rowOff>
              </from>
              <to>
                <xdr:col>2</xdr:col>
                <xdr:colOff>0</xdr:colOff>
                <xdr:row>74</xdr:row>
                <xdr:rowOff>0</xdr:rowOff>
              </to>
            </anchor>
          </controlPr>
        </control>
      </mc:Choice>
      <mc:Fallback>
        <control shapeId="5177" r:id="rId52" name="EP2D"/>
      </mc:Fallback>
    </mc:AlternateContent>
    <mc:AlternateContent xmlns:mc="http://schemas.openxmlformats.org/markup-compatibility/2006">
      <mc:Choice Requires="x14">
        <control shapeId="5176" r:id="rId54" name="EPT1B_380">
          <controlPr defaultSize="0" autoLine="0" autoPict="0" r:id="rId16">
            <anchor moveWithCells="1">
              <from>
                <xdr:col>1</xdr:col>
                <xdr:colOff>0</xdr:colOff>
                <xdr:row>70</xdr:row>
                <xdr:rowOff>0</xdr:rowOff>
              </from>
              <to>
                <xdr:col>2</xdr:col>
                <xdr:colOff>0</xdr:colOff>
                <xdr:row>71</xdr:row>
                <xdr:rowOff>0</xdr:rowOff>
              </to>
            </anchor>
          </controlPr>
        </control>
      </mc:Choice>
      <mc:Fallback>
        <control shapeId="5176" r:id="rId54" name="EPT1B_380"/>
      </mc:Fallback>
    </mc:AlternateContent>
    <mc:AlternateContent xmlns:mc="http://schemas.openxmlformats.org/markup-compatibility/2006">
      <mc:Choice Requires="x14">
        <control shapeId="5175" r:id="rId55" name="EPT1D_455">
          <controlPr defaultSize="0" autoLine="0" autoPict="0" r:id="rId19">
            <anchor moveWithCells="1">
              <from>
                <xdr:col>1</xdr:col>
                <xdr:colOff>0</xdr:colOff>
                <xdr:row>68</xdr:row>
                <xdr:rowOff>0</xdr:rowOff>
              </from>
              <to>
                <xdr:col>2</xdr:col>
                <xdr:colOff>0</xdr:colOff>
                <xdr:row>69</xdr:row>
                <xdr:rowOff>0</xdr:rowOff>
              </to>
            </anchor>
          </controlPr>
        </control>
      </mc:Choice>
      <mc:Fallback>
        <control shapeId="5175" r:id="rId55" name="EPT1D_455"/>
      </mc:Fallback>
    </mc:AlternateContent>
    <mc:AlternateContent xmlns:mc="http://schemas.openxmlformats.org/markup-compatibility/2006">
      <mc:Choice Requires="x14">
        <control shapeId="5174" r:id="rId56" name="EPG1D">
          <controlPr defaultSize="0" autoLine="0" autoPict="0" r:id="rId57">
            <anchor moveWithCells="1">
              <from>
                <xdr:col>1</xdr:col>
                <xdr:colOff>0</xdr:colOff>
                <xdr:row>67</xdr:row>
                <xdr:rowOff>0</xdr:rowOff>
              </from>
              <to>
                <xdr:col>2</xdr:col>
                <xdr:colOff>0</xdr:colOff>
                <xdr:row>68</xdr:row>
                <xdr:rowOff>0</xdr:rowOff>
              </to>
            </anchor>
          </controlPr>
        </control>
      </mc:Choice>
      <mc:Fallback>
        <control shapeId="5174" r:id="rId56" name="EPG1D"/>
      </mc:Fallback>
    </mc:AlternateContent>
    <mc:AlternateContent xmlns:mc="http://schemas.openxmlformats.org/markup-compatibility/2006">
      <mc:Choice Requires="x14">
        <control shapeId="5173" r:id="rId58" name="EP1D">
          <controlPr defaultSize="0" autoLine="0" autoPict="0" r:id="rId59">
            <anchor moveWithCells="1">
              <from>
                <xdr:col>1</xdr:col>
                <xdr:colOff>0</xdr:colOff>
                <xdr:row>66</xdr:row>
                <xdr:rowOff>0</xdr:rowOff>
              </from>
              <to>
                <xdr:col>2</xdr:col>
                <xdr:colOff>0</xdr:colOff>
                <xdr:row>67</xdr:row>
                <xdr:rowOff>0</xdr:rowOff>
              </to>
            </anchor>
          </controlPr>
        </control>
      </mc:Choice>
      <mc:Fallback>
        <control shapeId="5173" r:id="rId58" name="EP1D"/>
      </mc:Fallback>
    </mc:AlternateContent>
    <mc:AlternateContent xmlns:mc="http://schemas.openxmlformats.org/markup-compatibility/2006">
      <mc:Choice Requires="x14">
        <control shapeId="5172" r:id="rId60" name="ESVX1D_960">
          <controlPr defaultSize="0" autoLine="0" autoPict="0" r:id="rId8">
            <anchor moveWithCells="1">
              <from>
                <xdr:col>1</xdr:col>
                <xdr:colOff>0</xdr:colOff>
                <xdr:row>65</xdr:row>
                <xdr:rowOff>0</xdr:rowOff>
              </from>
              <to>
                <xdr:col>2</xdr:col>
                <xdr:colOff>0</xdr:colOff>
                <xdr:row>66</xdr:row>
                <xdr:rowOff>0</xdr:rowOff>
              </to>
            </anchor>
          </controlPr>
        </control>
      </mc:Choice>
      <mc:Fallback>
        <control shapeId="5172" r:id="rId60" name="ESVX1D_960"/>
      </mc:Fallback>
    </mc:AlternateContent>
    <mc:AlternateContent xmlns:mc="http://schemas.openxmlformats.org/markup-compatibility/2006">
      <mc:Choice Requires="x14">
        <control shapeId="5170" r:id="rId61" name="EUVG1D">
          <controlPr defaultSize="0" autoLine="0" autoPict="0" r:id="rId62">
            <anchor moveWithCells="1">
              <from>
                <xdr:col>1</xdr:col>
                <xdr:colOff>0</xdr:colOff>
                <xdr:row>63</xdr:row>
                <xdr:rowOff>0</xdr:rowOff>
              </from>
              <to>
                <xdr:col>2</xdr:col>
                <xdr:colOff>0</xdr:colOff>
                <xdr:row>64</xdr:row>
                <xdr:rowOff>0</xdr:rowOff>
              </to>
            </anchor>
          </controlPr>
        </control>
      </mc:Choice>
      <mc:Fallback>
        <control shapeId="5170" r:id="rId61" name="EUVG1D"/>
      </mc:Fallback>
    </mc:AlternateContent>
    <mc:AlternateContent xmlns:mc="http://schemas.openxmlformats.org/markup-compatibility/2006">
      <mc:Choice Requires="x14">
        <control shapeId="5169" r:id="rId63" name="EVG2V">
          <controlPr defaultSize="0" autoLine="0" autoPict="0" r:id="rId64">
            <anchor moveWithCells="1">
              <from>
                <xdr:col>1</xdr:col>
                <xdr:colOff>0</xdr:colOff>
                <xdr:row>62</xdr:row>
                <xdr:rowOff>0</xdr:rowOff>
              </from>
              <to>
                <xdr:col>2</xdr:col>
                <xdr:colOff>0</xdr:colOff>
                <xdr:row>63</xdr:row>
                <xdr:rowOff>0</xdr:rowOff>
              </to>
            </anchor>
          </controlPr>
        </control>
      </mc:Choice>
      <mc:Fallback>
        <control shapeId="5169" r:id="rId63" name="EVG2V"/>
      </mc:Fallback>
    </mc:AlternateContent>
    <mc:AlternateContent xmlns:mc="http://schemas.openxmlformats.org/markup-compatibility/2006">
      <mc:Choice Requires="x14">
        <control shapeId="5168" r:id="rId65" name="EVG2D">
          <controlPr defaultSize="0" autoLine="0" autoPict="0" r:id="rId66">
            <anchor moveWithCells="1">
              <from>
                <xdr:col>1</xdr:col>
                <xdr:colOff>0</xdr:colOff>
                <xdr:row>61</xdr:row>
                <xdr:rowOff>0</xdr:rowOff>
              </from>
              <to>
                <xdr:col>2</xdr:col>
                <xdr:colOff>0</xdr:colOff>
                <xdr:row>62</xdr:row>
                <xdr:rowOff>0</xdr:rowOff>
              </to>
            </anchor>
          </controlPr>
        </control>
      </mc:Choice>
      <mc:Fallback>
        <control shapeId="5168" r:id="rId65" name="EVG2D"/>
      </mc:Fallback>
    </mc:AlternateContent>
    <mc:AlternateContent xmlns:mc="http://schemas.openxmlformats.org/markup-compatibility/2006">
      <mc:Choice Requires="x14">
        <control shapeId="5167" r:id="rId67" name="EVG1D">
          <controlPr defaultSize="0" autoLine="0" autoPict="0" r:id="rId68">
            <anchor moveWithCells="1">
              <from>
                <xdr:col>1</xdr:col>
                <xdr:colOff>0</xdr:colOff>
                <xdr:row>60</xdr:row>
                <xdr:rowOff>0</xdr:rowOff>
              </from>
              <to>
                <xdr:col>2</xdr:col>
                <xdr:colOff>0</xdr:colOff>
                <xdr:row>61</xdr:row>
                <xdr:rowOff>0</xdr:rowOff>
              </to>
            </anchor>
          </controlPr>
        </control>
      </mc:Choice>
      <mc:Fallback>
        <control shapeId="5167" r:id="rId67" name="EVG1D"/>
      </mc:Fallback>
    </mc:AlternateContent>
    <mc:AlternateContent xmlns:mc="http://schemas.openxmlformats.org/markup-compatibility/2006">
      <mc:Choice Requires="x14">
        <control shapeId="5166" r:id="rId69" name="ERV1D_600">
          <controlPr defaultSize="0" autoLine="0" autoPict="0" r:id="rId10">
            <anchor moveWithCells="1">
              <from>
                <xdr:col>1</xdr:col>
                <xdr:colOff>0</xdr:colOff>
                <xdr:row>57</xdr:row>
                <xdr:rowOff>0</xdr:rowOff>
              </from>
              <to>
                <xdr:col>2</xdr:col>
                <xdr:colOff>0</xdr:colOff>
                <xdr:row>58</xdr:row>
                <xdr:rowOff>0</xdr:rowOff>
              </to>
            </anchor>
          </controlPr>
        </control>
      </mc:Choice>
      <mc:Fallback>
        <control shapeId="5166" r:id="rId69" name="ERV1D_600"/>
      </mc:Fallback>
    </mc:AlternateContent>
    <mc:AlternateContent xmlns:mc="http://schemas.openxmlformats.org/markup-compatibility/2006">
      <mc:Choice Requires="x14">
        <control shapeId="5164" r:id="rId70" name="EWV1V_450">
          <controlPr defaultSize="0" autoLine="0" autoPict="0" r:id="rId14">
            <anchor moveWithCells="1">
              <from>
                <xdr:col>1</xdr:col>
                <xdr:colOff>0</xdr:colOff>
                <xdr:row>54</xdr:row>
                <xdr:rowOff>0</xdr:rowOff>
              </from>
              <to>
                <xdr:col>2</xdr:col>
                <xdr:colOff>0</xdr:colOff>
                <xdr:row>55</xdr:row>
                <xdr:rowOff>0</xdr:rowOff>
              </to>
            </anchor>
          </controlPr>
        </control>
      </mc:Choice>
      <mc:Fallback>
        <control shapeId="5164" r:id="rId70" name="EWV1V_450"/>
      </mc:Fallback>
    </mc:AlternateContent>
    <mc:AlternateContent xmlns:mc="http://schemas.openxmlformats.org/markup-compatibility/2006">
      <mc:Choice Requires="x14">
        <control shapeId="5163" r:id="rId71" name="EWV2V_450">
          <controlPr defaultSize="0" autoLine="0" autoPict="0" r:id="rId72">
            <anchor moveWithCells="1">
              <from>
                <xdr:col>1</xdr:col>
                <xdr:colOff>0</xdr:colOff>
                <xdr:row>52</xdr:row>
                <xdr:rowOff>0</xdr:rowOff>
              </from>
              <to>
                <xdr:col>2</xdr:col>
                <xdr:colOff>0</xdr:colOff>
                <xdr:row>53</xdr:row>
                <xdr:rowOff>0</xdr:rowOff>
              </to>
            </anchor>
          </controlPr>
        </control>
      </mc:Choice>
      <mc:Fallback>
        <control shapeId="5163" r:id="rId71" name="EWV2V_450"/>
      </mc:Fallback>
    </mc:AlternateContent>
    <mc:AlternateContent xmlns:mc="http://schemas.openxmlformats.org/markup-compatibility/2006">
      <mc:Choice Requires="x14">
        <control shapeId="5162" r:id="rId73" name="EWV2D_600">
          <controlPr defaultSize="0" autoLine="0" autoPict="0" r:id="rId74">
            <anchor moveWithCells="1">
              <from>
                <xdr:col>1</xdr:col>
                <xdr:colOff>0</xdr:colOff>
                <xdr:row>49</xdr:row>
                <xdr:rowOff>0</xdr:rowOff>
              </from>
              <to>
                <xdr:col>2</xdr:col>
                <xdr:colOff>0</xdr:colOff>
                <xdr:row>50</xdr:row>
                <xdr:rowOff>0</xdr:rowOff>
              </to>
            </anchor>
          </controlPr>
        </control>
      </mc:Choice>
      <mc:Fallback>
        <control shapeId="5162" r:id="rId73" name="EWV2D_600"/>
      </mc:Fallback>
    </mc:AlternateContent>
    <mc:AlternateContent xmlns:mc="http://schemas.openxmlformats.org/markup-compatibility/2006">
      <mc:Choice Requires="x14">
        <control shapeId="5161" r:id="rId75" name="EWV1D_450">
          <controlPr defaultSize="0" autoLine="0" autoPict="0" r:id="rId76">
            <anchor moveWithCells="1">
              <from>
                <xdr:col>1</xdr:col>
                <xdr:colOff>0</xdr:colOff>
                <xdr:row>47</xdr:row>
                <xdr:rowOff>0</xdr:rowOff>
              </from>
              <to>
                <xdr:col>2</xdr:col>
                <xdr:colOff>0</xdr:colOff>
                <xdr:row>48</xdr:row>
                <xdr:rowOff>0</xdr:rowOff>
              </to>
            </anchor>
          </controlPr>
        </control>
      </mc:Choice>
      <mc:Fallback>
        <control shapeId="5161" r:id="rId75" name="EWV1D_450"/>
      </mc:Fallback>
    </mc:AlternateContent>
    <mc:AlternateContent xmlns:mc="http://schemas.openxmlformats.org/markup-compatibility/2006">
      <mc:Choice Requires="x14">
        <control shapeId="5160" r:id="rId77" name="EDV1D">
          <controlPr defaultSize="0" autoLine="0" autoPict="0" r:id="rId78">
            <anchor moveWithCells="1">
              <from>
                <xdr:col>1</xdr:col>
                <xdr:colOff>0</xdr:colOff>
                <xdr:row>46</xdr:row>
                <xdr:rowOff>0</xdr:rowOff>
              </from>
              <to>
                <xdr:col>2</xdr:col>
                <xdr:colOff>0</xdr:colOff>
                <xdr:row>47</xdr:row>
                <xdr:rowOff>0</xdr:rowOff>
              </to>
            </anchor>
          </controlPr>
        </control>
      </mc:Choice>
      <mc:Fallback>
        <control shapeId="5160" r:id="rId77" name="EDV1D"/>
      </mc:Fallback>
    </mc:AlternateContent>
    <mc:AlternateContent xmlns:mc="http://schemas.openxmlformats.org/markup-compatibility/2006">
      <mc:Choice Requires="x14">
        <control shapeId="5159" r:id="rId79" name="EHV2D_720">
          <controlPr defaultSize="0" autoLine="0" autoPict="0" r:id="rId6">
            <anchor moveWithCells="1">
              <from>
                <xdr:col>1</xdr:col>
                <xdr:colOff>0</xdr:colOff>
                <xdr:row>44</xdr:row>
                <xdr:rowOff>0</xdr:rowOff>
              </from>
              <to>
                <xdr:col>2</xdr:col>
                <xdr:colOff>0</xdr:colOff>
                <xdr:row>45</xdr:row>
                <xdr:rowOff>0</xdr:rowOff>
              </to>
            </anchor>
          </controlPr>
        </control>
      </mc:Choice>
      <mc:Fallback>
        <control shapeId="5159" r:id="rId79" name="EHV2D_720"/>
      </mc:Fallback>
    </mc:AlternateContent>
    <mc:AlternateContent xmlns:mc="http://schemas.openxmlformats.org/markup-compatibility/2006">
      <mc:Choice Requires="x14">
        <control shapeId="5158" r:id="rId80" name="EHV1D_720">
          <controlPr defaultSize="0" autoLine="0" autoPict="0" r:id="rId4">
            <anchor moveWithCells="1">
              <from>
                <xdr:col>1</xdr:col>
                <xdr:colOff>0</xdr:colOff>
                <xdr:row>42</xdr:row>
                <xdr:rowOff>0</xdr:rowOff>
              </from>
              <to>
                <xdr:col>2</xdr:col>
                <xdr:colOff>0</xdr:colOff>
                <xdr:row>43</xdr:row>
                <xdr:rowOff>0</xdr:rowOff>
              </to>
            </anchor>
          </controlPr>
        </control>
      </mc:Choice>
      <mc:Fallback>
        <control shapeId="5158" r:id="rId80" name="EHV1D_720"/>
      </mc:Fallback>
    </mc:AlternateContent>
    <mc:AlternateContent xmlns:mc="http://schemas.openxmlformats.org/markup-compatibility/2006">
      <mc:Choice Requires="x14">
        <control shapeId="5157" r:id="rId81" name="EVU1D">
          <controlPr defaultSize="0" autoLine="0" autoPict="0" r:id="rId82">
            <anchor moveWithCells="1">
              <from>
                <xdr:col>1</xdr:col>
                <xdr:colOff>0</xdr:colOff>
                <xdr:row>41</xdr:row>
                <xdr:rowOff>0</xdr:rowOff>
              </from>
              <to>
                <xdr:col>2</xdr:col>
                <xdr:colOff>0</xdr:colOff>
                <xdr:row>42</xdr:row>
                <xdr:rowOff>0</xdr:rowOff>
              </to>
            </anchor>
          </controlPr>
        </control>
      </mc:Choice>
      <mc:Fallback>
        <control shapeId="5157" r:id="rId81" name="EVU1D"/>
      </mc:Fallback>
    </mc:AlternateContent>
    <mc:AlternateContent xmlns:mc="http://schemas.openxmlformats.org/markup-compatibility/2006">
      <mc:Choice Requires="x14">
        <control shapeId="5156" r:id="rId83" name="EMV2V">
          <controlPr defaultSize="0" autoLine="0" autoPict="0" r:id="rId84">
            <anchor moveWithCells="1">
              <from>
                <xdr:col>1</xdr:col>
                <xdr:colOff>0</xdr:colOff>
                <xdr:row>40</xdr:row>
                <xdr:rowOff>0</xdr:rowOff>
              </from>
              <to>
                <xdr:col>2</xdr:col>
                <xdr:colOff>0</xdr:colOff>
                <xdr:row>41</xdr:row>
                <xdr:rowOff>0</xdr:rowOff>
              </to>
            </anchor>
          </controlPr>
        </control>
      </mc:Choice>
      <mc:Fallback>
        <control shapeId="5156" r:id="rId83" name="EMV2V"/>
      </mc:Fallback>
    </mc:AlternateContent>
    <mc:AlternateContent xmlns:mc="http://schemas.openxmlformats.org/markup-compatibility/2006">
      <mc:Choice Requires="x14">
        <control shapeId="5155" r:id="rId85" name="EMV2D">
          <controlPr defaultSize="0" autoLine="0" autoPict="0" r:id="rId86">
            <anchor moveWithCells="1">
              <from>
                <xdr:col>1</xdr:col>
                <xdr:colOff>0</xdr:colOff>
                <xdr:row>39</xdr:row>
                <xdr:rowOff>0</xdr:rowOff>
              </from>
              <to>
                <xdr:col>2</xdr:col>
                <xdr:colOff>0</xdr:colOff>
                <xdr:row>40</xdr:row>
                <xdr:rowOff>0</xdr:rowOff>
              </to>
            </anchor>
          </controlPr>
        </control>
      </mc:Choice>
      <mc:Fallback>
        <control shapeId="5155" r:id="rId85" name="EMV2D"/>
      </mc:Fallback>
    </mc:AlternateContent>
    <mc:AlternateContent xmlns:mc="http://schemas.openxmlformats.org/markup-compatibility/2006">
      <mc:Choice Requires="x14">
        <control shapeId="5154" r:id="rId87" name="EMV1VN">
          <controlPr defaultSize="0" autoLine="0" autoPict="0" r:id="rId88">
            <anchor moveWithCells="1">
              <from>
                <xdr:col>1</xdr:col>
                <xdr:colOff>0</xdr:colOff>
                <xdr:row>38</xdr:row>
                <xdr:rowOff>0</xdr:rowOff>
              </from>
              <to>
                <xdr:col>2</xdr:col>
                <xdr:colOff>0</xdr:colOff>
                <xdr:row>39</xdr:row>
                <xdr:rowOff>0</xdr:rowOff>
              </to>
            </anchor>
          </controlPr>
        </control>
      </mc:Choice>
      <mc:Fallback>
        <control shapeId="5154" r:id="rId87" name="EMV1VN"/>
      </mc:Fallback>
    </mc:AlternateContent>
    <mc:AlternateContent xmlns:mc="http://schemas.openxmlformats.org/markup-compatibility/2006">
      <mc:Choice Requires="x14">
        <control shapeId="5153" r:id="rId89" name="EMV1V">
          <controlPr defaultSize="0" autoLine="0" autoPict="0" r:id="rId90">
            <anchor moveWithCells="1">
              <from>
                <xdr:col>1</xdr:col>
                <xdr:colOff>0</xdr:colOff>
                <xdr:row>36</xdr:row>
                <xdr:rowOff>0</xdr:rowOff>
              </from>
              <to>
                <xdr:col>2</xdr:col>
                <xdr:colOff>0</xdr:colOff>
                <xdr:row>37</xdr:row>
                <xdr:rowOff>0</xdr:rowOff>
              </to>
            </anchor>
          </controlPr>
        </control>
      </mc:Choice>
      <mc:Fallback>
        <control shapeId="5153" r:id="rId89" name="EMV1V"/>
      </mc:Fallback>
    </mc:AlternateContent>
    <mc:AlternateContent xmlns:mc="http://schemas.openxmlformats.org/markup-compatibility/2006">
      <mc:Choice Requires="x14">
        <control shapeId="5152" r:id="rId91" name="EMV1DN">
          <controlPr defaultSize="0" autoLine="0" autoPict="0" r:id="rId92">
            <anchor moveWithCells="1">
              <from>
                <xdr:col>1</xdr:col>
                <xdr:colOff>0</xdr:colOff>
                <xdr:row>35</xdr:row>
                <xdr:rowOff>0</xdr:rowOff>
              </from>
              <to>
                <xdr:col>2</xdr:col>
                <xdr:colOff>0</xdr:colOff>
                <xdr:row>36</xdr:row>
                <xdr:rowOff>0</xdr:rowOff>
              </to>
            </anchor>
          </controlPr>
        </control>
      </mc:Choice>
      <mc:Fallback>
        <control shapeId="5152" r:id="rId91" name="EMV1DN"/>
      </mc:Fallback>
    </mc:AlternateContent>
    <mc:AlternateContent xmlns:mc="http://schemas.openxmlformats.org/markup-compatibility/2006">
      <mc:Choice Requires="x14">
        <control shapeId="5151" r:id="rId93" name="EMV1D">
          <controlPr defaultSize="0" autoLine="0" autoPict="0" r:id="rId94">
            <anchor moveWithCells="1">
              <from>
                <xdr:col>1</xdr:col>
                <xdr:colOff>0</xdr:colOff>
                <xdr:row>34</xdr:row>
                <xdr:rowOff>0</xdr:rowOff>
              </from>
              <to>
                <xdr:col>2</xdr:col>
                <xdr:colOff>0</xdr:colOff>
                <xdr:row>35</xdr:row>
                <xdr:rowOff>0</xdr:rowOff>
              </to>
            </anchor>
          </controlPr>
        </control>
      </mc:Choice>
      <mc:Fallback>
        <control shapeId="5151" r:id="rId93" name="EMV1D"/>
      </mc:Fallback>
    </mc:AlternateContent>
    <mc:AlternateContent xmlns:mc="http://schemas.openxmlformats.org/markup-compatibility/2006">
      <mc:Choice Requires="x14">
        <control shapeId="5150" r:id="rId95" name="EVO">
          <controlPr defaultSize="0" autoLine="0" autoPict="0" r:id="rId96">
            <anchor moveWithCells="1">
              <from>
                <xdr:col>1</xdr:col>
                <xdr:colOff>0</xdr:colOff>
                <xdr:row>33</xdr:row>
                <xdr:rowOff>0</xdr:rowOff>
              </from>
              <to>
                <xdr:col>2</xdr:col>
                <xdr:colOff>0</xdr:colOff>
                <xdr:row>34</xdr:row>
                <xdr:rowOff>0</xdr:rowOff>
              </to>
            </anchor>
          </controlPr>
        </control>
      </mc:Choice>
      <mc:Fallback>
        <control shapeId="5150" r:id="rId95" name="EVO"/>
      </mc:Fallback>
    </mc:AlternateContent>
    <mc:AlternateContent xmlns:mc="http://schemas.openxmlformats.org/markup-compatibility/2006">
      <mc:Choice Requires="x14">
        <control shapeId="5149" r:id="rId97" name="EZ1F">
          <controlPr defaultSize="0" autoLine="0" autoPict="0" r:id="rId98">
            <anchor moveWithCells="1">
              <from>
                <xdr:col>1</xdr:col>
                <xdr:colOff>0</xdr:colOff>
                <xdr:row>32</xdr:row>
                <xdr:rowOff>0</xdr:rowOff>
              </from>
              <to>
                <xdr:col>2</xdr:col>
                <xdr:colOff>0</xdr:colOff>
                <xdr:row>33</xdr:row>
                <xdr:rowOff>0</xdr:rowOff>
              </to>
            </anchor>
          </controlPr>
        </control>
      </mc:Choice>
      <mc:Fallback>
        <control shapeId="5149" r:id="rId97" name="EZ1F"/>
      </mc:Fallback>
    </mc:AlternateContent>
    <mc:AlternateContent xmlns:mc="http://schemas.openxmlformats.org/markup-compatibility/2006">
      <mc:Choice Requires="x14">
        <control shapeId="5148" r:id="rId99" name="EUG1D">
          <controlPr defaultSize="0" autoLine="0" autoPict="0" r:id="rId100">
            <anchor moveWithCells="1">
              <from>
                <xdr:col>1</xdr:col>
                <xdr:colOff>0</xdr:colOff>
                <xdr:row>30</xdr:row>
                <xdr:rowOff>0</xdr:rowOff>
              </from>
              <to>
                <xdr:col>2</xdr:col>
                <xdr:colOff>0</xdr:colOff>
                <xdr:row>31</xdr:row>
                <xdr:rowOff>0</xdr:rowOff>
              </to>
            </anchor>
          </controlPr>
        </control>
      </mc:Choice>
      <mc:Fallback>
        <control shapeId="5148" r:id="rId99" name="EUG1D"/>
      </mc:Fallback>
    </mc:AlternateContent>
    <mc:AlternateContent xmlns:mc="http://schemas.openxmlformats.org/markup-compatibility/2006">
      <mc:Choice Requires="x14">
        <control shapeId="5147" r:id="rId101" name="EWG2D">
          <controlPr defaultSize="0" autoLine="0" autoPict="0" r:id="rId102">
            <anchor moveWithCells="1">
              <from>
                <xdr:col>1</xdr:col>
                <xdr:colOff>0</xdr:colOff>
                <xdr:row>29</xdr:row>
                <xdr:rowOff>0</xdr:rowOff>
              </from>
              <to>
                <xdr:col>2</xdr:col>
                <xdr:colOff>0</xdr:colOff>
                <xdr:row>30</xdr:row>
                <xdr:rowOff>0</xdr:rowOff>
              </to>
            </anchor>
          </controlPr>
        </control>
      </mc:Choice>
      <mc:Fallback>
        <control shapeId="5147" r:id="rId101" name="EWG2D"/>
      </mc:Fallback>
    </mc:AlternateContent>
    <mc:AlternateContent xmlns:mc="http://schemas.openxmlformats.org/markup-compatibility/2006">
      <mc:Choice Requires="x14">
        <control shapeId="5146" r:id="rId103" name="EWG1D">
          <controlPr defaultSize="0" autoLine="0" autoPict="0" r:id="rId104">
            <anchor moveWithCells="1">
              <from>
                <xdr:col>1</xdr:col>
                <xdr:colOff>0</xdr:colOff>
                <xdr:row>28</xdr:row>
                <xdr:rowOff>0</xdr:rowOff>
              </from>
              <to>
                <xdr:col>2</xdr:col>
                <xdr:colOff>0</xdr:colOff>
                <xdr:row>29</xdr:row>
                <xdr:rowOff>0</xdr:rowOff>
              </to>
            </anchor>
          </controlPr>
        </control>
      </mc:Choice>
      <mc:Fallback>
        <control shapeId="5146" r:id="rId103" name="EWG1D"/>
      </mc:Fallback>
    </mc:AlternateContent>
    <mc:AlternateContent xmlns:mc="http://schemas.openxmlformats.org/markup-compatibility/2006">
      <mc:Choice Requires="x14">
        <control shapeId="5145" r:id="rId105" name="ENG1K_150">
          <controlPr defaultSize="0" autoLine="0" autoPict="0" r:id="rId28">
            <anchor moveWithCells="1">
              <from>
                <xdr:col>1</xdr:col>
                <xdr:colOff>0</xdr:colOff>
                <xdr:row>26</xdr:row>
                <xdr:rowOff>0</xdr:rowOff>
              </from>
              <to>
                <xdr:col>2</xdr:col>
                <xdr:colOff>0</xdr:colOff>
                <xdr:row>27</xdr:row>
                <xdr:rowOff>0</xdr:rowOff>
              </to>
            </anchor>
          </controlPr>
        </control>
      </mc:Choice>
      <mc:Fallback>
        <control shapeId="5145" r:id="rId105" name="ENG1K_150"/>
      </mc:Fallback>
    </mc:AlternateContent>
    <mc:AlternateContent xmlns:mc="http://schemas.openxmlformats.org/markup-compatibility/2006">
      <mc:Choice Requires="x14">
        <control shapeId="5144" r:id="rId106" name="ENG3B">
          <controlPr defaultSize="0" autoLine="0" autoPict="0" r:id="rId107">
            <anchor moveWithCells="1">
              <from>
                <xdr:col>1</xdr:col>
                <xdr:colOff>0</xdr:colOff>
                <xdr:row>25</xdr:row>
                <xdr:rowOff>0</xdr:rowOff>
              </from>
              <to>
                <xdr:col>2</xdr:col>
                <xdr:colOff>0</xdr:colOff>
                <xdr:row>26</xdr:row>
                <xdr:rowOff>0</xdr:rowOff>
              </to>
            </anchor>
          </controlPr>
        </control>
      </mc:Choice>
      <mc:Fallback>
        <control shapeId="5144" r:id="rId106" name="ENG3B"/>
      </mc:Fallback>
    </mc:AlternateContent>
    <mc:AlternateContent xmlns:mc="http://schemas.openxmlformats.org/markup-compatibility/2006">
      <mc:Choice Requires="x14">
        <control shapeId="5143" r:id="rId108" name="ENG2B">
          <controlPr defaultSize="0" autoLine="0" autoPict="0" r:id="rId109">
            <anchor moveWithCells="1">
              <from>
                <xdr:col>1</xdr:col>
                <xdr:colOff>0</xdr:colOff>
                <xdr:row>24</xdr:row>
                <xdr:rowOff>0</xdr:rowOff>
              </from>
              <to>
                <xdr:col>2</xdr:col>
                <xdr:colOff>0</xdr:colOff>
                <xdr:row>25</xdr:row>
                <xdr:rowOff>0</xdr:rowOff>
              </to>
            </anchor>
          </controlPr>
        </control>
      </mc:Choice>
      <mc:Fallback>
        <control shapeId="5143" r:id="rId108" name="ENG2B"/>
      </mc:Fallback>
    </mc:AlternateContent>
    <mc:AlternateContent xmlns:mc="http://schemas.openxmlformats.org/markup-compatibility/2006">
      <mc:Choice Requires="x14">
        <control shapeId="5142" r:id="rId110" name="ENG2D">
          <controlPr defaultSize="0" autoLine="0" autoPict="0" r:id="rId111">
            <anchor moveWithCells="1">
              <from>
                <xdr:col>1</xdr:col>
                <xdr:colOff>0</xdr:colOff>
                <xdr:row>23</xdr:row>
                <xdr:rowOff>0</xdr:rowOff>
              </from>
              <to>
                <xdr:col>2</xdr:col>
                <xdr:colOff>0</xdr:colOff>
                <xdr:row>24</xdr:row>
                <xdr:rowOff>0</xdr:rowOff>
              </to>
            </anchor>
          </controlPr>
        </control>
      </mc:Choice>
      <mc:Fallback>
        <control shapeId="5142" r:id="rId110" name="ENG2D"/>
      </mc:Fallback>
    </mc:AlternateContent>
    <mc:AlternateContent xmlns:mc="http://schemas.openxmlformats.org/markup-compatibility/2006">
      <mc:Choice Requires="x14">
        <control shapeId="5141" r:id="rId112" name="ENG1D">
          <controlPr defaultSize="0" autoLine="0" autoPict="0" r:id="rId113">
            <anchor moveWithCells="1">
              <from>
                <xdr:col>1</xdr:col>
                <xdr:colOff>0</xdr:colOff>
                <xdr:row>22</xdr:row>
                <xdr:rowOff>0</xdr:rowOff>
              </from>
              <to>
                <xdr:col>2</xdr:col>
                <xdr:colOff>0</xdr:colOff>
                <xdr:row>23</xdr:row>
                <xdr:rowOff>0</xdr:rowOff>
              </to>
            </anchor>
          </controlPr>
        </control>
      </mc:Choice>
      <mc:Fallback>
        <control shapeId="5141" r:id="rId112" name="ENG1D"/>
      </mc:Fallback>
    </mc:AlternateContent>
    <mc:AlternateContent xmlns:mc="http://schemas.openxmlformats.org/markup-compatibility/2006">
      <mc:Choice Requires="x14">
        <control shapeId="5140" r:id="rId114" name="ERN1D">
          <controlPr defaultSize="0" autoLine="0" autoPict="0" r:id="rId115">
            <anchor moveWithCells="1">
              <from>
                <xdr:col>1</xdr:col>
                <xdr:colOff>0</xdr:colOff>
                <xdr:row>20</xdr:row>
                <xdr:rowOff>1924050</xdr:rowOff>
              </from>
              <to>
                <xdr:col>2</xdr:col>
                <xdr:colOff>0</xdr:colOff>
                <xdr:row>22</xdr:row>
                <xdr:rowOff>0</xdr:rowOff>
              </to>
            </anchor>
          </controlPr>
        </control>
      </mc:Choice>
      <mc:Fallback>
        <control shapeId="5140" r:id="rId114" name="ERN1D"/>
      </mc:Fallback>
    </mc:AlternateContent>
    <mc:AlternateContent xmlns:mc="http://schemas.openxmlformats.org/markup-compatibility/2006">
      <mc:Choice Requires="x14">
        <control shapeId="5139" r:id="rId116" name="ERN">
          <controlPr defaultSize="0" autoLine="0" r:id="rId117">
            <anchor moveWithCells="1">
              <from>
                <xdr:col>1</xdr:col>
                <xdr:colOff>0</xdr:colOff>
                <xdr:row>20</xdr:row>
                <xdr:rowOff>0</xdr:rowOff>
              </from>
              <to>
                <xdr:col>2</xdr:col>
                <xdr:colOff>0</xdr:colOff>
                <xdr:row>20</xdr:row>
                <xdr:rowOff>1952625</xdr:rowOff>
              </to>
            </anchor>
          </controlPr>
        </control>
      </mc:Choice>
      <mc:Fallback>
        <control shapeId="5139" r:id="rId116" name="ERN"/>
      </mc:Fallback>
    </mc:AlternateContent>
    <mc:AlternateContent xmlns:mc="http://schemas.openxmlformats.org/markup-compatibility/2006">
      <mc:Choice Requires="x14">
        <control shapeId="5138" r:id="rId118" name="ESNX1D">
          <controlPr defaultSize="0" autoLine="0" autoPict="0" r:id="rId119">
            <anchor moveWithCells="1">
              <from>
                <xdr:col>1</xdr:col>
                <xdr:colOff>0</xdr:colOff>
                <xdr:row>19</xdr:row>
                <xdr:rowOff>0</xdr:rowOff>
              </from>
              <to>
                <xdr:col>2</xdr:col>
                <xdr:colOff>0</xdr:colOff>
                <xdr:row>20</xdr:row>
                <xdr:rowOff>0</xdr:rowOff>
              </to>
            </anchor>
          </controlPr>
        </control>
      </mc:Choice>
      <mc:Fallback>
        <control shapeId="5138" r:id="rId118" name="ESNX1D"/>
      </mc:Fallback>
    </mc:AlternateContent>
    <mc:AlternateContent xmlns:mc="http://schemas.openxmlformats.org/markup-compatibility/2006">
      <mc:Choice Requires="x14">
        <control shapeId="5137" r:id="rId120" name="ETN1B">
          <controlPr defaultSize="0" autoLine="0" autoPict="0" r:id="rId121">
            <anchor moveWithCells="1">
              <from>
                <xdr:col>1</xdr:col>
                <xdr:colOff>0</xdr:colOff>
                <xdr:row>18</xdr:row>
                <xdr:rowOff>0</xdr:rowOff>
              </from>
              <to>
                <xdr:col>2</xdr:col>
                <xdr:colOff>0</xdr:colOff>
                <xdr:row>19</xdr:row>
                <xdr:rowOff>0</xdr:rowOff>
              </to>
            </anchor>
          </controlPr>
        </control>
      </mc:Choice>
      <mc:Fallback>
        <control shapeId="5137" r:id="rId120" name="ETN1B"/>
      </mc:Fallback>
    </mc:AlternateContent>
    <mc:AlternateContent xmlns:mc="http://schemas.openxmlformats.org/markup-compatibility/2006">
      <mc:Choice Requires="x14">
        <control shapeId="5136" r:id="rId122" name="EMN2B">
          <controlPr defaultSize="0" autoLine="0" autoPict="0" r:id="rId123">
            <anchor moveWithCells="1">
              <from>
                <xdr:col>1</xdr:col>
                <xdr:colOff>0</xdr:colOff>
                <xdr:row>17</xdr:row>
                <xdr:rowOff>0</xdr:rowOff>
              </from>
              <to>
                <xdr:col>2</xdr:col>
                <xdr:colOff>0</xdr:colOff>
                <xdr:row>18</xdr:row>
                <xdr:rowOff>0</xdr:rowOff>
              </to>
            </anchor>
          </controlPr>
        </control>
      </mc:Choice>
      <mc:Fallback>
        <control shapeId="5136" r:id="rId122" name="EMN2B"/>
      </mc:Fallback>
    </mc:AlternateContent>
    <mc:AlternateContent xmlns:mc="http://schemas.openxmlformats.org/markup-compatibility/2006">
      <mc:Choice Requires="x14">
        <control shapeId="5135" r:id="rId124" name="EMN3B">
          <controlPr defaultSize="0" autoLine="0" autoPict="0" r:id="rId125">
            <anchor moveWithCells="1">
              <from>
                <xdr:col>1</xdr:col>
                <xdr:colOff>0</xdr:colOff>
                <xdr:row>16</xdr:row>
                <xdr:rowOff>0</xdr:rowOff>
              </from>
              <to>
                <xdr:col>2</xdr:col>
                <xdr:colOff>0</xdr:colOff>
                <xdr:row>17</xdr:row>
                <xdr:rowOff>0</xdr:rowOff>
              </to>
            </anchor>
          </controlPr>
        </control>
      </mc:Choice>
      <mc:Fallback>
        <control shapeId="5135" r:id="rId124" name="EMN3B"/>
      </mc:Fallback>
    </mc:AlternateContent>
    <mc:AlternateContent xmlns:mc="http://schemas.openxmlformats.org/markup-compatibility/2006">
      <mc:Choice Requires="x14">
        <control shapeId="5134" r:id="rId126" name="EMN4B">
          <controlPr defaultSize="0" autoLine="0" autoPict="0" r:id="rId127">
            <anchor moveWithCells="1">
              <from>
                <xdr:col>1</xdr:col>
                <xdr:colOff>0</xdr:colOff>
                <xdr:row>15</xdr:row>
                <xdr:rowOff>0</xdr:rowOff>
              </from>
              <to>
                <xdr:col>2</xdr:col>
                <xdr:colOff>0</xdr:colOff>
                <xdr:row>16</xdr:row>
                <xdr:rowOff>0</xdr:rowOff>
              </to>
            </anchor>
          </controlPr>
        </control>
      </mc:Choice>
      <mc:Fallback>
        <control shapeId="5134" r:id="rId126" name="EMN4B"/>
      </mc:Fallback>
    </mc:AlternateContent>
    <mc:AlternateContent xmlns:mc="http://schemas.openxmlformats.org/markup-compatibility/2006">
      <mc:Choice Requires="x14">
        <control shapeId="5133" r:id="rId128" name="EMN1B2D">
          <controlPr defaultSize="0" autoLine="0" autoPict="0" r:id="rId129">
            <anchor moveWithCells="1">
              <from>
                <xdr:col>1</xdr:col>
                <xdr:colOff>0</xdr:colOff>
                <xdr:row>14</xdr:row>
                <xdr:rowOff>0</xdr:rowOff>
              </from>
              <to>
                <xdr:col>2</xdr:col>
                <xdr:colOff>0</xdr:colOff>
                <xdr:row>15</xdr:row>
                <xdr:rowOff>0</xdr:rowOff>
              </to>
            </anchor>
          </controlPr>
        </control>
      </mc:Choice>
      <mc:Fallback>
        <control shapeId="5133" r:id="rId128" name="EMN1B2D"/>
      </mc:Fallback>
    </mc:AlternateContent>
    <mc:AlternateContent xmlns:mc="http://schemas.openxmlformats.org/markup-compatibility/2006">
      <mc:Choice Requires="x14">
        <control shapeId="5132" r:id="rId130" name="EMN1B1D">
          <controlPr defaultSize="0" autoLine="0" autoPict="0" r:id="rId131">
            <anchor moveWithCells="1">
              <from>
                <xdr:col>1</xdr:col>
                <xdr:colOff>0</xdr:colOff>
                <xdr:row>13</xdr:row>
                <xdr:rowOff>0</xdr:rowOff>
              </from>
              <to>
                <xdr:col>2</xdr:col>
                <xdr:colOff>0</xdr:colOff>
                <xdr:row>14</xdr:row>
                <xdr:rowOff>0</xdr:rowOff>
              </to>
            </anchor>
          </controlPr>
        </control>
      </mc:Choice>
      <mc:Fallback>
        <control shapeId="5132" r:id="rId130" name="EMN1B1D"/>
      </mc:Fallback>
    </mc:AlternateContent>
    <mc:AlternateContent xmlns:mc="http://schemas.openxmlformats.org/markup-compatibility/2006">
      <mc:Choice Requires="x14">
        <control shapeId="5129" r:id="rId132" name="EWU1D">
          <controlPr defaultSize="0" autoLine="0" autoPict="0" r:id="rId133">
            <anchor moveWithCells="1">
              <from>
                <xdr:col>1</xdr:col>
                <xdr:colOff>0</xdr:colOff>
                <xdr:row>9</xdr:row>
                <xdr:rowOff>0</xdr:rowOff>
              </from>
              <to>
                <xdr:col>2</xdr:col>
                <xdr:colOff>0</xdr:colOff>
                <xdr:row>10</xdr:row>
                <xdr:rowOff>0</xdr:rowOff>
              </to>
            </anchor>
          </controlPr>
        </control>
      </mc:Choice>
      <mc:Fallback>
        <control shapeId="5129" r:id="rId132" name="EWU1D"/>
      </mc:Fallback>
    </mc:AlternateContent>
    <mc:AlternateContent xmlns:mc="http://schemas.openxmlformats.org/markup-compatibility/2006">
      <mc:Choice Requires="x14">
        <control shapeId="5128" r:id="rId134" name="EUN1D">
          <controlPr defaultSize="0" autoLine="0" autoPict="0" r:id="rId135">
            <anchor moveWithCells="1">
              <from>
                <xdr:col>1</xdr:col>
                <xdr:colOff>0</xdr:colOff>
                <xdr:row>7</xdr:row>
                <xdr:rowOff>0</xdr:rowOff>
              </from>
              <to>
                <xdr:col>2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5128" r:id="rId134" name="EUN1D"/>
      </mc:Fallback>
    </mc:AlternateContent>
    <mc:AlternateContent xmlns:mc="http://schemas.openxmlformats.org/markup-compatibility/2006">
      <mc:Choice Requires="x14">
        <control shapeId="5127" r:id="rId136" name="EWN2D">
          <controlPr defaultSize="0" autoLine="0" autoPict="0" r:id="rId137">
            <anchor moveWithCells="1">
              <from>
                <xdr:col>1</xdr:col>
                <xdr:colOff>0</xdr:colOff>
                <xdr:row>6</xdr:row>
                <xdr:rowOff>0</xdr:rowOff>
              </from>
              <to>
                <xdr:col>2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5127" r:id="rId136" name="EWN2D"/>
      </mc:Fallback>
    </mc:AlternateContent>
    <mc:AlternateContent xmlns:mc="http://schemas.openxmlformats.org/markup-compatibility/2006">
      <mc:Choice Requires="x14">
        <control shapeId="5126" r:id="rId138" name="EWN1D">
          <controlPr defaultSize="0" autoLine="0" autoPict="0" r:id="rId139">
            <anchor moveWithCells="1">
              <from>
                <xdr:col>1</xdr:col>
                <xdr:colOff>0</xdr:colOff>
                <xdr:row>5</xdr:row>
                <xdr:rowOff>0</xdr:rowOff>
              </from>
              <to>
                <xdr:col>2</xdr:col>
                <xdr:colOff>0</xdr:colOff>
                <xdr:row>6</xdr:row>
                <xdr:rowOff>0</xdr:rowOff>
              </to>
            </anchor>
          </controlPr>
        </control>
      </mc:Choice>
      <mc:Fallback>
        <control shapeId="5126" r:id="rId138" name="EWN1D"/>
      </mc:Fallback>
    </mc:AlternateContent>
    <mc:AlternateContent xmlns:mc="http://schemas.openxmlformats.org/markup-compatibility/2006">
      <mc:Choice Requires="x14">
        <control shapeId="5125" r:id="rId140" name="EMN1K_150">
          <controlPr defaultSize="0" autoLine="0" autoPict="0" r:id="rId30">
            <anchor moveWithCells="1">
              <from>
                <xdr:col>1</xdr:col>
                <xdr:colOff>0</xdr:colOff>
                <xdr:row>3</xdr:row>
                <xdr:rowOff>0</xdr:rowOff>
              </from>
              <to>
                <xdr:col>2</xdr:col>
                <xdr:colOff>0</xdr:colOff>
                <xdr:row>4</xdr:row>
                <xdr:rowOff>0</xdr:rowOff>
              </to>
            </anchor>
          </controlPr>
        </control>
      </mc:Choice>
      <mc:Fallback>
        <control shapeId="5125" r:id="rId140" name="EMN1K_150"/>
      </mc:Fallback>
    </mc:AlternateContent>
    <mc:AlternateContent xmlns:mc="http://schemas.openxmlformats.org/markup-compatibility/2006">
      <mc:Choice Requires="x14">
        <control shapeId="5124" r:id="rId141" name="EMN2D">
          <controlPr defaultSize="0" autoLine="0" autoPict="0" r:id="rId142">
            <anchor moveWithCells="1">
              <from>
                <xdr:col>1</xdr:col>
                <xdr:colOff>0</xdr:colOff>
                <xdr:row>2</xdr:row>
                <xdr:rowOff>0</xdr:rowOff>
              </from>
              <to>
                <xdr:col>2</xdr:col>
                <xdr:colOff>0</xdr:colOff>
                <xdr:row>3</xdr:row>
                <xdr:rowOff>0</xdr:rowOff>
              </to>
            </anchor>
          </controlPr>
        </control>
      </mc:Choice>
      <mc:Fallback>
        <control shapeId="5124" r:id="rId141" name="EMN2D"/>
      </mc:Fallback>
    </mc:AlternateContent>
    <mc:AlternateContent xmlns:mc="http://schemas.openxmlformats.org/markup-compatibility/2006">
      <mc:Choice Requires="x14">
        <control shapeId="5123" r:id="rId143" name="EMN1D">
          <controlPr defaultSize="0" autoLine="0" autoPict="0" r:id="rId144">
            <anchor moveWithCells="1">
              <from>
                <xdr:col>1</xdr:col>
                <xdr:colOff>0</xdr:colOff>
                <xdr:row>1</xdr:row>
                <xdr:rowOff>0</xdr:rowOff>
              </from>
              <to>
                <xdr:col>2</xdr:col>
                <xdr:colOff>0</xdr:colOff>
                <xdr:row>2</xdr:row>
                <xdr:rowOff>0</xdr:rowOff>
              </to>
            </anchor>
          </controlPr>
        </control>
      </mc:Choice>
      <mc:Fallback>
        <control shapeId="5123" r:id="rId143" name="EMN1D"/>
      </mc:Fallback>
    </mc:AlternateContent>
    <mc:AlternateContent xmlns:mc="http://schemas.openxmlformats.org/markup-compatibility/2006">
      <mc:Choice Requires="x14">
        <control shapeId="5122" r:id="rId145" name="ENO">
          <controlPr defaultSize="0" autoLine="0" autoPict="0" r:id="rId146">
            <anchor moveWithCells="1">
              <from>
                <xdr:col>1</xdr:col>
                <xdr:colOff>0</xdr:colOff>
                <xdr:row>0</xdr:row>
                <xdr:rowOff>0</xdr:rowOff>
              </from>
              <to>
                <xdr:col>2</xdr:col>
                <xdr:colOff>0</xdr:colOff>
                <xdr:row>1</xdr:row>
                <xdr:rowOff>0</xdr:rowOff>
              </to>
            </anchor>
          </controlPr>
        </control>
      </mc:Choice>
      <mc:Fallback>
        <control shapeId="5122" r:id="rId145" name="ENO"/>
      </mc:Fallback>
    </mc:AlternateContent>
    <mc:AlternateContent xmlns:mc="http://schemas.openxmlformats.org/markup-compatibility/2006">
      <mc:Choice Requires="x14">
        <control shapeId="5190" r:id="rId147" name="EUN1D_150">
          <controlPr defaultSize="0" autoLine="0" r:id="rId135">
            <anchor moveWithCells="1">
              <from>
                <xdr:col>1</xdr:col>
                <xdr:colOff>0</xdr:colOff>
                <xdr:row>8</xdr:row>
                <xdr:rowOff>0</xdr:rowOff>
              </from>
              <to>
                <xdr:col>2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5190" r:id="rId147" name="EUN1D_150"/>
      </mc:Fallback>
    </mc:AlternateContent>
    <mc:AlternateContent xmlns:mc="http://schemas.openxmlformats.org/markup-compatibility/2006">
      <mc:Choice Requires="x14">
        <control shapeId="5191" r:id="rId148" name="EWU1D_150">
          <controlPr defaultSize="0" autoLine="0" r:id="rId133">
            <anchor moveWithCells="1">
              <from>
                <xdr:col>1</xdr:col>
                <xdr:colOff>0</xdr:colOff>
                <xdr:row>10</xdr:row>
                <xdr:rowOff>0</xdr:rowOff>
              </from>
              <to>
                <xdr:col>2</xdr:col>
                <xdr:colOff>0</xdr:colOff>
                <xdr:row>11</xdr:row>
                <xdr:rowOff>0</xdr:rowOff>
              </to>
            </anchor>
          </controlPr>
        </control>
      </mc:Choice>
      <mc:Fallback>
        <control shapeId="5191" r:id="rId148" name="EWU1D_150"/>
      </mc:Fallback>
    </mc:AlternateContent>
    <mc:AlternateContent xmlns:mc="http://schemas.openxmlformats.org/markup-compatibility/2006">
      <mc:Choice Requires="x14">
        <control shapeId="5192" r:id="rId149" name="EUG1D_150">
          <controlPr defaultSize="0" autoLine="0" r:id="rId100">
            <anchor moveWithCells="1">
              <from>
                <xdr:col>1</xdr:col>
                <xdr:colOff>0</xdr:colOff>
                <xdr:row>31</xdr:row>
                <xdr:rowOff>0</xdr:rowOff>
              </from>
              <to>
                <xdr:col>2</xdr:col>
                <xdr:colOff>0</xdr:colOff>
                <xdr:row>32</xdr:row>
                <xdr:rowOff>0</xdr:rowOff>
              </to>
            </anchor>
          </controlPr>
        </control>
      </mc:Choice>
      <mc:Fallback>
        <control shapeId="5192" r:id="rId149" name="EUG1D_150"/>
      </mc:Fallback>
    </mc:AlternateContent>
    <mc:AlternateContent xmlns:mc="http://schemas.openxmlformats.org/markup-compatibility/2006">
      <mc:Choice Requires="x14">
        <control shapeId="5195" r:id="rId150" name="EMV1V_600">
          <controlPr defaultSize="0" autoLine="0" r:id="rId90">
            <anchor moveWithCells="1">
              <from>
                <xdr:col>1</xdr:col>
                <xdr:colOff>0</xdr:colOff>
                <xdr:row>37</xdr:row>
                <xdr:rowOff>0</xdr:rowOff>
              </from>
              <to>
                <xdr:col>2</xdr:col>
                <xdr:colOff>0</xdr:colOff>
                <xdr:row>38</xdr:row>
                <xdr:rowOff>0</xdr:rowOff>
              </to>
            </anchor>
          </controlPr>
        </control>
      </mc:Choice>
      <mc:Fallback>
        <control shapeId="5195" r:id="rId150" name="EMV1V_600"/>
      </mc:Fallback>
    </mc:AlternateContent>
    <mc:AlternateContent xmlns:mc="http://schemas.openxmlformats.org/markup-compatibility/2006">
      <mc:Choice Requires="x14">
        <control shapeId="5196" r:id="rId151" name="EWV1D_600">
          <controlPr defaultSize="0" autoLine="0" r:id="rId76">
            <anchor moveWithCells="1">
              <from>
                <xdr:col>1</xdr:col>
                <xdr:colOff>0</xdr:colOff>
                <xdr:row>48</xdr:row>
                <xdr:rowOff>0</xdr:rowOff>
              </from>
              <to>
                <xdr:col>2</xdr:col>
                <xdr:colOff>0</xdr:colOff>
                <xdr:row>49</xdr:row>
                <xdr:rowOff>0</xdr:rowOff>
              </to>
            </anchor>
          </controlPr>
        </control>
      </mc:Choice>
      <mc:Fallback>
        <control shapeId="5196" r:id="rId151" name="EWV1D_600"/>
      </mc:Fallback>
    </mc:AlternateContent>
    <mc:AlternateContent xmlns:mc="http://schemas.openxmlformats.org/markup-compatibility/2006">
      <mc:Choice Requires="x14">
        <control shapeId="5197" r:id="rId152" name="EWV2D_800">
          <controlPr defaultSize="0" autoLine="0" r:id="rId74">
            <anchor moveWithCells="1">
              <from>
                <xdr:col>1</xdr:col>
                <xdr:colOff>0</xdr:colOff>
                <xdr:row>50</xdr:row>
                <xdr:rowOff>0</xdr:rowOff>
              </from>
              <to>
                <xdr:col>2</xdr:col>
                <xdr:colOff>0</xdr:colOff>
                <xdr:row>51</xdr:row>
                <xdr:rowOff>0</xdr:rowOff>
              </to>
            </anchor>
          </controlPr>
        </control>
      </mc:Choice>
      <mc:Fallback>
        <control shapeId="5197" r:id="rId152" name="EWV2D_800"/>
      </mc:Fallback>
    </mc:AlternateContent>
    <mc:AlternateContent xmlns:mc="http://schemas.openxmlformats.org/markup-compatibility/2006">
      <mc:Choice Requires="x14">
        <control shapeId="5198" r:id="rId153" name="EWV2D_900">
          <controlPr defaultSize="0" autoLine="0" r:id="rId74">
            <anchor moveWithCells="1">
              <from>
                <xdr:col>1</xdr:col>
                <xdr:colOff>0</xdr:colOff>
                <xdr:row>51</xdr:row>
                <xdr:rowOff>0</xdr:rowOff>
              </from>
              <to>
                <xdr:col>2</xdr:col>
                <xdr:colOff>0</xdr:colOff>
                <xdr:row>52</xdr:row>
                <xdr:rowOff>0</xdr:rowOff>
              </to>
            </anchor>
          </controlPr>
        </control>
      </mc:Choice>
      <mc:Fallback>
        <control shapeId="5198" r:id="rId153" name="EWV2D_900"/>
      </mc:Fallback>
    </mc:AlternateContent>
    <mc:AlternateContent xmlns:mc="http://schemas.openxmlformats.org/markup-compatibility/2006">
      <mc:Choice Requires="x14">
        <control shapeId="5200" r:id="rId154" name="EWV1V_600">
          <controlPr defaultSize="0" autoLine="0" r:id="rId14">
            <anchor moveWithCells="1">
              <from>
                <xdr:col>1</xdr:col>
                <xdr:colOff>0</xdr:colOff>
                <xdr:row>55</xdr:row>
                <xdr:rowOff>0</xdr:rowOff>
              </from>
              <to>
                <xdr:col>2</xdr:col>
                <xdr:colOff>0</xdr:colOff>
                <xdr:row>56</xdr:row>
                <xdr:rowOff>0</xdr:rowOff>
              </to>
            </anchor>
          </controlPr>
        </control>
      </mc:Choice>
      <mc:Fallback>
        <control shapeId="5200" r:id="rId154" name="EWV1V_600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FE1870-0B95-4318-ABF9-9DDA6B65636B}">
  <sheetPr codeName="Лист16">
    <tabColor rgb="FFFFFF00"/>
  </sheetPr>
  <dimension ref="A2:K93"/>
  <sheetViews>
    <sheetView topLeftCell="A10" zoomScale="130" zoomScaleNormal="130" workbookViewId="0">
      <selection activeCell="H19" sqref="H19"/>
    </sheetView>
  </sheetViews>
  <sheetFormatPr defaultRowHeight="12.75" x14ac:dyDescent="0.2"/>
  <cols>
    <col min="1" max="1" width="9.140625" style="33"/>
    <col min="2" max="2" width="48.7109375" style="31" bestFit="1" customWidth="1"/>
    <col min="3" max="3" width="12.7109375" style="31" bestFit="1" customWidth="1"/>
    <col min="4" max="4" width="12.42578125" style="31" customWidth="1"/>
    <col min="5" max="5" width="12.7109375" style="31" customWidth="1"/>
    <col min="6" max="6" width="10.5703125" style="33" customWidth="1"/>
    <col min="7" max="7" width="21.5703125" style="33" customWidth="1"/>
    <col min="8" max="8" width="81" style="31" bestFit="1" customWidth="1"/>
    <col min="9" max="16384" width="9.140625" style="31"/>
  </cols>
  <sheetData>
    <row r="2" spans="1:11" x14ac:dyDescent="0.2">
      <c r="E2" s="31">
        <v>1.08</v>
      </c>
      <c r="F2" s="141" t="s">
        <v>498</v>
      </c>
      <c r="G2" s="141"/>
    </row>
    <row r="3" spans="1:11" x14ac:dyDescent="0.2">
      <c r="E3" s="31">
        <v>1</v>
      </c>
      <c r="F3" s="142"/>
    </row>
    <row r="4" spans="1:11" x14ac:dyDescent="0.2">
      <c r="F4" s="142"/>
      <c r="I4" s="33" t="s">
        <v>368</v>
      </c>
      <c r="J4" s="31" t="s">
        <v>369</v>
      </c>
    </row>
    <row r="5" spans="1:11" x14ac:dyDescent="0.2">
      <c r="B5" s="310" t="s">
        <v>499</v>
      </c>
      <c r="C5" s="310"/>
      <c r="D5" s="310"/>
      <c r="E5" s="310"/>
      <c r="F5" s="310"/>
      <c r="G5" s="310"/>
      <c r="H5" s="310"/>
      <c r="I5" s="33" t="s">
        <v>373</v>
      </c>
      <c r="J5" s="31" t="s">
        <v>374</v>
      </c>
      <c r="K5" s="143" t="s">
        <v>375</v>
      </c>
    </row>
    <row r="6" spans="1:11" x14ac:dyDescent="0.2">
      <c r="B6" s="144" t="s">
        <v>500</v>
      </c>
      <c r="C6" s="145" t="s">
        <v>501</v>
      </c>
      <c r="D6" s="145" t="s">
        <v>502</v>
      </c>
      <c r="E6" s="146" t="s">
        <v>503</v>
      </c>
      <c r="F6" s="146" t="s">
        <v>504</v>
      </c>
      <c r="G6" s="147" t="s">
        <v>505</v>
      </c>
      <c r="H6" s="148" t="s">
        <v>506</v>
      </c>
      <c r="I6" s="33" t="s">
        <v>376</v>
      </c>
      <c r="J6" s="31" t="s">
        <v>377</v>
      </c>
      <c r="K6" s="149" t="s">
        <v>378</v>
      </c>
    </row>
    <row r="7" spans="1:11" x14ac:dyDescent="0.2">
      <c r="A7" s="33">
        <v>1</v>
      </c>
      <c r="B7" s="150" t="s">
        <v>507</v>
      </c>
      <c r="C7" s="151" t="s">
        <v>3</v>
      </c>
      <c r="D7" s="152">
        <v>1910</v>
      </c>
      <c r="E7" s="153">
        <f>'[2]1 нижние'!S9*E3</f>
        <v>2060</v>
      </c>
      <c r="F7" s="154">
        <f t="shared" ref="F7:F37" si="0">E7/D7-1</f>
        <v>7.8534031413612482E-2</v>
      </c>
      <c r="G7" s="155" t="s">
        <v>508</v>
      </c>
      <c r="H7" s="156" t="s">
        <v>509</v>
      </c>
      <c r="I7" s="33"/>
      <c r="K7" s="149" t="s">
        <v>379</v>
      </c>
    </row>
    <row r="8" spans="1:11" x14ac:dyDescent="0.2">
      <c r="A8" s="33">
        <v>2</v>
      </c>
      <c r="B8" s="150" t="s">
        <v>510</v>
      </c>
      <c r="C8" s="151" t="s">
        <v>0</v>
      </c>
      <c r="D8" s="152">
        <v>1910</v>
      </c>
      <c r="E8" s="153">
        <f>$E$7</f>
        <v>2060</v>
      </c>
      <c r="F8" s="154">
        <f t="shared" si="0"/>
        <v>7.8534031413612482E-2</v>
      </c>
      <c r="G8" s="155" t="s">
        <v>508</v>
      </c>
      <c r="H8" s="156" t="s">
        <v>509</v>
      </c>
      <c r="I8" s="33" t="s">
        <v>380</v>
      </c>
      <c r="J8" s="31" t="s">
        <v>381</v>
      </c>
      <c r="K8" s="157" t="s">
        <v>382</v>
      </c>
    </row>
    <row r="9" spans="1:11" x14ac:dyDescent="0.2">
      <c r="A9" s="33">
        <v>3</v>
      </c>
      <c r="B9" s="150" t="s">
        <v>511</v>
      </c>
      <c r="C9" s="151" t="s">
        <v>11</v>
      </c>
      <c r="D9" s="152">
        <v>1910</v>
      </c>
      <c r="E9" s="153">
        <f>$E$7</f>
        <v>2060</v>
      </c>
      <c r="F9" s="154">
        <f t="shared" si="0"/>
        <v>7.8534031413612482E-2</v>
      </c>
      <c r="G9" s="155" t="s">
        <v>508</v>
      </c>
      <c r="H9" s="156" t="s">
        <v>509</v>
      </c>
      <c r="I9" s="33"/>
      <c r="K9" s="157" t="s">
        <v>383</v>
      </c>
    </row>
    <row r="10" spans="1:11" x14ac:dyDescent="0.2">
      <c r="A10" s="33">
        <v>4</v>
      </c>
      <c r="B10" s="150" t="s">
        <v>512</v>
      </c>
      <c r="C10" s="151" t="s">
        <v>24</v>
      </c>
      <c r="D10" s="152">
        <v>2062.8000000000002</v>
      </c>
      <c r="E10" s="158">
        <f>$E$7*E2</f>
        <v>2224.8000000000002</v>
      </c>
      <c r="F10" s="154">
        <f t="shared" si="0"/>
        <v>7.8534031413612482E-2</v>
      </c>
      <c r="G10" s="155" t="s">
        <v>508</v>
      </c>
      <c r="H10" s="156" t="s">
        <v>509</v>
      </c>
    </row>
    <row r="11" spans="1:11" x14ac:dyDescent="0.2">
      <c r="A11" s="33">
        <v>5</v>
      </c>
      <c r="B11" s="150" t="s">
        <v>513</v>
      </c>
      <c r="C11" s="151" t="s">
        <v>25</v>
      </c>
      <c r="D11" s="152">
        <v>2062.8000000000002</v>
      </c>
      <c r="E11" s="158">
        <f>$E$7*E2</f>
        <v>2224.8000000000002</v>
      </c>
      <c r="F11" s="154">
        <f t="shared" si="0"/>
        <v>7.8534031413612482E-2</v>
      </c>
      <c r="G11" s="155" t="s">
        <v>508</v>
      </c>
      <c r="H11" s="156" t="s">
        <v>509</v>
      </c>
    </row>
    <row r="12" spans="1:11" x14ac:dyDescent="0.2">
      <c r="A12" s="33">
        <v>6</v>
      </c>
      <c r="B12" s="150" t="s">
        <v>514</v>
      </c>
      <c r="C12" s="151" t="s">
        <v>12</v>
      </c>
      <c r="D12" s="152">
        <v>1910</v>
      </c>
      <c r="E12" s="153">
        <f>$E$7</f>
        <v>2060</v>
      </c>
      <c r="F12" s="154">
        <f t="shared" si="0"/>
        <v>7.8534031413612482E-2</v>
      </c>
      <c r="G12" s="155" t="s">
        <v>508</v>
      </c>
      <c r="H12" s="156" t="s">
        <v>509</v>
      </c>
    </row>
    <row r="13" spans="1:11" x14ac:dyDescent="0.2">
      <c r="A13" s="33">
        <v>7</v>
      </c>
      <c r="B13" s="150" t="s">
        <v>515</v>
      </c>
      <c r="C13" s="151" t="s">
        <v>28</v>
      </c>
      <c r="D13" s="152">
        <v>2062.8000000000002</v>
      </c>
      <c r="E13" s="158">
        <f>$E$7*E2</f>
        <v>2224.8000000000002</v>
      </c>
      <c r="F13" s="154">
        <f t="shared" si="0"/>
        <v>7.8534031413612482E-2</v>
      </c>
      <c r="G13" s="155" t="s">
        <v>508</v>
      </c>
      <c r="H13" s="156" t="s">
        <v>509</v>
      </c>
    </row>
    <row r="14" spans="1:11" x14ac:dyDescent="0.2">
      <c r="A14" s="33">
        <v>8</v>
      </c>
      <c r="B14" s="150" t="s">
        <v>516</v>
      </c>
      <c r="C14" s="151" t="s">
        <v>29</v>
      </c>
      <c r="D14" s="152">
        <v>2062.8000000000002</v>
      </c>
      <c r="E14" s="158">
        <f>$E$7*E2</f>
        <v>2224.8000000000002</v>
      </c>
      <c r="F14" s="154">
        <f t="shared" si="0"/>
        <v>7.8534031413612482E-2</v>
      </c>
      <c r="G14" s="155" t="s">
        <v>508</v>
      </c>
      <c r="H14" s="156" t="s">
        <v>509</v>
      </c>
    </row>
    <row r="15" spans="1:11" x14ac:dyDescent="0.2">
      <c r="A15" s="33">
        <v>9</v>
      </c>
      <c r="B15" s="150" t="s">
        <v>517</v>
      </c>
      <c r="C15" s="151" t="s">
        <v>30</v>
      </c>
      <c r="D15" s="152">
        <v>2062.8000000000002</v>
      </c>
      <c r="E15" s="158">
        <f>$E$7*E2</f>
        <v>2224.8000000000002</v>
      </c>
      <c r="F15" s="154">
        <f t="shared" si="0"/>
        <v>7.8534031413612482E-2</v>
      </c>
      <c r="G15" s="155" t="s">
        <v>508</v>
      </c>
      <c r="H15" s="156" t="s">
        <v>509</v>
      </c>
    </row>
    <row r="16" spans="1:11" x14ac:dyDescent="0.2">
      <c r="A16" s="33">
        <v>10</v>
      </c>
      <c r="B16" s="150" t="s">
        <v>518</v>
      </c>
      <c r="C16" s="151" t="s">
        <v>13</v>
      </c>
      <c r="D16" s="152">
        <v>1950</v>
      </c>
      <c r="E16" s="153">
        <f>'[2]1 нижние'!S16*E3</f>
        <v>2100</v>
      </c>
      <c r="F16" s="154">
        <f t="shared" si="0"/>
        <v>7.6923076923076872E-2</v>
      </c>
      <c r="G16" s="155" t="s">
        <v>508</v>
      </c>
      <c r="H16" s="156" t="s">
        <v>519</v>
      </c>
    </row>
    <row r="17" spans="1:8" x14ac:dyDescent="0.2">
      <c r="A17" s="33">
        <v>11</v>
      </c>
      <c r="B17" s="150" t="s">
        <v>520</v>
      </c>
      <c r="C17" s="151" t="s">
        <v>14</v>
      </c>
      <c r="D17" s="152">
        <v>1950</v>
      </c>
      <c r="E17" s="153">
        <f>E16</f>
        <v>2100</v>
      </c>
      <c r="F17" s="154">
        <f t="shared" si="0"/>
        <v>7.6923076923076872E-2</v>
      </c>
      <c r="G17" s="155" t="s">
        <v>508</v>
      </c>
      <c r="H17" s="156" t="s">
        <v>521</v>
      </c>
    </row>
    <row r="18" spans="1:8" x14ac:dyDescent="0.2">
      <c r="A18" s="33">
        <v>12</v>
      </c>
      <c r="B18" s="150" t="s">
        <v>522</v>
      </c>
      <c r="C18" s="151" t="s">
        <v>191</v>
      </c>
      <c r="D18" s="152">
        <v>2840</v>
      </c>
      <c r="E18" s="153">
        <f>'[2]1 нижние'!S22*E3</f>
        <v>3070</v>
      </c>
      <c r="F18" s="154">
        <f t="shared" si="0"/>
        <v>8.098591549295775E-2</v>
      </c>
      <c r="G18" s="155" t="s">
        <v>508</v>
      </c>
      <c r="H18" s="156" t="s">
        <v>523</v>
      </c>
    </row>
    <row r="19" spans="1:8" x14ac:dyDescent="0.2">
      <c r="A19" s="33">
        <v>13</v>
      </c>
      <c r="B19" s="150" t="s">
        <v>524</v>
      </c>
      <c r="C19" s="151" t="s">
        <v>190</v>
      </c>
      <c r="D19" s="152">
        <v>2840</v>
      </c>
      <c r="E19" s="153">
        <f>$E$18</f>
        <v>3070</v>
      </c>
      <c r="F19" s="154">
        <f t="shared" si="0"/>
        <v>8.098591549295775E-2</v>
      </c>
      <c r="G19" s="155" t="s">
        <v>508</v>
      </c>
      <c r="H19" s="159" t="s">
        <v>525</v>
      </c>
    </row>
    <row r="20" spans="1:8" x14ac:dyDescent="0.2">
      <c r="A20" s="33">
        <v>14</v>
      </c>
      <c r="B20" s="150" t="s">
        <v>526</v>
      </c>
      <c r="C20" s="151" t="s">
        <v>196</v>
      </c>
      <c r="D20" s="152">
        <v>3067.2000000000003</v>
      </c>
      <c r="E20" s="158">
        <f>$E$18*E2</f>
        <v>3315.6000000000004</v>
      </c>
      <c r="F20" s="154">
        <f t="shared" si="0"/>
        <v>8.098591549295775E-2</v>
      </c>
      <c r="G20" s="155" t="s">
        <v>508</v>
      </c>
      <c r="H20" s="156" t="s">
        <v>523</v>
      </c>
    </row>
    <row r="21" spans="1:8" x14ac:dyDescent="0.2">
      <c r="A21" s="33">
        <v>15</v>
      </c>
      <c r="B21" s="150" t="s">
        <v>527</v>
      </c>
      <c r="C21" s="151" t="s">
        <v>195</v>
      </c>
      <c r="D21" s="152">
        <v>3067.2000000000003</v>
      </c>
      <c r="E21" s="158">
        <f>$E$18*E2</f>
        <v>3315.6000000000004</v>
      </c>
      <c r="F21" s="154">
        <f t="shared" si="0"/>
        <v>8.098591549295775E-2</v>
      </c>
      <c r="G21" s="155" t="s">
        <v>508</v>
      </c>
      <c r="H21" s="159" t="s">
        <v>525</v>
      </c>
    </row>
    <row r="22" spans="1:8" x14ac:dyDescent="0.2">
      <c r="A22" s="33">
        <v>16</v>
      </c>
      <c r="B22" s="150" t="s">
        <v>528</v>
      </c>
      <c r="C22" s="151" t="s">
        <v>193</v>
      </c>
      <c r="D22" s="152">
        <v>2640</v>
      </c>
      <c r="E22" s="153">
        <f>'[2]1 нижние'!S69*E3</f>
        <v>2850</v>
      </c>
      <c r="F22" s="154">
        <f t="shared" si="0"/>
        <v>7.9545454545454586E-2</v>
      </c>
      <c r="G22" s="155" t="s">
        <v>508</v>
      </c>
      <c r="H22" s="159" t="s">
        <v>523</v>
      </c>
    </row>
    <row r="23" spans="1:8" x14ac:dyDescent="0.2">
      <c r="A23" s="33">
        <v>17</v>
      </c>
      <c r="B23" s="150" t="s">
        <v>529</v>
      </c>
      <c r="C23" s="151" t="s">
        <v>192</v>
      </c>
      <c r="D23" s="152">
        <v>2640</v>
      </c>
      <c r="E23" s="153">
        <f>E22</f>
        <v>2850</v>
      </c>
      <c r="F23" s="154">
        <f t="shared" si="0"/>
        <v>7.9545454545454586E-2</v>
      </c>
      <c r="G23" s="155" t="s">
        <v>508</v>
      </c>
      <c r="H23" s="156" t="s">
        <v>523</v>
      </c>
    </row>
    <row r="24" spans="1:8" x14ac:dyDescent="0.2">
      <c r="A24" s="33">
        <v>18</v>
      </c>
      <c r="B24" s="150" t="s">
        <v>530</v>
      </c>
      <c r="C24" s="151" t="s">
        <v>15</v>
      </c>
      <c r="D24" s="152">
        <v>2290</v>
      </c>
      <c r="E24" s="153">
        <f>'[2]1 нижние'!S28*E3</f>
        <v>2480</v>
      </c>
      <c r="F24" s="154">
        <f t="shared" si="0"/>
        <v>8.2969432314410563E-2</v>
      </c>
      <c r="G24" s="155" t="s">
        <v>508</v>
      </c>
      <c r="H24" s="156" t="s">
        <v>531</v>
      </c>
    </row>
    <row r="25" spans="1:8" x14ac:dyDescent="0.2">
      <c r="A25" s="33">
        <v>19</v>
      </c>
      <c r="B25" s="150" t="s">
        <v>532</v>
      </c>
      <c r="C25" s="151" t="s">
        <v>16</v>
      </c>
      <c r="D25" s="152">
        <v>2530</v>
      </c>
      <c r="E25" s="160">
        <f>'[2]1 нижние'!S31*E3</f>
        <v>2740</v>
      </c>
      <c r="F25" s="154">
        <f t="shared" si="0"/>
        <v>8.3003952569169925E-2</v>
      </c>
      <c r="G25" s="155" t="s">
        <v>508</v>
      </c>
      <c r="H25" s="156" t="s">
        <v>531</v>
      </c>
    </row>
    <row r="26" spans="1:8" x14ac:dyDescent="0.2">
      <c r="A26" s="33">
        <v>20</v>
      </c>
      <c r="B26" s="150" t="s">
        <v>533</v>
      </c>
      <c r="C26" s="151" t="s">
        <v>17</v>
      </c>
      <c r="D26" s="152">
        <v>2130</v>
      </c>
      <c r="E26" s="153">
        <f>'[2]1 нижние'!S34*E3</f>
        <v>2300</v>
      </c>
      <c r="F26" s="154">
        <f t="shared" si="0"/>
        <v>7.9812206572769995E-2</v>
      </c>
      <c r="G26" s="155" t="s">
        <v>508</v>
      </c>
      <c r="H26" s="156" t="s">
        <v>534</v>
      </c>
    </row>
    <row r="27" spans="1:8" x14ac:dyDescent="0.2">
      <c r="A27" s="33">
        <v>21</v>
      </c>
      <c r="B27" s="150" t="s">
        <v>535</v>
      </c>
      <c r="C27" s="151" t="s">
        <v>141</v>
      </c>
      <c r="D27" s="152">
        <v>2130</v>
      </c>
      <c r="E27" s="153">
        <f>E26</f>
        <v>2300</v>
      </c>
      <c r="F27" s="154">
        <f t="shared" si="0"/>
        <v>7.9812206572769995E-2</v>
      </c>
      <c r="G27" s="155" t="s">
        <v>508</v>
      </c>
      <c r="H27" s="156" t="s">
        <v>534</v>
      </c>
    </row>
    <row r="28" spans="1:8" x14ac:dyDescent="0.2">
      <c r="A28" s="33">
        <v>22</v>
      </c>
      <c r="B28" s="150" t="s">
        <v>536</v>
      </c>
      <c r="C28" s="151" t="s">
        <v>18</v>
      </c>
      <c r="D28" s="152">
        <v>2800</v>
      </c>
      <c r="E28" s="160">
        <f>'[2]1 нижние'!S41*E3</f>
        <v>3030</v>
      </c>
      <c r="F28" s="154">
        <f t="shared" si="0"/>
        <v>8.2142857142857073E-2</v>
      </c>
      <c r="G28" s="155" t="s">
        <v>508</v>
      </c>
      <c r="H28" s="156" t="s">
        <v>534</v>
      </c>
    </row>
    <row r="29" spans="1:8" x14ac:dyDescent="0.2">
      <c r="A29" s="33">
        <v>23</v>
      </c>
      <c r="B29" s="150" t="s">
        <v>537</v>
      </c>
      <c r="C29" s="151" t="s">
        <v>1</v>
      </c>
      <c r="D29" s="152">
        <v>2500</v>
      </c>
      <c r="E29" s="153">
        <f>'[2]1 нижние'!S47*E3</f>
        <v>2700</v>
      </c>
      <c r="F29" s="154">
        <f t="shared" si="0"/>
        <v>8.0000000000000071E-2</v>
      </c>
      <c r="G29" s="155" t="s">
        <v>508</v>
      </c>
      <c r="H29" s="156" t="s">
        <v>534</v>
      </c>
    </row>
    <row r="30" spans="1:8" x14ac:dyDescent="0.2">
      <c r="A30" s="33">
        <v>24</v>
      </c>
      <c r="B30" s="150" t="s">
        <v>538</v>
      </c>
      <c r="C30" s="151" t="s">
        <v>27</v>
      </c>
      <c r="D30" s="152">
        <v>2700</v>
      </c>
      <c r="E30" s="158">
        <f>E29*E2</f>
        <v>2916</v>
      </c>
      <c r="F30" s="154">
        <f t="shared" si="0"/>
        <v>8.0000000000000071E-2</v>
      </c>
      <c r="G30" s="155" t="s">
        <v>508</v>
      </c>
      <c r="H30" s="156" t="s">
        <v>534</v>
      </c>
    </row>
    <row r="31" spans="1:8" x14ac:dyDescent="0.2">
      <c r="A31" s="33">
        <v>25</v>
      </c>
      <c r="B31" s="150" t="s">
        <v>539</v>
      </c>
      <c r="C31" s="151" t="s">
        <v>19</v>
      </c>
      <c r="D31" s="152">
        <v>2390</v>
      </c>
      <c r="E31" s="153">
        <f>'[2]1 нижние'!S53*E3</f>
        <v>2580</v>
      </c>
      <c r="F31" s="154">
        <f t="shared" si="0"/>
        <v>7.9497907949790836E-2</v>
      </c>
      <c r="G31" s="155" t="s">
        <v>508</v>
      </c>
      <c r="H31" s="156" t="s">
        <v>534</v>
      </c>
    </row>
    <row r="32" spans="1:8" x14ac:dyDescent="0.2">
      <c r="A32" s="33">
        <v>26</v>
      </c>
      <c r="B32" s="150" t="s">
        <v>540</v>
      </c>
      <c r="C32" s="151" t="s">
        <v>26</v>
      </c>
      <c r="D32" s="152">
        <v>2581.2000000000003</v>
      </c>
      <c r="E32" s="158">
        <f>E31*E2</f>
        <v>2786.4</v>
      </c>
      <c r="F32" s="154">
        <f t="shared" si="0"/>
        <v>7.9497907949790614E-2</v>
      </c>
      <c r="G32" s="155" t="s">
        <v>508</v>
      </c>
      <c r="H32" s="156" t="s">
        <v>534</v>
      </c>
    </row>
    <row r="33" spans="1:8" x14ac:dyDescent="0.2">
      <c r="A33" s="33">
        <v>27</v>
      </c>
      <c r="B33" s="161" t="s">
        <v>541</v>
      </c>
      <c r="C33" s="162" t="s">
        <v>20</v>
      </c>
      <c r="D33" s="163">
        <v>2320</v>
      </c>
      <c r="E33" s="164">
        <f>'[2]1 нижние'!S59*E3</f>
        <v>2510</v>
      </c>
      <c r="F33" s="165">
        <f t="shared" si="0"/>
        <v>8.18965517241379E-2</v>
      </c>
      <c r="G33" s="166" t="s">
        <v>508</v>
      </c>
      <c r="H33" s="167" t="s">
        <v>542</v>
      </c>
    </row>
    <row r="34" spans="1:8" x14ac:dyDescent="0.2">
      <c r="A34" s="33">
        <v>28</v>
      </c>
      <c r="B34" s="150" t="s">
        <v>543</v>
      </c>
      <c r="C34" s="151" t="s">
        <v>21</v>
      </c>
      <c r="D34" s="152">
        <v>2270</v>
      </c>
      <c r="E34" s="153">
        <f>'[2]1 нижние'!S61*E3</f>
        <v>2450</v>
      </c>
      <c r="F34" s="154">
        <f t="shared" si="0"/>
        <v>7.9295154185021977E-2</v>
      </c>
      <c r="G34" s="155" t="s">
        <v>508</v>
      </c>
      <c r="H34" s="156" t="s">
        <v>544</v>
      </c>
    </row>
    <row r="35" spans="1:8" x14ac:dyDescent="0.2">
      <c r="A35" s="33">
        <v>29</v>
      </c>
      <c r="B35" s="150" t="s">
        <v>545</v>
      </c>
      <c r="C35" s="151" t="s">
        <v>22</v>
      </c>
      <c r="D35" s="152">
        <v>1850</v>
      </c>
      <c r="E35" s="153">
        <f>'[2]1 нижние'!S64*E3</f>
        <v>2000</v>
      </c>
      <c r="F35" s="154">
        <f t="shared" si="0"/>
        <v>8.1081081081081141E-2</v>
      </c>
      <c r="G35" s="155" t="s">
        <v>508</v>
      </c>
      <c r="H35" s="156" t="s">
        <v>546</v>
      </c>
    </row>
    <row r="36" spans="1:8" x14ac:dyDescent="0.2">
      <c r="A36" s="33">
        <v>30</v>
      </c>
      <c r="B36" s="150" t="s">
        <v>547</v>
      </c>
      <c r="C36" s="151" t="s">
        <v>23</v>
      </c>
      <c r="D36" s="152">
        <v>1850</v>
      </c>
      <c r="E36" s="153">
        <f>E35</f>
        <v>2000</v>
      </c>
      <c r="F36" s="154">
        <f t="shared" si="0"/>
        <v>8.1081081081081141E-2</v>
      </c>
      <c r="G36" s="155" t="s">
        <v>508</v>
      </c>
      <c r="H36" s="156" t="s">
        <v>546</v>
      </c>
    </row>
    <row r="37" spans="1:8" x14ac:dyDescent="0.2">
      <c r="A37" s="33">
        <v>31</v>
      </c>
      <c r="B37" s="168" t="s">
        <v>548</v>
      </c>
      <c r="C37" s="169" t="s">
        <v>31</v>
      </c>
      <c r="D37" s="170">
        <v>1510</v>
      </c>
      <c r="E37" s="171">
        <f>'[2]1 нижние'!S66*E3</f>
        <v>1640</v>
      </c>
      <c r="F37" s="172">
        <f t="shared" si="0"/>
        <v>8.6092715231788075E-2</v>
      </c>
      <c r="G37" s="173" t="s">
        <v>508</v>
      </c>
      <c r="H37" s="174" t="s">
        <v>549</v>
      </c>
    </row>
    <row r="38" spans="1:8" hidden="1" x14ac:dyDescent="0.2">
      <c r="B38" s="175" t="s">
        <v>550</v>
      </c>
      <c r="C38" s="175" t="s">
        <v>551</v>
      </c>
      <c r="D38" s="176">
        <v>1863.81</v>
      </c>
      <c r="E38" s="176"/>
      <c r="F38" s="177"/>
      <c r="G38" s="178" t="s">
        <v>508</v>
      </c>
      <c r="H38" s="175" t="s">
        <v>534</v>
      </c>
    </row>
    <row r="39" spans="1:8" hidden="1" x14ac:dyDescent="0.2">
      <c r="B39" s="175" t="s">
        <v>552</v>
      </c>
      <c r="C39" s="175" t="s">
        <v>553</v>
      </c>
      <c r="D39" s="176">
        <v>2734.89</v>
      </c>
      <c r="E39" s="179"/>
      <c r="F39" s="180"/>
      <c r="G39" s="178" t="s">
        <v>508</v>
      </c>
      <c r="H39" s="175" t="s">
        <v>523</v>
      </c>
    </row>
    <row r="40" spans="1:8" hidden="1" x14ac:dyDescent="0.2">
      <c r="B40" s="175" t="s">
        <v>554</v>
      </c>
      <c r="C40" s="175" t="s">
        <v>555</v>
      </c>
      <c r="D40" s="176">
        <v>2734.89</v>
      </c>
      <c r="E40" s="179"/>
      <c r="F40" s="180"/>
      <c r="G40" s="178" t="s">
        <v>508</v>
      </c>
      <c r="H40" s="175" t="s">
        <v>523</v>
      </c>
    </row>
    <row r="41" spans="1:8" hidden="1" x14ac:dyDescent="0.2">
      <c r="B41" s="175" t="s">
        <v>556</v>
      </c>
      <c r="C41" s="175" t="s">
        <v>557</v>
      </c>
      <c r="D41" s="176">
        <v>2462.36</v>
      </c>
      <c r="E41" s="179"/>
      <c r="F41" s="180"/>
      <c r="G41" s="178" t="s">
        <v>508</v>
      </c>
      <c r="H41" s="175" t="s">
        <v>558</v>
      </c>
    </row>
    <row r="42" spans="1:8" hidden="1" x14ac:dyDescent="0.2">
      <c r="B42" s="175" t="s">
        <v>559</v>
      </c>
      <c r="C42" s="175" t="s">
        <v>560</v>
      </c>
      <c r="D42" s="176">
        <v>2394.23</v>
      </c>
      <c r="E42" s="181"/>
      <c r="F42" s="178"/>
      <c r="G42" s="178" t="s">
        <v>508</v>
      </c>
      <c r="H42" s="175" t="s">
        <v>542</v>
      </c>
    </row>
    <row r="43" spans="1:8" hidden="1" x14ac:dyDescent="0.2">
      <c r="B43" s="175" t="s">
        <v>561</v>
      </c>
      <c r="C43" s="175" t="s">
        <v>562</v>
      </c>
      <c r="D43" s="176">
        <v>1986.69</v>
      </c>
      <c r="E43" s="179"/>
      <c r="F43" s="180"/>
      <c r="G43" s="178" t="s">
        <v>508</v>
      </c>
      <c r="H43" s="175" t="s">
        <v>519</v>
      </c>
    </row>
    <row r="44" spans="1:8" hidden="1" x14ac:dyDescent="0.2">
      <c r="B44" s="175" t="s">
        <v>563</v>
      </c>
      <c r="C44" s="175" t="s">
        <v>564</v>
      </c>
      <c r="D44" s="176">
        <v>1986.69</v>
      </c>
      <c r="E44" s="179"/>
      <c r="F44" s="180"/>
      <c r="G44" s="178" t="s">
        <v>508</v>
      </c>
      <c r="H44" s="175" t="s">
        <v>519</v>
      </c>
    </row>
    <row r="45" spans="1:8" x14ac:dyDescent="0.2">
      <c r="B45" s="310" t="s">
        <v>565</v>
      </c>
      <c r="C45" s="310"/>
      <c r="D45" s="310"/>
      <c r="E45" s="310"/>
      <c r="F45" s="310"/>
      <c r="G45" s="310"/>
      <c r="H45" s="310"/>
    </row>
    <row r="46" spans="1:8" x14ac:dyDescent="0.2">
      <c r="B46" s="144" t="s">
        <v>500</v>
      </c>
      <c r="C46" s="145" t="s">
        <v>501</v>
      </c>
      <c r="D46" s="145" t="s">
        <v>502</v>
      </c>
      <c r="E46" s="146" t="s">
        <v>503</v>
      </c>
      <c r="F46" s="146" t="s">
        <v>504</v>
      </c>
      <c r="G46" s="147" t="s">
        <v>505</v>
      </c>
      <c r="H46" s="148" t="s">
        <v>506</v>
      </c>
    </row>
    <row r="47" spans="1:8" x14ac:dyDescent="0.2">
      <c r="A47" s="33">
        <v>1</v>
      </c>
      <c r="B47" s="150" t="s">
        <v>566</v>
      </c>
      <c r="C47" s="151" t="s">
        <v>2</v>
      </c>
      <c r="D47" s="152">
        <v>1390</v>
      </c>
      <c r="E47" s="153">
        <f>'[2]1 верхние'!S10*E3</f>
        <v>1510</v>
      </c>
      <c r="F47" s="154">
        <f t="shared" ref="F47:F93" si="1">E47/D47-1</f>
        <v>8.6330935251798468E-2</v>
      </c>
      <c r="G47" s="155" t="s">
        <v>508</v>
      </c>
      <c r="H47" s="156" t="s">
        <v>525</v>
      </c>
    </row>
    <row r="48" spans="1:8" x14ac:dyDescent="0.2">
      <c r="A48" s="33">
        <v>2</v>
      </c>
      <c r="B48" s="150" t="s">
        <v>567</v>
      </c>
      <c r="C48" s="151" t="s">
        <v>132</v>
      </c>
      <c r="D48" s="152">
        <v>1390</v>
      </c>
      <c r="E48" s="153">
        <f t="shared" ref="E48:E55" si="2">$E$47</f>
        <v>1510</v>
      </c>
      <c r="F48" s="154">
        <f t="shared" si="1"/>
        <v>8.6330935251798468E-2</v>
      </c>
      <c r="G48" s="155" t="s">
        <v>508</v>
      </c>
      <c r="H48" s="156" t="s">
        <v>525</v>
      </c>
    </row>
    <row r="49" spans="1:8" x14ac:dyDescent="0.2">
      <c r="A49" s="33">
        <v>3</v>
      </c>
      <c r="B49" s="150" t="s">
        <v>568</v>
      </c>
      <c r="C49" s="151" t="s">
        <v>134</v>
      </c>
      <c r="D49" s="152">
        <v>1390</v>
      </c>
      <c r="E49" s="153">
        <f t="shared" si="2"/>
        <v>1510</v>
      </c>
      <c r="F49" s="154">
        <f t="shared" si="1"/>
        <v>8.6330935251798468E-2</v>
      </c>
      <c r="G49" s="155" t="s">
        <v>508</v>
      </c>
      <c r="H49" s="156" t="s">
        <v>525</v>
      </c>
    </row>
    <row r="50" spans="1:8" x14ac:dyDescent="0.2">
      <c r="A50" s="33">
        <v>4</v>
      </c>
      <c r="B50" s="150" t="s">
        <v>569</v>
      </c>
      <c r="C50" s="151" t="s">
        <v>136</v>
      </c>
      <c r="D50" s="152">
        <v>1390</v>
      </c>
      <c r="E50" s="153">
        <f t="shared" si="2"/>
        <v>1510</v>
      </c>
      <c r="F50" s="154">
        <f t="shared" si="1"/>
        <v>8.6330935251798468E-2</v>
      </c>
      <c r="G50" s="155" t="s">
        <v>508</v>
      </c>
      <c r="H50" s="156" t="s">
        <v>525</v>
      </c>
    </row>
    <row r="51" spans="1:8" x14ac:dyDescent="0.2">
      <c r="A51" s="33">
        <v>5</v>
      </c>
      <c r="B51" s="150" t="s">
        <v>570</v>
      </c>
      <c r="C51" s="151" t="s">
        <v>32</v>
      </c>
      <c r="D51" s="152">
        <v>1390</v>
      </c>
      <c r="E51" s="153">
        <f t="shared" si="2"/>
        <v>1510</v>
      </c>
      <c r="F51" s="154">
        <f t="shared" si="1"/>
        <v>8.6330935251798468E-2</v>
      </c>
      <c r="G51" s="155" t="s">
        <v>508</v>
      </c>
      <c r="H51" s="156" t="s">
        <v>525</v>
      </c>
    </row>
    <row r="52" spans="1:8" x14ac:dyDescent="0.2">
      <c r="A52" s="33">
        <v>6</v>
      </c>
      <c r="B52" s="150" t="s">
        <v>571</v>
      </c>
      <c r="C52" s="151" t="s">
        <v>139</v>
      </c>
      <c r="D52" s="152">
        <v>1390</v>
      </c>
      <c r="E52" s="153">
        <f t="shared" si="2"/>
        <v>1510</v>
      </c>
      <c r="F52" s="154">
        <f t="shared" si="1"/>
        <v>8.6330935251798468E-2</v>
      </c>
      <c r="G52" s="155" t="s">
        <v>508</v>
      </c>
      <c r="H52" s="156" t="s">
        <v>525</v>
      </c>
    </row>
    <row r="53" spans="1:8" x14ac:dyDescent="0.2">
      <c r="A53" s="33">
        <v>7</v>
      </c>
      <c r="B53" s="150" t="s">
        <v>572</v>
      </c>
      <c r="C53" s="151" t="s">
        <v>41</v>
      </c>
      <c r="D53" s="152">
        <v>1390</v>
      </c>
      <c r="E53" s="153">
        <f t="shared" si="2"/>
        <v>1510</v>
      </c>
      <c r="F53" s="154">
        <f t="shared" si="1"/>
        <v>8.6330935251798468E-2</v>
      </c>
      <c r="G53" s="155" t="s">
        <v>508</v>
      </c>
      <c r="H53" s="156" t="s">
        <v>525</v>
      </c>
    </row>
    <row r="54" spans="1:8" x14ac:dyDescent="0.2">
      <c r="A54" s="33">
        <v>8</v>
      </c>
      <c r="B54" s="150" t="s">
        <v>573</v>
      </c>
      <c r="C54" s="151" t="s">
        <v>42</v>
      </c>
      <c r="D54" s="152">
        <v>1390</v>
      </c>
      <c r="E54" s="153">
        <f t="shared" si="2"/>
        <v>1510</v>
      </c>
      <c r="F54" s="154">
        <f t="shared" si="1"/>
        <v>8.6330935251798468E-2</v>
      </c>
      <c r="G54" s="155" t="s">
        <v>508</v>
      </c>
      <c r="H54" s="156" t="s">
        <v>525</v>
      </c>
    </row>
    <row r="55" spans="1:8" x14ac:dyDescent="0.2">
      <c r="A55" s="33">
        <v>9</v>
      </c>
      <c r="B55" s="150" t="s">
        <v>574</v>
      </c>
      <c r="C55" s="151" t="s">
        <v>575</v>
      </c>
      <c r="D55" s="152">
        <v>1390</v>
      </c>
      <c r="E55" s="153">
        <f t="shared" si="2"/>
        <v>1510</v>
      </c>
      <c r="F55" s="154">
        <f t="shared" si="1"/>
        <v>8.6330935251798468E-2</v>
      </c>
      <c r="G55" s="155" t="s">
        <v>508</v>
      </c>
      <c r="H55" s="156" t="s">
        <v>534</v>
      </c>
    </row>
    <row r="56" spans="1:8" x14ac:dyDescent="0.2">
      <c r="A56" s="33">
        <v>10</v>
      </c>
      <c r="B56" s="182" t="s">
        <v>576</v>
      </c>
      <c r="C56" s="183" t="s">
        <v>137</v>
      </c>
      <c r="D56" s="184">
        <v>1350</v>
      </c>
      <c r="E56" s="185">
        <f>'[2]1 верхние'!S31*E3</f>
        <v>1460</v>
      </c>
      <c r="F56" s="186">
        <f t="shared" si="1"/>
        <v>8.1481481481481488E-2</v>
      </c>
      <c r="G56" s="187" t="s">
        <v>508</v>
      </c>
      <c r="H56" s="188" t="s">
        <v>577</v>
      </c>
    </row>
    <row r="57" spans="1:8" x14ac:dyDescent="0.2">
      <c r="A57" s="33">
        <v>11</v>
      </c>
      <c r="B57" s="182" t="s">
        <v>578</v>
      </c>
      <c r="C57" s="183" t="s">
        <v>37</v>
      </c>
      <c r="D57" s="184">
        <v>1350</v>
      </c>
      <c r="E57" s="185">
        <f>E56</f>
        <v>1460</v>
      </c>
      <c r="F57" s="186">
        <f t="shared" si="1"/>
        <v>8.1481481481481488E-2</v>
      </c>
      <c r="G57" s="187" t="s">
        <v>508</v>
      </c>
      <c r="H57" s="188" t="s">
        <v>577</v>
      </c>
    </row>
    <row r="58" spans="1:8" x14ac:dyDescent="0.2">
      <c r="A58" s="33">
        <v>12</v>
      </c>
      <c r="B58" s="182" t="s">
        <v>579</v>
      </c>
      <c r="C58" s="183" t="s">
        <v>38</v>
      </c>
      <c r="D58" s="184">
        <v>1350</v>
      </c>
      <c r="E58" s="185">
        <f>E57</f>
        <v>1460</v>
      </c>
      <c r="F58" s="186">
        <f t="shared" si="1"/>
        <v>8.1481481481481488E-2</v>
      </c>
      <c r="G58" s="187" t="s">
        <v>508</v>
      </c>
      <c r="H58" s="188" t="s">
        <v>577</v>
      </c>
    </row>
    <row r="59" spans="1:8" x14ac:dyDescent="0.2">
      <c r="A59" s="33">
        <v>13</v>
      </c>
      <c r="B59" s="150" t="s">
        <v>580</v>
      </c>
      <c r="C59" s="151" t="s">
        <v>39</v>
      </c>
      <c r="D59" s="152">
        <v>1630</v>
      </c>
      <c r="E59" s="153">
        <f>'[2]1 верхние'!S37*E3</f>
        <v>1770</v>
      </c>
      <c r="F59" s="154">
        <f t="shared" si="1"/>
        <v>8.5889570552147187E-2</v>
      </c>
      <c r="G59" s="155" t="s">
        <v>508</v>
      </c>
      <c r="H59" s="156" t="s">
        <v>581</v>
      </c>
    </row>
    <row r="60" spans="1:8" ht="13.5" customHeight="1" x14ac:dyDescent="0.2">
      <c r="A60" s="33">
        <v>14</v>
      </c>
      <c r="B60" s="150" t="s">
        <v>582</v>
      </c>
      <c r="C60" s="151" t="s">
        <v>40</v>
      </c>
      <c r="D60" s="152">
        <v>1630</v>
      </c>
      <c r="E60" s="153">
        <f>E59</f>
        <v>1770</v>
      </c>
      <c r="F60" s="154">
        <f t="shared" si="1"/>
        <v>8.5889570552147187E-2</v>
      </c>
      <c r="G60" s="155" t="s">
        <v>508</v>
      </c>
      <c r="H60" s="156" t="s">
        <v>581</v>
      </c>
    </row>
    <row r="61" spans="1:8" x14ac:dyDescent="0.2">
      <c r="A61" s="33">
        <v>15</v>
      </c>
      <c r="B61" s="150" t="s">
        <v>583</v>
      </c>
      <c r="C61" s="151" t="s">
        <v>33</v>
      </c>
      <c r="D61" s="152">
        <v>2390</v>
      </c>
      <c r="E61" s="153">
        <f>'[2]1 верхние'!S39*E3</f>
        <v>2580</v>
      </c>
      <c r="F61" s="154">
        <f t="shared" si="1"/>
        <v>7.9497907949790836E-2</v>
      </c>
      <c r="G61" s="155" t="s">
        <v>508</v>
      </c>
      <c r="H61" s="156" t="s">
        <v>584</v>
      </c>
    </row>
    <row r="62" spans="1:8" x14ac:dyDescent="0.2">
      <c r="A62" s="33">
        <v>16</v>
      </c>
      <c r="B62" s="150" t="s">
        <v>585</v>
      </c>
      <c r="C62" s="151" t="s">
        <v>43</v>
      </c>
      <c r="D62" s="152">
        <v>2390</v>
      </c>
      <c r="E62" s="153">
        <f>E61</f>
        <v>2580</v>
      </c>
      <c r="F62" s="154">
        <f t="shared" si="1"/>
        <v>7.9497907949790836E-2</v>
      </c>
      <c r="G62" s="155" t="s">
        <v>508</v>
      </c>
      <c r="H62" s="156" t="s">
        <v>584</v>
      </c>
    </row>
    <row r="63" spans="1:8" x14ac:dyDescent="0.2">
      <c r="A63" s="33">
        <v>17</v>
      </c>
      <c r="B63" s="150" t="s">
        <v>586</v>
      </c>
      <c r="C63" s="151" t="s">
        <v>34</v>
      </c>
      <c r="D63" s="152">
        <v>2350</v>
      </c>
      <c r="E63" s="153">
        <f>'[2]1 верхние'!S47*E3</f>
        <v>2540</v>
      </c>
      <c r="F63" s="154">
        <f t="shared" si="1"/>
        <v>8.085106382978724E-2</v>
      </c>
      <c r="G63" s="155" t="s">
        <v>508</v>
      </c>
      <c r="H63" s="156" t="s">
        <v>587</v>
      </c>
    </row>
    <row r="64" spans="1:8" x14ac:dyDescent="0.2">
      <c r="A64" s="33">
        <v>18</v>
      </c>
      <c r="B64" s="150" t="s">
        <v>588</v>
      </c>
      <c r="C64" s="151" t="s">
        <v>35</v>
      </c>
      <c r="D64" s="152">
        <v>2350</v>
      </c>
      <c r="E64" s="153">
        <f>E63</f>
        <v>2540</v>
      </c>
      <c r="F64" s="154">
        <f t="shared" si="1"/>
        <v>8.085106382978724E-2</v>
      </c>
      <c r="G64" s="155" t="s">
        <v>508</v>
      </c>
      <c r="H64" s="156" t="s">
        <v>587</v>
      </c>
    </row>
    <row r="65" spans="1:8" x14ac:dyDescent="0.2">
      <c r="A65" s="33">
        <v>19</v>
      </c>
      <c r="B65" s="150" t="s">
        <v>589</v>
      </c>
      <c r="C65" s="151" t="s">
        <v>36</v>
      </c>
      <c r="D65" s="152">
        <v>2340</v>
      </c>
      <c r="E65" s="153">
        <f>'[2]1 верхние'!S52*E3</f>
        <v>2530</v>
      </c>
      <c r="F65" s="154">
        <f t="shared" si="1"/>
        <v>8.119658119658113E-2</v>
      </c>
      <c r="G65" s="155" t="s">
        <v>508</v>
      </c>
      <c r="H65" s="156" t="s">
        <v>584</v>
      </c>
    </row>
    <row r="66" spans="1:8" x14ac:dyDescent="0.2">
      <c r="A66" s="33">
        <v>20</v>
      </c>
      <c r="B66" s="168" t="s">
        <v>590</v>
      </c>
      <c r="C66" s="169" t="s">
        <v>44</v>
      </c>
      <c r="D66" s="170">
        <v>1700</v>
      </c>
      <c r="E66" s="171">
        <f>'[2]1 верхние'!S58*E3</f>
        <v>1840</v>
      </c>
      <c r="F66" s="172">
        <f t="shared" si="1"/>
        <v>8.2352941176470518E-2</v>
      </c>
      <c r="G66" s="173" t="s">
        <v>508</v>
      </c>
      <c r="H66" s="174" t="s">
        <v>591</v>
      </c>
    </row>
    <row r="67" spans="1:8" x14ac:dyDescent="0.2">
      <c r="B67" s="310" t="s">
        <v>592</v>
      </c>
      <c r="C67" s="310"/>
      <c r="D67" s="310"/>
      <c r="E67" s="310"/>
      <c r="F67" s="310"/>
      <c r="G67" s="310"/>
      <c r="H67" s="310"/>
    </row>
    <row r="68" spans="1:8" x14ac:dyDescent="0.2">
      <c r="B68" s="144" t="s">
        <v>500</v>
      </c>
      <c r="C68" s="145" t="s">
        <v>501</v>
      </c>
      <c r="D68" s="145" t="s">
        <v>502</v>
      </c>
      <c r="E68" s="146" t="s">
        <v>503</v>
      </c>
      <c r="F68" s="146" t="s">
        <v>504</v>
      </c>
      <c r="G68" s="147" t="s">
        <v>505</v>
      </c>
      <c r="H68" s="148" t="s">
        <v>506</v>
      </c>
    </row>
    <row r="69" spans="1:8" x14ac:dyDescent="0.2">
      <c r="A69" s="33">
        <v>1</v>
      </c>
      <c r="B69" s="150" t="s">
        <v>593</v>
      </c>
      <c r="C69" s="151" t="s">
        <v>45</v>
      </c>
      <c r="D69" s="152">
        <v>4460</v>
      </c>
      <c r="E69" s="153">
        <f>'[2]1 пеналы'!S13*E3</f>
        <v>4820</v>
      </c>
      <c r="F69" s="154">
        <f t="shared" si="1"/>
        <v>8.0717488789237679E-2</v>
      </c>
      <c r="G69" s="155" t="s">
        <v>508</v>
      </c>
      <c r="H69" s="156" t="s">
        <v>594</v>
      </c>
    </row>
    <row r="70" spans="1:8" x14ac:dyDescent="0.2">
      <c r="A70" s="33">
        <v>2</v>
      </c>
      <c r="B70" s="150" t="s">
        <v>595</v>
      </c>
      <c r="C70" s="151" t="s">
        <v>46</v>
      </c>
      <c r="D70" s="152">
        <v>4816.8</v>
      </c>
      <c r="E70" s="158">
        <f>E69*E2</f>
        <v>5205.6000000000004</v>
      </c>
      <c r="F70" s="154">
        <f t="shared" si="1"/>
        <v>8.0717488789237679E-2</v>
      </c>
      <c r="G70" s="155" t="s">
        <v>508</v>
      </c>
      <c r="H70" s="156" t="s">
        <v>594</v>
      </c>
    </row>
    <row r="71" spans="1:8" x14ac:dyDescent="0.2">
      <c r="A71" s="33">
        <v>3</v>
      </c>
      <c r="B71" s="150" t="s">
        <v>596</v>
      </c>
      <c r="C71" s="151" t="s">
        <v>597</v>
      </c>
      <c r="D71" s="152">
        <v>4816.8</v>
      </c>
      <c r="E71" s="158">
        <f>E69*E2</f>
        <v>5205.6000000000004</v>
      </c>
      <c r="F71" s="154">
        <f t="shared" si="1"/>
        <v>8.0717488789237679E-2</v>
      </c>
      <c r="G71" s="155" t="s">
        <v>508</v>
      </c>
      <c r="H71" s="156" t="s">
        <v>594</v>
      </c>
    </row>
    <row r="72" spans="1:8" x14ac:dyDescent="0.2">
      <c r="A72" s="33">
        <v>4</v>
      </c>
      <c r="B72" s="150" t="s">
        <v>598</v>
      </c>
      <c r="C72" s="189" t="s">
        <v>47</v>
      </c>
      <c r="D72" s="152">
        <v>4460</v>
      </c>
      <c r="E72" s="153">
        <f>E69</f>
        <v>4820</v>
      </c>
      <c r="F72" s="154">
        <f t="shared" si="1"/>
        <v>8.0717488789237679E-2</v>
      </c>
      <c r="G72" s="155" t="s">
        <v>508</v>
      </c>
      <c r="H72" s="156" t="s">
        <v>594</v>
      </c>
    </row>
    <row r="73" spans="1:8" x14ac:dyDescent="0.2">
      <c r="A73" s="33">
        <v>5</v>
      </c>
      <c r="B73" s="150" t="s">
        <v>599</v>
      </c>
      <c r="C73" s="151" t="s">
        <v>491</v>
      </c>
      <c r="D73" s="152">
        <v>4780</v>
      </c>
      <c r="E73" s="153">
        <f>'[2]1 пеналы'!S15*E3</f>
        <v>5170</v>
      </c>
      <c r="F73" s="154">
        <f t="shared" si="1"/>
        <v>8.1589958158995834E-2</v>
      </c>
      <c r="G73" s="155" t="s">
        <v>508</v>
      </c>
      <c r="H73" s="156" t="s">
        <v>600</v>
      </c>
    </row>
    <row r="74" spans="1:8" x14ac:dyDescent="0.2">
      <c r="A74" s="33">
        <v>6</v>
      </c>
      <c r="B74" s="150" t="s">
        <v>601</v>
      </c>
      <c r="C74" s="151" t="s">
        <v>48</v>
      </c>
      <c r="D74" s="152">
        <v>4780</v>
      </c>
      <c r="E74" s="153">
        <f>E73</f>
        <v>5170</v>
      </c>
      <c r="F74" s="154">
        <f t="shared" si="1"/>
        <v>8.1589958158995834E-2</v>
      </c>
      <c r="G74" s="155" t="s">
        <v>508</v>
      </c>
      <c r="H74" s="156" t="s">
        <v>600</v>
      </c>
    </row>
    <row r="75" spans="1:8" x14ac:dyDescent="0.2">
      <c r="A75" s="33">
        <v>7</v>
      </c>
      <c r="B75" s="150" t="s">
        <v>602</v>
      </c>
      <c r="C75" s="151" t="s">
        <v>490</v>
      </c>
      <c r="D75" s="152">
        <v>4780</v>
      </c>
      <c r="E75" s="153">
        <f>E74</f>
        <v>5170</v>
      </c>
      <c r="F75" s="154">
        <f t="shared" si="1"/>
        <v>8.1589958158995834E-2</v>
      </c>
      <c r="G75" s="155" t="s">
        <v>508</v>
      </c>
      <c r="H75" s="156" t="s">
        <v>600</v>
      </c>
    </row>
    <row r="76" spans="1:8" x14ac:dyDescent="0.2">
      <c r="A76" s="33">
        <v>8</v>
      </c>
      <c r="B76" s="150" t="s">
        <v>603</v>
      </c>
      <c r="C76" s="151" t="s">
        <v>49</v>
      </c>
      <c r="D76" s="152">
        <v>5970</v>
      </c>
      <c r="E76" s="153">
        <f>'[2]1 пеналы'!S20*E3</f>
        <v>6460</v>
      </c>
      <c r="F76" s="154">
        <f t="shared" si="1"/>
        <v>8.2077051926298106E-2</v>
      </c>
      <c r="G76" s="155" t="s">
        <v>508</v>
      </c>
      <c r="H76" s="156" t="s">
        <v>604</v>
      </c>
    </row>
    <row r="77" spans="1:8" x14ac:dyDescent="0.2">
      <c r="A77" s="33">
        <v>9</v>
      </c>
      <c r="B77" s="150" t="s">
        <v>605</v>
      </c>
      <c r="C77" s="151" t="s">
        <v>606</v>
      </c>
      <c r="D77" s="152">
        <v>6447.6</v>
      </c>
      <c r="E77" s="158">
        <f>E76*E2</f>
        <v>6976.8</v>
      </c>
      <c r="F77" s="154">
        <f t="shared" si="1"/>
        <v>8.2077051926298106E-2</v>
      </c>
      <c r="G77" s="155" t="s">
        <v>508</v>
      </c>
      <c r="H77" s="156" t="s">
        <v>604</v>
      </c>
    </row>
    <row r="78" spans="1:8" x14ac:dyDescent="0.2">
      <c r="A78" s="33">
        <v>10</v>
      </c>
      <c r="B78" s="150" t="s">
        <v>607</v>
      </c>
      <c r="C78" s="151" t="s">
        <v>608</v>
      </c>
      <c r="D78" s="152">
        <v>6447.6</v>
      </c>
      <c r="E78" s="158">
        <f>E76*E2</f>
        <v>6976.8</v>
      </c>
      <c r="F78" s="154">
        <f t="shared" si="1"/>
        <v>8.2077051926298106E-2</v>
      </c>
      <c r="G78" s="155" t="s">
        <v>508</v>
      </c>
      <c r="H78" s="156" t="s">
        <v>604</v>
      </c>
    </row>
    <row r="79" spans="1:8" x14ac:dyDescent="0.2">
      <c r="A79" s="33">
        <v>11</v>
      </c>
      <c r="B79" s="150" t="s">
        <v>609</v>
      </c>
      <c r="C79" s="151" t="s">
        <v>50</v>
      </c>
      <c r="D79" s="152">
        <v>4890</v>
      </c>
      <c r="E79" s="153">
        <f>'[2]1 пеналы'!S21*E3</f>
        <v>5290</v>
      </c>
      <c r="F79" s="154">
        <f t="shared" si="1"/>
        <v>8.1799591002045036E-2</v>
      </c>
      <c r="G79" s="155" t="s">
        <v>508</v>
      </c>
      <c r="H79" s="156" t="s">
        <v>604</v>
      </c>
    </row>
    <row r="80" spans="1:8" x14ac:dyDescent="0.2">
      <c r="A80" s="33">
        <v>12</v>
      </c>
      <c r="B80" s="150" t="s">
        <v>610</v>
      </c>
      <c r="C80" s="151" t="s">
        <v>611</v>
      </c>
      <c r="D80" s="152">
        <v>5281.2000000000007</v>
      </c>
      <c r="E80" s="158">
        <f>E79*E2</f>
        <v>5713.2000000000007</v>
      </c>
      <c r="F80" s="154">
        <f t="shared" si="1"/>
        <v>8.1799591002045036E-2</v>
      </c>
      <c r="G80" s="155" t="s">
        <v>508</v>
      </c>
      <c r="H80" s="156" t="s">
        <v>604</v>
      </c>
    </row>
    <row r="81" spans="1:8" x14ac:dyDescent="0.2">
      <c r="A81" s="33">
        <v>13</v>
      </c>
      <c r="B81" s="150" t="s">
        <v>612</v>
      </c>
      <c r="C81" s="151" t="s">
        <v>51</v>
      </c>
      <c r="D81" s="152">
        <v>5281.2000000000007</v>
      </c>
      <c r="E81" s="158">
        <f>E79*E2</f>
        <v>5713.2000000000007</v>
      </c>
      <c r="F81" s="154">
        <f t="shared" si="1"/>
        <v>8.1799591002045036E-2</v>
      </c>
      <c r="G81" s="155" t="s">
        <v>508</v>
      </c>
      <c r="H81" s="156" t="s">
        <v>604</v>
      </c>
    </row>
    <row r="82" spans="1:8" x14ac:dyDescent="0.2">
      <c r="A82" s="33">
        <v>14</v>
      </c>
      <c r="B82" s="150" t="s">
        <v>613</v>
      </c>
      <c r="C82" s="151" t="s">
        <v>52</v>
      </c>
      <c r="D82" s="152">
        <v>8000</v>
      </c>
      <c r="E82" s="153">
        <f>'[2]1 пеналы'!S23*E3</f>
        <v>8650</v>
      </c>
      <c r="F82" s="154">
        <f t="shared" si="1"/>
        <v>8.1250000000000044E-2</v>
      </c>
      <c r="G82" s="155" t="s">
        <v>508</v>
      </c>
      <c r="H82" s="156" t="s">
        <v>614</v>
      </c>
    </row>
    <row r="83" spans="1:8" x14ac:dyDescent="0.2">
      <c r="A83" s="33">
        <v>15</v>
      </c>
      <c r="B83" s="150" t="s">
        <v>615</v>
      </c>
      <c r="C83" s="151" t="s">
        <v>53</v>
      </c>
      <c r="D83" s="152">
        <v>7490</v>
      </c>
      <c r="E83" s="153">
        <f>'[2]1 пеналы'!S25*E3</f>
        <v>8100</v>
      </c>
      <c r="F83" s="154">
        <f t="shared" si="1"/>
        <v>8.1441922563417979E-2</v>
      </c>
      <c r="G83" s="155" t="s">
        <v>508</v>
      </c>
      <c r="H83" s="156" t="s">
        <v>614</v>
      </c>
    </row>
    <row r="84" spans="1:8" x14ac:dyDescent="0.2">
      <c r="A84" s="33">
        <v>16</v>
      </c>
      <c r="B84" s="150" t="s">
        <v>616</v>
      </c>
      <c r="C84" s="151" t="s">
        <v>54</v>
      </c>
      <c r="D84" s="152">
        <v>6290</v>
      </c>
      <c r="E84" s="153">
        <f>'[2]1 пеналы'!S26*E3</f>
        <v>6800</v>
      </c>
      <c r="F84" s="154">
        <f t="shared" si="1"/>
        <v>8.1081081081081141E-2</v>
      </c>
      <c r="G84" s="155" t="s">
        <v>508</v>
      </c>
      <c r="H84" s="156" t="s">
        <v>604</v>
      </c>
    </row>
    <row r="85" spans="1:8" x14ac:dyDescent="0.2">
      <c r="A85" s="33">
        <v>17</v>
      </c>
      <c r="B85" s="150" t="s">
        <v>617</v>
      </c>
      <c r="C85" s="151" t="s">
        <v>55</v>
      </c>
      <c r="D85" s="152">
        <v>6793.2000000000007</v>
      </c>
      <c r="E85" s="158">
        <f>E84*E2</f>
        <v>7344.0000000000009</v>
      </c>
      <c r="F85" s="154">
        <f t="shared" si="1"/>
        <v>8.1081081081081141E-2</v>
      </c>
      <c r="G85" s="155" t="s">
        <v>508</v>
      </c>
      <c r="H85" s="156" t="s">
        <v>604</v>
      </c>
    </row>
    <row r="86" spans="1:8" x14ac:dyDescent="0.2">
      <c r="A86" s="33">
        <v>18</v>
      </c>
      <c r="B86" s="150" t="s">
        <v>618</v>
      </c>
      <c r="C86" s="151" t="s">
        <v>619</v>
      </c>
      <c r="D86" s="152">
        <v>6793.2000000000007</v>
      </c>
      <c r="E86" s="158">
        <f>E84*E2</f>
        <v>7344.0000000000009</v>
      </c>
      <c r="F86" s="154">
        <f t="shared" si="1"/>
        <v>8.1081081081081141E-2</v>
      </c>
      <c r="G86" s="155" t="s">
        <v>508</v>
      </c>
      <c r="H86" s="156" t="s">
        <v>604</v>
      </c>
    </row>
    <row r="87" spans="1:8" x14ac:dyDescent="0.2">
      <c r="A87" s="33">
        <v>19</v>
      </c>
      <c r="B87" s="150" t="s">
        <v>620</v>
      </c>
      <c r="C87" s="151" t="s">
        <v>56</v>
      </c>
      <c r="D87" s="152">
        <v>7420</v>
      </c>
      <c r="E87" s="153">
        <f>'[2]1 пеналы'!S27*E3</f>
        <v>8020</v>
      </c>
      <c r="F87" s="154">
        <f t="shared" si="1"/>
        <v>8.0862533692722449E-2</v>
      </c>
      <c r="G87" s="155" t="s">
        <v>508</v>
      </c>
      <c r="H87" s="156" t="s">
        <v>614</v>
      </c>
    </row>
    <row r="88" spans="1:8" x14ac:dyDescent="0.2">
      <c r="A88" s="33">
        <v>20</v>
      </c>
      <c r="B88" s="150" t="s">
        <v>621</v>
      </c>
      <c r="C88" s="151" t="s">
        <v>57</v>
      </c>
      <c r="D88" s="152">
        <v>6460</v>
      </c>
      <c r="E88" s="153">
        <f>'[2]1 пеналы'!S28*E3</f>
        <v>6990</v>
      </c>
      <c r="F88" s="154">
        <f t="shared" si="1"/>
        <v>8.2043343653250833E-2</v>
      </c>
      <c r="G88" s="155" t="s">
        <v>508</v>
      </c>
      <c r="H88" s="156" t="s">
        <v>614</v>
      </c>
    </row>
    <row r="89" spans="1:8" x14ac:dyDescent="0.2">
      <c r="A89" s="33">
        <v>21</v>
      </c>
      <c r="B89" s="150" t="s">
        <v>622</v>
      </c>
      <c r="C89" s="151" t="s">
        <v>58</v>
      </c>
      <c r="D89" s="152">
        <v>6390</v>
      </c>
      <c r="E89" s="153">
        <f>'[2]1 пеналы'!S29*E3</f>
        <v>6910</v>
      </c>
      <c r="F89" s="154">
        <f t="shared" si="1"/>
        <v>8.1377151799687075E-2</v>
      </c>
      <c r="G89" s="155" t="s">
        <v>508</v>
      </c>
      <c r="H89" s="156" t="s">
        <v>614</v>
      </c>
    </row>
    <row r="90" spans="1:8" x14ac:dyDescent="0.2">
      <c r="A90" s="33">
        <v>22</v>
      </c>
      <c r="B90" s="150" t="s">
        <v>623</v>
      </c>
      <c r="C90" s="151" t="s">
        <v>59</v>
      </c>
      <c r="D90" s="152">
        <v>6901.2000000000007</v>
      </c>
      <c r="E90" s="158">
        <f>E89*E2</f>
        <v>7462.8</v>
      </c>
      <c r="F90" s="154">
        <f t="shared" si="1"/>
        <v>8.1377151799686853E-2</v>
      </c>
      <c r="G90" s="155" t="s">
        <v>508</v>
      </c>
      <c r="H90" s="156" t="s">
        <v>614</v>
      </c>
    </row>
    <row r="91" spans="1:8" x14ac:dyDescent="0.2">
      <c r="A91" s="33">
        <v>23</v>
      </c>
      <c r="B91" s="150" t="s">
        <v>624</v>
      </c>
      <c r="C91" s="151" t="s">
        <v>625</v>
      </c>
      <c r="D91" s="152">
        <v>6901.2000000000007</v>
      </c>
      <c r="E91" s="158">
        <f>E89*E2</f>
        <v>7462.8</v>
      </c>
      <c r="F91" s="154">
        <f t="shared" si="1"/>
        <v>8.1377151799686853E-2</v>
      </c>
      <c r="G91" s="155" t="s">
        <v>508</v>
      </c>
      <c r="H91" s="156" t="s">
        <v>614</v>
      </c>
    </row>
    <row r="92" spans="1:8" x14ac:dyDescent="0.2">
      <c r="A92" s="33">
        <v>24</v>
      </c>
      <c r="B92" s="150" t="s">
        <v>626</v>
      </c>
      <c r="C92" s="151" t="s">
        <v>497</v>
      </c>
      <c r="D92" s="152">
        <v>6460</v>
      </c>
      <c r="E92" s="153">
        <f>'[2]1 пеналы'!S35*E3</f>
        <v>6990</v>
      </c>
      <c r="F92" s="154">
        <f t="shared" si="1"/>
        <v>8.2043343653250833E-2</v>
      </c>
      <c r="G92" s="155" t="s">
        <v>508</v>
      </c>
      <c r="H92" s="156" t="s">
        <v>604</v>
      </c>
    </row>
    <row r="93" spans="1:8" x14ac:dyDescent="0.2">
      <c r="A93" s="33">
        <v>25</v>
      </c>
      <c r="B93" s="168" t="s">
        <v>627</v>
      </c>
      <c r="C93" s="169" t="s">
        <v>60</v>
      </c>
      <c r="D93" s="170">
        <v>5840</v>
      </c>
      <c r="E93" s="171">
        <f>'[2]1 пеналы'!S36*E3</f>
        <v>6310</v>
      </c>
      <c r="F93" s="172">
        <f t="shared" si="1"/>
        <v>8.0479452054794454E-2</v>
      </c>
      <c r="G93" s="173" t="s">
        <v>508</v>
      </c>
      <c r="H93" s="174" t="s">
        <v>628</v>
      </c>
    </row>
  </sheetData>
  <mergeCells count="3">
    <mergeCell ref="B5:H5"/>
    <mergeCell ref="B45:H45"/>
    <mergeCell ref="B67:H67"/>
  </mergeCells>
  <pageMargins left="0.7" right="0.7" top="0.75" bottom="0.75" header="0.3" footer="0.3"/>
  <pageSetup paperSize="9" orientation="portrait" r:id="rId1"/>
  <legacyDrawing r:id="rId2"/>
  <tableParts count="3">
    <tablePart r:id="rId3"/>
    <tablePart r:id="rId4"/>
    <tablePart r:id="rId5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203C91-8784-4B49-8874-444AAF0314F9}">
  <sheetPr codeName="Лист15">
    <tabColor theme="5" tint="0.59999389629810485"/>
  </sheetPr>
  <dimension ref="A1:K236"/>
  <sheetViews>
    <sheetView topLeftCell="A28" zoomScale="130" zoomScaleNormal="130" workbookViewId="0">
      <selection activeCell="D10" sqref="D10"/>
    </sheetView>
  </sheetViews>
  <sheetFormatPr defaultRowHeight="12.75" x14ac:dyDescent="0.2"/>
  <cols>
    <col min="1" max="1" width="9.140625" style="31"/>
    <col min="2" max="2" width="13.5703125" style="99" customWidth="1"/>
    <col min="3" max="3" width="19" style="111" customWidth="1"/>
    <col min="4" max="4" width="20.7109375" style="111" customWidth="1"/>
    <col min="5" max="5" width="12.140625" style="99" bestFit="1" customWidth="1"/>
    <col min="6" max="6" width="24.85546875" style="99" customWidth="1"/>
    <col min="7" max="7" width="18.42578125" style="99" bestFit="1" customWidth="1"/>
    <col min="8" max="8" width="13.5703125" style="99" bestFit="1" customWidth="1"/>
    <col min="9" max="9" width="10.85546875" style="99" bestFit="1" customWidth="1"/>
    <col min="10" max="10" width="10.7109375" style="99" bestFit="1" customWidth="1"/>
    <col min="11" max="11" width="10.28515625" style="99" bestFit="1" customWidth="1"/>
    <col min="12" max="12" width="14.140625" style="99" bestFit="1" customWidth="1"/>
    <col min="13" max="13" width="9.5703125" style="99" bestFit="1" customWidth="1"/>
    <col min="14" max="14" width="10.85546875" style="99" customWidth="1"/>
    <col min="15" max="16384" width="9.140625" style="99"/>
  </cols>
  <sheetData>
    <row r="1" spans="1:11" s="74" customFormat="1" x14ac:dyDescent="0.2">
      <c r="A1" s="31"/>
      <c r="C1" s="75"/>
      <c r="D1" s="75"/>
    </row>
    <row r="2" spans="1:11" s="74" customFormat="1" x14ac:dyDescent="0.2">
      <c r="A2" s="31"/>
      <c r="C2" s="75" t="s">
        <v>368</v>
      </c>
      <c r="D2" s="75"/>
      <c r="E2" s="74" t="s">
        <v>369</v>
      </c>
      <c r="F2" s="35" t="s">
        <v>370</v>
      </c>
      <c r="G2" s="35" t="s">
        <v>371</v>
      </c>
      <c r="H2" s="35" t="s">
        <v>372</v>
      </c>
    </row>
    <row r="3" spans="1:11" s="74" customFormat="1" x14ac:dyDescent="0.2">
      <c r="A3" s="31"/>
      <c r="C3" s="75" t="s">
        <v>373</v>
      </c>
      <c r="D3" s="75"/>
      <c r="E3" s="74" t="s">
        <v>374</v>
      </c>
      <c r="F3" s="130" t="s">
        <v>375</v>
      </c>
      <c r="G3" s="77">
        <v>0.08</v>
      </c>
      <c r="H3" s="35">
        <v>1.08</v>
      </c>
    </row>
    <row r="4" spans="1:11" s="74" customFormat="1" x14ac:dyDescent="0.2">
      <c r="A4" s="31"/>
      <c r="C4" s="75" t="s">
        <v>376</v>
      </c>
      <c r="D4" s="75"/>
      <c r="E4" s="74" t="s">
        <v>377</v>
      </c>
      <c r="F4" s="131" t="s">
        <v>378</v>
      </c>
      <c r="G4" s="79">
        <v>6.5000000000000002E-2</v>
      </c>
      <c r="H4" s="35">
        <v>1.0649999999999999</v>
      </c>
    </row>
    <row r="5" spans="1:11" s="74" customFormat="1" x14ac:dyDescent="0.2">
      <c r="A5" s="31"/>
      <c r="C5" s="75"/>
      <c r="D5" s="75"/>
      <c r="F5" s="131" t="s">
        <v>379</v>
      </c>
      <c r="G5" s="77">
        <v>0.17911771919160485</v>
      </c>
      <c r="H5" s="35">
        <v>1.18</v>
      </c>
    </row>
    <row r="6" spans="1:11" s="74" customFormat="1" ht="15" x14ac:dyDescent="0.2">
      <c r="A6" s="31"/>
      <c r="C6" s="75" t="s">
        <v>380</v>
      </c>
      <c r="D6" s="75"/>
      <c r="E6" s="74" t="s">
        <v>381</v>
      </c>
      <c r="F6" s="131" t="s">
        <v>382</v>
      </c>
      <c r="G6" s="79">
        <v>0.03</v>
      </c>
      <c r="H6" s="43">
        <v>1.03</v>
      </c>
    </row>
    <row r="7" spans="1:11" s="74" customFormat="1" x14ac:dyDescent="0.2">
      <c r="A7" s="31"/>
      <c r="C7" s="75"/>
      <c r="D7" s="75"/>
      <c r="F7" s="131" t="s">
        <v>383</v>
      </c>
      <c r="G7" s="77">
        <v>0.15718608559050146</v>
      </c>
      <c r="H7" s="35">
        <v>1.1599999999999999</v>
      </c>
    </row>
    <row r="8" spans="1:11" s="74" customFormat="1" ht="15" x14ac:dyDescent="0.25">
      <c r="A8" s="31"/>
      <c r="C8" s="75"/>
      <c r="D8" s="75"/>
      <c r="F8" s="80"/>
      <c r="G8" s="81"/>
      <c r="K8" s="46"/>
    </row>
    <row r="9" spans="1:11" s="74" customFormat="1" x14ac:dyDescent="0.2">
      <c r="A9" s="31"/>
      <c r="B9" s="82"/>
      <c r="C9" s="47"/>
      <c r="D9" s="47" t="s">
        <v>384</v>
      </c>
      <c r="E9" s="47" t="s">
        <v>385</v>
      </c>
      <c r="F9" s="48" t="s">
        <v>386</v>
      </c>
      <c r="G9" s="83"/>
      <c r="I9" s="84" t="s">
        <v>387</v>
      </c>
    </row>
    <row r="10" spans="1:11" s="74" customFormat="1" x14ac:dyDescent="0.2">
      <c r="A10" s="31"/>
      <c r="B10" s="50" t="s">
        <v>388</v>
      </c>
      <c r="C10" s="51"/>
      <c r="D10" s="51">
        <f>'[2]2 все модули и цены'!E69</f>
        <v>4820</v>
      </c>
      <c r="E10" s="51"/>
      <c r="F10" s="52"/>
      <c r="G10" s="53"/>
    </row>
    <row r="11" spans="1:11" s="74" customFormat="1" x14ac:dyDescent="0.2">
      <c r="A11" s="31"/>
      <c r="B11" s="50" t="s">
        <v>430</v>
      </c>
      <c r="C11" s="51"/>
      <c r="D11" s="51">
        <f>'[2]комплекты фурнитуры'!Q20</f>
        <v>740</v>
      </c>
      <c r="E11" s="51">
        <v>1</v>
      </c>
      <c r="F11" s="52">
        <f>D11*E11</f>
        <v>740</v>
      </c>
      <c r="G11" s="53"/>
    </row>
    <row r="12" spans="1:11" s="74" customFormat="1" x14ac:dyDescent="0.2">
      <c r="A12" s="31"/>
      <c r="B12" s="50" t="s">
        <v>401</v>
      </c>
      <c r="C12" s="51"/>
      <c r="D12" s="51">
        <f>'[2]комплекты фурнитуры'!Q27</f>
        <v>270</v>
      </c>
      <c r="E12" s="51">
        <v>2</v>
      </c>
      <c r="F12" s="52">
        <f>D12*E12</f>
        <v>540</v>
      </c>
      <c r="G12" s="53"/>
    </row>
    <row r="13" spans="1:11" s="74" customFormat="1" x14ac:dyDescent="0.2">
      <c r="A13" s="31"/>
      <c r="B13" s="54" t="s">
        <v>436</v>
      </c>
      <c r="C13" s="51"/>
      <c r="D13" s="51">
        <f>'[2]комплекты фурнитуры'!Q68</f>
        <v>500</v>
      </c>
      <c r="E13" s="51">
        <v>3</v>
      </c>
      <c r="F13" s="52">
        <f>D13*E13</f>
        <v>1500</v>
      </c>
      <c r="G13" s="53"/>
    </row>
    <row r="14" spans="1:11" s="74" customFormat="1" x14ac:dyDescent="0.2">
      <c r="A14" s="31"/>
      <c r="B14" s="54" t="s">
        <v>403</v>
      </c>
      <c r="C14" s="51"/>
      <c r="D14" s="51">
        <f>'[2]комплекты фурнитуры'!Q69</f>
        <v>130</v>
      </c>
      <c r="E14" s="51">
        <v>3</v>
      </c>
      <c r="F14" s="52">
        <f>D14*E14</f>
        <v>390</v>
      </c>
      <c r="G14" s="53"/>
    </row>
    <row r="15" spans="1:11" s="74" customFormat="1" x14ac:dyDescent="0.2">
      <c r="A15" s="31"/>
      <c r="B15" s="132"/>
      <c r="C15" s="133"/>
      <c r="D15" s="133"/>
      <c r="E15" s="133" t="s">
        <v>391</v>
      </c>
      <c r="F15" s="133" t="s">
        <v>392</v>
      </c>
      <c r="G15" s="132" t="s">
        <v>393</v>
      </c>
    </row>
    <row r="16" spans="1:11" s="74" customFormat="1" ht="15" x14ac:dyDescent="0.2">
      <c r="A16" s="31">
        <v>1</v>
      </c>
      <c r="B16" s="134" t="s">
        <v>45</v>
      </c>
      <c r="C16" s="133">
        <v>600</v>
      </c>
      <c r="D16" s="135"/>
      <c r="E16" s="135">
        <f>D10+F11+F12+F13</f>
        <v>7600</v>
      </c>
      <c r="F16" s="135">
        <f>$D$10+$F$11+$F$12+F14</f>
        <v>6490</v>
      </c>
      <c r="G16" s="136"/>
      <c r="H16" s="90"/>
      <c r="I16" s="85"/>
      <c r="J16" s="43"/>
      <c r="K16" s="43"/>
    </row>
    <row r="17" spans="1:9" ht="15" x14ac:dyDescent="0.2">
      <c r="B17" s="94"/>
      <c r="C17" s="47"/>
      <c r="D17" s="47"/>
      <c r="E17" s="82"/>
      <c r="F17" s="95"/>
      <c r="G17" s="96"/>
      <c r="H17" s="97"/>
      <c r="I17" s="98"/>
    </row>
    <row r="18" spans="1:9" x14ac:dyDescent="0.2">
      <c r="B18" s="82"/>
      <c r="C18" s="47"/>
      <c r="D18" s="47" t="s">
        <v>384</v>
      </c>
      <c r="E18" s="47" t="s">
        <v>385</v>
      </c>
      <c r="F18" s="48" t="s">
        <v>386</v>
      </c>
      <c r="G18" s="83"/>
    </row>
    <row r="19" spans="1:9" x14ac:dyDescent="0.2">
      <c r="B19" s="50" t="s">
        <v>388</v>
      </c>
      <c r="C19" s="51"/>
      <c r="D19" s="51">
        <f>'[2]2 все модули и цены'!E70</f>
        <v>5205.6000000000004</v>
      </c>
      <c r="E19" s="51"/>
      <c r="F19" s="52"/>
      <c r="G19" s="53"/>
    </row>
    <row r="20" spans="1:9" x14ac:dyDescent="0.2">
      <c r="B20" s="50" t="s">
        <v>442</v>
      </c>
      <c r="C20" s="51"/>
      <c r="D20" s="51">
        <f>'[2]комплекты фурнитуры'!Q20</f>
        <v>740</v>
      </c>
      <c r="E20" s="51">
        <v>1</v>
      </c>
      <c r="F20" s="52">
        <f>D20*E20</f>
        <v>740</v>
      </c>
      <c r="G20" s="53"/>
    </row>
    <row r="21" spans="1:9" x14ac:dyDescent="0.2">
      <c r="B21" s="50" t="s">
        <v>401</v>
      </c>
      <c r="C21" s="51"/>
      <c r="D21" s="51">
        <f>'[2]комплекты фурнитуры'!Q27</f>
        <v>270</v>
      </c>
      <c r="E21" s="51">
        <v>2</v>
      </c>
      <c r="F21" s="52">
        <f>D21*E21</f>
        <v>540</v>
      </c>
      <c r="G21" s="53"/>
    </row>
    <row r="22" spans="1:9" x14ac:dyDescent="0.2">
      <c r="B22" s="54" t="s">
        <v>436</v>
      </c>
      <c r="C22" s="51"/>
      <c r="D22" s="51">
        <f>'[2]комплекты фурнитуры'!Q68</f>
        <v>500</v>
      </c>
      <c r="E22" s="51">
        <v>3</v>
      </c>
      <c r="F22" s="52">
        <f>D22*E22</f>
        <v>1500</v>
      </c>
      <c r="G22" s="53"/>
    </row>
    <row r="23" spans="1:9" x14ac:dyDescent="0.2">
      <c r="B23" s="54" t="s">
        <v>483</v>
      </c>
      <c r="C23" s="51"/>
      <c r="D23" s="51">
        <f>'[2]комплекты фурнитуры'!Q92</f>
        <v>290</v>
      </c>
      <c r="E23" s="51">
        <v>4</v>
      </c>
      <c r="F23" s="52">
        <f>D23*E23</f>
        <v>1160</v>
      </c>
      <c r="G23" s="53"/>
    </row>
    <row r="24" spans="1:9" x14ac:dyDescent="0.2">
      <c r="B24" s="311" t="s">
        <v>484</v>
      </c>
      <c r="C24" s="133"/>
      <c r="D24" s="133"/>
      <c r="E24" s="133" t="s">
        <v>391</v>
      </c>
      <c r="F24" s="133" t="s">
        <v>392</v>
      </c>
      <c r="G24" s="132" t="s">
        <v>393</v>
      </c>
    </row>
    <row r="25" spans="1:9" ht="15" x14ac:dyDescent="0.2">
      <c r="A25" s="137">
        <v>2</v>
      </c>
      <c r="B25" s="311"/>
      <c r="C25" s="133">
        <v>600</v>
      </c>
      <c r="D25" s="135"/>
      <c r="E25" s="135">
        <f>D19+F20+F21+F22+F23</f>
        <v>9145.6</v>
      </c>
      <c r="F25" s="135"/>
      <c r="G25" s="136"/>
    </row>
    <row r="27" spans="1:9" x14ac:dyDescent="0.2">
      <c r="B27" s="82"/>
      <c r="C27" s="47"/>
      <c r="D27" s="47" t="s">
        <v>384</v>
      </c>
      <c r="E27" s="47" t="s">
        <v>385</v>
      </c>
      <c r="F27" s="48" t="s">
        <v>386</v>
      </c>
      <c r="G27" s="83"/>
    </row>
    <row r="28" spans="1:9" x14ac:dyDescent="0.2">
      <c r="B28" s="50" t="s">
        <v>388</v>
      </c>
      <c r="C28" s="51"/>
      <c r="D28" s="51">
        <f>'[2]2 все модули и цены'!E72</f>
        <v>4820</v>
      </c>
      <c r="E28" s="51"/>
      <c r="F28" s="52"/>
      <c r="G28" s="53"/>
    </row>
    <row r="29" spans="1:9" x14ac:dyDescent="0.2">
      <c r="B29" s="50" t="s">
        <v>430</v>
      </c>
      <c r="C29" s="51"/>
      <c r="D29" s="51">
        <f>'[2]комплекты фурнитуры'!Q24</f>
        <v>750</v>
      </c>
      <c r="E29" s="51">
        <v>1</v>
      </c>
      <c r="F29" s="52">
        <f>D29*E29</f>
        <v>750</v>
      </c>
      <c r="G29" s="53"/>
    </row>
    <row r="30" spans="1:9" x14ac:dyDescent="0.2">
      <c r="B30" s="50" t="s">
        <v>401</v>
      </c>
      <c r="C30" s="51"/>
      <c r="D30" s="51">
        <f>'[2]комплекты фурнитуры'!Q27</f>
        <v>270</v>
      </c>
      <c r="E30" s="51">
        <v>2</v>
      </c>
      <c r="F30" s="52">
        <f>D30*E30</f>
        <v>540</v>
      </c>
      <c r="G30" s="53"/>
    </row>
    <row r="31" spans="1:9" x14ac:dyDescent="0.2">
      <c r="B31" s="54" t="s">
        <v>436</v>
      </c>
      <c r="C31" s="51"/>
      <c r="D31" s="51">
        <f>'[2]комплекты фурнитуры'!Q68</f>
        <v>500</v>
      </c>
      <c r="E31" s="51">
        <v>2</v>
      </c>
      <c r="F31" s="52">
        <f>D31*E31</f>
        <v>1000</v>
      </c>
      <c r="G31" s="53"/>
    </row>
    <row r="32" spans="1:9" x14ac:dyDescent="0.2">
      <c r="B32" s="54" t="s">
        <v>403</v>
      </c>
      <c r="C32" s="51"/>
      <c r="D32" s="51">
        <f>'[2]комплекты фурнитуры'!Q69</f>
        <v>130</v>
      </c>
      <c r="E32" s="51">
        <v>2</v>
      </c>
      <c r="F32" s="52">
        <f>D32*E32</f>
        <v>260</v>
      </c>
      <c r="G32" s="53"/>
    </row>
    <row r="33" spans="1:8" x14ac:dyDescent="0.2">
      <c r="B33" s="132"/>
      <c r="C33" s="133"/>
      <c r="D33" s="133"/>
      <c r="E33" s="133" t="s">
        <v>391</v>
      </c>
      <c r="F33" s="133" t="s">
        <v>392</v>
      </c>
      <c r="G33" s="132" t="s">
        <v>485</v>
      </c>
    </row>
    <row r="34" spans="1:8" ht="15" x14ac:dyDescent="0.2">
      <c r="A34" s="31">
        <v>3</v>
      </c>
      <c r="B34" s="312" t="s">
        <v>47</v>
      </c>
      <c r="C34" s="133">
        <v>600</v>
      </c>
      <c r="D34" s="138">
        <v>1187</v>
      </c>
      <c r="E34" s="135">
        <f>(D28-((($D$28*$H$3-$D$28)/100)*$G34))+F29+F30+F31</f>
        <v>6608.7199999999993</v>
      </c>
      <c r="F34" s="135">
        <f>(D28-((($D$28*$H$3-$D$28)/100)*$G34))+F29+F30+F32</f>
        <v>5868.7199999999993</v>
      </c>
      <c r="G34" s="136">
        <v>130</v>
      </c>
    </row>
    <row r="35" spans="1:8" ht="15" x14ac:dyDescent="0.2">
      <c r="B35" s="312"/>
      <c r="C35" s="133">
        <v>600</v>
      </c>
      <c r="D35" s="138">
        <v>1320</v>
      </c>
      <c r="E35" s="135">
        <f>D28+F29+F30+F31</f>
        <v>7110</v>
      </c>
      <c r="F35" s="135">
        <f>D28+F29+F30+F32</f>
        <v>6370</v>
      </c>
      <c r="G35" s="136"/>
    </row>
    <row r="37" spans="1:8" x14ac:dyDescent="0.2">
      <c r="B37" s="82"/>
      <c r="C37" s="47"/>
      <c r="D37" s="47" t="s">
        <v>384</v>
      </c>
      <c r="E37" s="47" t="s">
        <v>385</v>
      </c>
      <c r="F37" s="48" t="s">
        <v>386</v>
      </c>
      <c r="G37" s="83"/>
    </row>
    <row r="38" spans="1:8" x14ac:dyDescent="0.2">
      <c r="B38" s="50" t="s">
        <v>388</v>
      </c>
      <c r="C38" s="51"/>
      <c r="D38" s="51">
        <f>'[2]2 все модули и цены'!E74</f>
        <v>5170</v>
      </c>
      <c r="E38" s="51"/>
      <c r="F38" s="52"/>
      <c r="G38" s="53"/>
    </row>
    <row r="39" spans="1:8" x14ac:dyDescent="0.2">
      <c r="B39" s="50" t="s">
        <v>430</v>
      </c>
      <c r="C39" s="51"/>
      <c r="D39" s="51">
        <f>'[2]комплекты фурнитуры'!Q20</f>
        <v>740</v>
      </c>
      <c r="E39" s="51">
        <v>1</v>
      </c>
      <c r="F39" s="52">
        <f t="shared" ref="F39:F44" si="0">D39*E39</f>
        <v>740</v>
      </c>
      <c r="G39" s="53"/>
    </row>
    <row r="40" spans="1:8" x14ac:dyDescent="0.2">
      <c r="B40" s="50" t="s">
        <v>401</v>
      </c>
      <c r="C40" s="51"/>
      <c r="D40" s="51">
        <f>'[2]комплекты фурнитуры'!Q27</f>
        <v>270</v>
      </c>
      <c r="E40" s="51">
        <v>2</v>
      </c>
      <c r="F40" s="52">
        <f t="shared" si="0"/>
        <v>540</v>
      </c>
      <c r="G40" s="53"/>
    </row>
    <row r="41" spans="1:8" x14ac:dyDescent="0.2">
      <c r="B41" s="50" t="s">
        <v>486</v>
      </c>
      <c r="C41" s="51"/>
      <c r="D41" s="51">
        <f>'[2]комплекты фурнитуры'!Q30</f>
        <v>5810</v>
      </c>
      <c r="E41" s="51">
        <v>1</v>
      </c>
      <c r="F41" s="52">
        <f t="shared" si="0"/>
        <v>5810</v>
      </c>
      <c r="G41" s="53"/>
    </row>
    <row r="42" spans="1:8" x14ac:dyDescent="0.2">
      <c r="B42" s="54" t="s">
        <v>427</v>
      </c>
      <c r="C42" s="51"/>
      <c r="D42" s="51">
        <f>'[2]комплекты фурнитуры'!Q33</f>
        <v>940</v>
      </c>
      <c r="E42" s="51">
        <v>1</v>
      </c>
      <c r="F42" s="52">
        <f t="shared" si="0"/>
        <v>940</v>
      </c>
      <c r="G42" s="53"/>
    </row>
    <row r="43" spans="1:8" x14ac:dyDescent="0.2">
      <c r="B43" s="54" t="s">
        <v>422</v>
      </c>
      <c r="C43" s="51"/>
      <c r="D43" s="51">
        <f>'[2]комплекты фурнитуры'!Q35</f>
        <v>170</v>
      </c>
      <c r="E43" s="51">
        <v>1</v>
      </c>
      <c r="F43" s="52">
        <f t="shared" si="0"/>
        <v>170</v>
      </c>
      <c r="G43" s="53"/>
    </row>
    <row r="44" spans="1:8" x14ac:dyDescent="0.2">
      <c r="B44" s="54" t="s">
        <v>487</v>
      </c>
      <c r="C44" s="51"/>
      <c r="D44" s="51">
        <f>'[2]комплекты фурнитуры'!Q36</f>
        <v>5040</v>
      </c>
      <c r="E44" s="51">
        <v>1</v>
      </c>
      <c r="F44" s="52">
        <f t="shared" si="0"/>
        <v>5040</v>
      </c>
      <c r="G44" s="53"/>
    </row>
    <row r="45" spans="1:8" x14ac:dyDescent="0.2">
      <c r="B45" s="132"/>
      <c r="C45" s="133"/>
      <c r="D45" s="133"/>
      <c r="E45" s="133" t="s">
        <v>391</v>
      </c>
      <c r="F45" s="133" t="s">
        <v>392</v>
      </c>
      <c r="G45" s="133" t="s">
        <v>488</v>
      </c>
      <c r="H45" s="132" t="s">
        <v>485</v>
      </c>
    </row>
    <row r="46" spans="1:8" ht="15" x14ac:dyDescent="0.2">
      <c r="A46" s="31">
        <v>4</v>
      </c>
      <c r="B46" s="134" t="s">
        <v>48</v>
      </c>
      <c r="C46" s="133">
        <v>600</v>
      </c>
      <c r="D46" s="138">
        <v>760</v>
      </c>
      <c r="E46" s="135">
        <f>(D38-((($D$38*$H$3-$D$38)/100)*$H46))+F39+F40+F41</f>
        <v>9943.8399999999983</v>
      </c>
      <c r="F46" s="135">
        <f>(D38-((($D$38*$H$3-$D$38)/100)*$H46))+F39+F40+F42+F43</f>
        <v>5243.8399999999983</v>
      </c>
      <c r="G46" s="135">
        <f>(D38-((($D$38*$H$3-$D$38)/100)*$H46))+F39+F40+F44</f>
        <v>9173.8399999999983</v>
      </c>
      <c r="H46" s="136">
        <v>560</v>
      </c>
    </row>
    <row r="48" spans="1:8" x14ac:dyDescent="0.2">
      <c r="B48" s="82"/>
      <c r="C48" s="47"/>
      <c r="D48" s="47" t="s">
        <v>384</v>
      </c>
      <c r="E48" s="47" t="s">
        <v>385</v>
      </c>
      <c r="F48" s="48" t="s">
        <v>386</v>
      </c>
      <c r="G48" s="83"/>
    </row>
    <row r="49" spans="1:8" x14ac:dyDescent="0.2">
      <c r="B49" s="50" t="s">
        <v>388</v>
      </c>
      <c r="C49" s="51"/>
      <c r="D49" s="51">
        <f>'[2]2 все модули и цены'!E75</f>
        <v>5170</v>
      </c>
      <c r="E49" s="51"/>
      <c r="F49" s="52"/>
      <c r="G49" s="53"/>
    </row>
    <row r="50" spans="1:8" x14ac:dyDescent="0.2">
      <c r="B50" s="50" t="s">
        <v>489</v>
      </c>
      <c r="C50" s="51"/>
      <c r="D50" s="51">
        <f>'[2]комплекты фурнитуры'!Q21</f>
        <v>930</v>
      </c>
      <c r="E50" s="51">
        <v>1</v>
      </c>
      <c r="F50" s="52">
        <f t="shared" ref="F50:F55" si="1">D50*E50</f>
        <v>930</v>
      </c>
      <c r="G50" s="53"/>
    </row>
    <row r="51" spans="1:8" x14ac:dyDescent="0.2">
      <c r="B51" s="50" t="s">
        <v>401</v>
      </c>
      <c r="C51" s="51"/>
      <c r="D51" s="51">
        <f>'[2]комплекты фурнитуры'!Q27</f>
        <v>270</v>
      </c>
      <c r="E51" s="51">
        <v>2</v>
      </c>
      <c r="F51" s="52">
        <f t="shared" si="1"/>
        <v>540</v>
      </c>
      <c r="G51" s="53"/>
    </row>
    <row r="52" spans="1:8" x14ac:dyDescent="0.2">
      <c r="B52" s="50" t="s">
        <v>486</v>
      </c>
      <c r="C52" s="51"/>
      <c r="D52" s="51">
        <f>'[2]комплекты фурнитуры'!Q30</f>
        <v>5810</v>
      </c>
      <c r="E52" s="51">
        <v>1</v>
      </c>
      <c r="F52" s="52">
        <f t="shared" si="1"/>
        <v>5810</v>
      </c>
      <c r="G52" s="53"/>
    </row>
    <row r="53" spans="1:8" x14ac:dyDescent="0.2">
      <c r="B53" s="54" t="s">
        <v>487</v>
      </c>
      <c r="C53" s="51"/>
      <c r="D53" s="51">
        <f>'[2]комплекты фурнитуры'!Q36</f>
        <v>5040</v>
      </c>
      <c r="E53" s="51">
        <v>1</v>
      </c>
      <c r="F53" s="52">
        <f t="shared" si="1"/>
        <v>5040</v>
      </c>
      <c r="G53" s="53"/>
    </row>
    <row r="54" spans="1:8" x14ac:dyDescent="0.2">
      <c r="B54" s="54" t="s">
        <v>427</v>
      </c>
      <c r="C54" s="51"/>
      <c r="D54" s="51">
        <f>'[2]комплекты фурнитуры'!Q33</f>
        <v>940</v>
      </c>
      <c r="E54" s="51">
        <v>1</v>
      </c>
      <c r="F54" s="52">
        <f t="shared" si="1"/>
        <v>940</v>
      </c>
      <c r="G54" s="53"/>
    </row>
    <row r="55" spans="1:8" x14ac:dyDescent="0.2">
      <c r="B55" s="54" t="s">
        <v>422</v>
      </c>
      <c r="C55" s="51"/>
      <c r="D55" s="51">
        <f>'[2]комплекты фурнитуры'!Q35</f>
        <v>170</v>
      </c>
      <c r="E55" s="51">
        <v>1</v>
      </c>
      <c r="F55" s="52">
        <f t="shared" si="1"/>
        <v>170</v>
      </c>
      <c r="G55" s="53"/>
    </row>
    <row r="56" spans="1:8" x14ac:dyDescent="0.2">
      <c r="B56" s="132"/>
      <c r="C56" s="133"/>
      <c r="D56" s="133"/>
      <c r="E56" s="133" t="s">
        <v>391</v>
      </c>
      <c r="F56" s="133" t="s">
        <v>392</v>
      </c>
      <c r="G56" s="133" t="s">
        <v>488</v>
      </c>
      <c r="H56" s="132" t="s">
        <v>485</v>
      </c>
    </row>
    <row r="57" spans="1:8" ht="15" x14ac:dyDescent="0.2">
      <c r="A57" s="31">
        <v>5</v>
      </c>
      <c r="B57" s="134" t="s">
        <v>490</v>
      </c>
      <c r="C57" s="133">
        <v>600</v>
      </c>
      <c r="D57" s="138">
        <v>1360</v>
      </c>
      <c r="E57" s="135">
        <f>(((($D$49*$H$3-$D$49)/100)*$H57)+D49)+F50+F51+F52</f>
        <v>12615.44</v>
      </c>
      <c r="F57" s="135">
        <f>(((($D$49*$H$3-$D$49)/100)*$H57)+D49)+F50+F51+F54+F55</f>
        <v>7915.4400000000005</v>
      </c>
      <c r="G57" s="135">
        <f>(((($D$49*$H$3-$D$49)/100)*$H57)+D49)+F50+F51+F53</f>
        <v>11845.44</v>
      </c>
      <c r="H57" s="136">
        <v>40</v>
      </c>
    </row>
    <row r="59" spans="1:8" x14ac:dyDescent="0.2">
      <c r="B59" s="82"/>
      <c r="C59" s="47"/>
      <c r="D59" s="47" t="s">
        <v>384</v>
      </c>
      <c r="E59" s="47" t="s">
        <v>385</v>
      </c>
      <c r="F59" s="48" t="s">
        <v>386</v>
      </c>
      <c r="G59" s="83"/>
    </row>
    <row r="60" spans="1:8" x14ac:dyDescent="0.2">
      <c r="B60" s="50" t="s">
        <v>388</v>
      </c>
      <c r="C60" s="51"/>
      <c r="D60" s="51">
        <f>'[2]2 все модули и цены'!E73</f>
        <v>5170</v>
      </c>
      <c r="E60" s="51"/>
      <c r="F60" s="52"/>
      <c r="G60" s="53"/>
    </row>
    <row r="61" spans="1:8" x14ac:dyDescent="0.2">
      <c r="B61" s="50" t="s">
        <v>489</v>
      </c>
      <c r="C61" s="51"/>
      <c r="D61" s="51">
        <f>'[2]комплекты фурнитуры'!Q20</f>
        <v>740</v>
      </c>
      <c r="E61" s="51">
        <v>1</v>
      </c>
      <c r="F61" s="52">
        <f t="shared" ref="F61:F66" si="2">D61*E61</f>
        <v>740</v>
      </c>
      <c r="G61" s="53"/>
    </row>
    <row r="62" spans="1:8" x14ac:dyDescent="0.2">
      <c r="B62" s="50" t="s">
        <v>401</v>
      </c>
      <c r="C62" s="51"/>
      <c r="D62" s="51">
        <f>'[2]комплекты фурнитуры'!Q27</f>
        <v>270</v>
      </c>
      <c r="E62" s="51">
        <v>2</v>
      </c>
      <c r="F62" s="52">
        <f t="shared" si="2"/>
        <v>540</v>
      </c>
      <c r="G62" s="53"/>
    </row>
    <row r="63" spans="1:8" x14ac:dyDescent="0.2">
      <c r="B63" s="50" t="s">
        <v>486</v>
      </c>
      <c r="C63" s="51"/>
      <c r="D63" s="51">
        <f>'[2]комплекты фурнитуры'!Q30</f>
        <v>5810</v>
      </c>
      <c r="E63" s="51">
        <v>2</v>
      </c>
      <c r="F63" s="52">
        <f t="shared" si="2"/>
        <v>11620</v>
      </c>
      <c r="G63" s="53"/>
    </row>
    <row r="64" spans="1:8" x14ac:dyDescent="0.2">
      <c r="B64" s="54" t="s">
        <v>487</v>
      </c>
      <c r="C64" s="51"/>
      <c r="D64" s="51">
        <f>'[2]комплекты фурнитуры'!Q36</f>
        <v>5040</v>
      </c>
      <c r="E64" s="51">
        <v>2</v>
      </c>
      <c r="F64" s="52">
        <f t="shared" si="2"/>
        <v>10080</v>
      </c>
      <c r="G64" s="53"/>
    </row>
    <row r="65" spans="1:8" x14ac:dyDescent="0.2">
      <c r="B65" s="54" t="s">
        <v>427</v>
      </c>
      <c r="C65" s="51"/>
      <c r="D65" s="51">
        <f>'[2]комплекты фурнитуры'!Q33</f>
        <v>940</v>
      </c>
      <c r="E65" s="51">
        <v>2</v>
      </c>
      <c r="F65" s="52">
        <f t="shared" si="2"/>
        <v>1880</v>
      </c>
      <c r="G65" s="53"/>
    </row>
    <row r="66" spans="1:8" x14ac:dyDescent="0.2">
      <c r="B66" s="54" t="s">
        <v>422</v>
      </c>
      <c r="C66" s="51"/>
      <c r="D66" s="51">
        <f>'[2]комплекты фурнитуры'!Q35</f>
        <v>170</v>
      </c>
      <c r="E66" s="51">
        <v>2</v>
      </c>
      <c r="F66" s="52">
        <f t="shared" si="2"/>
        <v>340</v>
      </c>
      <c r="G66" s="53"/>
    </row>
    <row r="67" spans="1:8" x14ac:dyDescent="0.2">
      <c r="B67" s="132"/>
      <c r="C67" s="133"/>
      <c r="D67" s="133"/>
      <c r="E67" s="133" t="s">
        <v>391</v>
      </c>
      <c r="F67" s="133" t="s">
        <v>392</v>
      </c>
      <c r="G67" s="133" t="s">
        <v>488</v>
      </c>
      <c r="H67" s="132" t="s">
        <v>485</v>
      </c>
    </row>
    <row r="68" spans="1:8" ht="15" x14ac:dyDescent="0.2">
      <c r="A68" s="31">
        <v>6</v>
      </c>
      <c r="B68" s="134" t="s">
        <v>491</v>
      </c>
      <c r="C68" s="133">
        <v>600</v>
      </c>
      <c r="D68" s="138">
        <v>1187</v>
      </c>
      <c r="E68" s="135">
        <f>(D60-((($D$60*$H$3-$D$60)/100)*$H68))+F63+F61+F62</f>
        <v>17532.32</v>
      </c>
      <c r="F68" s="135">
        <f>(D60-((($D$60*$H$3-$D$60)/100)*$H68))+F61+F62+F65+F66</f>
        <v>8132.32</v>
      </c>
      <c r="G68" s="135">
        <f>(D60-((($D$60*$H$3-$D$60)/100)*$H68))+F61+F62+F64</f>
        <v>15992.32</v>
      </c>
      <c r="H68" s="136">
        <v>130</v>
      </c>
    </row>
    <row r="69" spans="1:8" ht="15" x14ac:dyDescent="0.2">
      <c r="B69" s="139"/>
      <c r="C69" s="133">
        <v>600</v>
      </c>
      <c r="D69" s="138">
        <v>1320</v>
      </c>
      <c r="E69" s="135">
        <f>D60+F61+F62+F63</f>
        <v>18070</v>
      </c>
      <c r="F69" s="135">
        <f>D60+F61+F62+F65+F66</f>
        <v>8670</v>
      </c>
      <c r="G69" s="135">
        <f>D60+F61+F62+F64</f>
        <v>16530</v>
      </c>
      <c r="H69" s="136"/>
    </row>
    <row r="71" spans="1:8" x14ac:dyDescent="0.2">
      <c r="B71" s="82"/>
      <c r="C71" s="47"/>
      <c r="D71" s="47" t="s">
        <v>384</v>
      </c>
      <c r="E71" s="47" t="s">
        <v>385</v>
      </c>
      <c r="F71" s="48" t="s">
        <v>386</v>
      </c>
      <c r="G71" s="83"/>
    </row>
    <row r="72" spans="1:8" x14ac:dyDescent="0.2">
      <c r="B72" s="50" t="s">
        <v>388</v>
      </c>
      <c r="C72" s="51"/>
      <c r="D72" s="51">
        <f>'[2]2 все модули и цены'!E76</f>
        <v>6460</v>
      </c>
      <c r="E72" s="51"/>
      <c r="F72" s="52"/>
      <c r="G72" s="53"/>
    </row>
    <row r="73" spans="1:8" x14ac:dyDescent="0.2">
      <c r="B73" s="50" t="s">
        <v>430</v>
      </c>
      <c r="C73" s="51"/>
      <c r="D73" s="51">
        <f>'[2]комплекты фурнитуры'!Q20</f>
        <v>740</v>
      </c>
      <c r="E73" s="51">
        <v>1</v>
      </c>
      <c r="F73" s="52">
        <f>D73*E73</f>
        <v>740</v>
      </c>
      <c r="G73" s="53"/>
    </row>
    <row r="74" spans="1:8" x14ac:dyDescent="0.2">
      <c r="B74" s="50" t="s">
        <v>401</v>
      </c>
      <c r="C74" s="51"/>
      <c r="D74" s="51">
        <f>'[2]комплекты фурнитуры'!Q27</f>
        <v>270</v>
      </c>
      <c r="E74" s="51">
        <v>2</v>
      </c>
      <c r="F74" s="52">
        <f>D74*E74</f>
        <v>540</v>
      </c>
      <c r="G74" s="53"/>
    </row>
    <row r="75" spans="1:8" x14ac:dyDescent="0.2">
      <c r="B75" s="50" t="s">
        <v>436</v>
      </c>
      <c r="C75" s="51"/>
      <c r="D75" s="51">
        <f>'[2]комплекты фурнитуры'!Q68</f>
        <v>500</v>
      </c>
      <c r="E75" s="51">
        <v>5</v>
      </c>
      <c r="F75" s="52">
        <f>D75*E75</f>
        <v>2500</v>
      </c>
      <c r="G75" s="53"/>
    </row>
    <row r="76" spans="1:8" x14ac:dyDescent="0.2">
      <c r="B76" s="54" t="s">
        <v>403</v>
      </c>
      <c r="C76" s="51"/>
      <c r="D76" s="51">
        <f>'[2]комплекты фурнитуры'!Q69</f>
        <v>130</v>
      </c>
      <c r="E76" s="51">
        <v>5</v>
      </c>
      <c r="F76" s="52">
        <f>D76*E76</f>
        <v>650</v>
      </c>
      <c r="G76" s="53"/>
    </row>
    <row r="77" spans="1:8" x14ac:dyDescent="0.2">
      <c r="B77" s="132"/>
      <c r="C77" s="133"/>
      <c r="D77" s="133"/>
      <c r="E77" s="133" t="s">
        <v>391</v>
      </c>
      <c r="F77" s="133" t="s">
        <v>392</v>
      </c>
      <c r="G77" s="132" t="s">
        <v>485</v>
      </c>
    </row>
    <row r="78" spans="1:8" ht="15" x14ac:dyDescent="0.2">
      <c r="A78" s="31">
        <v>7</v>
      </c>
      <c r="B78" s="134" t="s">
        <v>49</v>
      </c>
      <c r="C78" s="133">
        <v>600</v>
      </c>
      <c r="D78" s="138">
        <v>2040</v>
      </c>
      <c r="E78" s="135">
        <f>(((($D$72*$H$3-$D$72)/100)*$G78)+D72)+F73+F74+F75</f>
        <v>10240</v>
      </c>
      <c r="F78" s="135">
        <f>(((($D$72*$H$3-$D$72)/100)*$G78)+D72)+F73+F74+F76</f>
        <v>8390</v>
      </c>
      <c r="G78" s="136"/>
    </row>
    <row r="79" spans="1:8" ht="15" x14ac:dyDescent="0.2">
      <c r="B79" s="139"/>
      <c r="C79" s="133">
        <v>600</v>
      </c>
      <c r="D79" s="138">
        <v>2280</v>
      </c>
      <c r="E79" s="135">
        <f>(((($D$72*$H$3-$D$72)/100)*$G79)+D72)+F73+F74+F75+D75</f>
        <v>11980.32</v>
      </c>
      <c r="F79" s="135">
        <f>(((($D$72*$H$3-$D$72)/100)*$G79)+D72)+F73+F74+F76+D76</f>
        <v>9760.32</v>
      </c>
      <c r="G79" s="136">
        <v>240</v>
      </c>
    </row>
    <row r="81" spans="1:7" x14ac:dyDescent="0.2">
      <c r="B81" s="82"/>
      <c r="C81" s="47"/>
      <c r="D81" s="47" t="s">
        <v>384</v>
      </c>
      <c r="E81" s="47" t="s">
        <v>385</v>
      </c>
      <c r="F81" s="48" t="s">
        <v>386</v>
      </c>
      <c r="G81" s="83"/>
    </row>
    <row r="82" spans="1:7" x14ac:dyDescent="0.2">
      <c r="B82" s="50" t="s">
        <v>388</v>
      </c>
      <c r="C82" s="51"/>
      <c r="D82" s="51">
        <f>'[2]2 все модули и цены'!E77</f>
        <v>6976.8</v>
      </c>
      <c r="E82" s="51"/>
      <c r="F82" s="52"/>
      <c r="G82" s="53"/>
    </row>
    <row r="83" spans="1:7" x14ac:dyDescent="0.2">
      <c r="B83" s="50" t="s">
        <v>442</v>
      </c>
      <c r="C83" s="51"/>
      <c r="D83" s="51">
        <f>'[2]комплекты фурнитуры'!Q20</f>
        <v>740</v>
      </c>
      <c r="E83" s="51">
        <v>1</v>
      </c>
      <c r="F83" s="52">
        <f>D83*E83</f>
        <v>740</v>
      </c>
      <c r="G83" s="53"/>
    </row>
    <row r="84" spans="1:7" x14ac:dyDescent="0.2">
      <c r="B84" s="50" t="s">
        <v>401</v>
      </c>
      <c r="C84" s="51"/>
      <c r="D84" s="51">
        <f>'[2]комплекты фурнитуры'!Q27</f>
        <v>270</v>
      </c>
      <c r="E84" s="51">
        <v>2</v>
      </c>
      <c r="F84" s="52">
        <f>D84*E84</f>
        <v>540</v>
      </c>
      <c r="G84" s="53"/>
    </row>
    <row r="85" spans="1:7" x14ac:dyDescent="0.2">
      <c r="B85" s="50" t="s">
        <v>436</v>
      </c>
      <c r="C85" s="51"/>
      <c r="D85" s="51">
        <f>'[2]комплекты фурнитуры'!Q68</f>
        <v>500</v>
      </c>
      <c r="E85" s="51">
        <v>5</v>
      </c>
      <c r="F85" s="52">
        <f>D85*E85</f>
        <v>2500</v>
      </c>
      <c r="G85" s="53"/>
    </row>
    <row r="86" spans="1:7" x14ac:dyDescent="0.2">
      <c r="B86" s="140" t="s">
        <v>483</v>
      </c>
      <c r="C86" s="51"/>
      <c r="D86" s="51">
        <f>'[2]комплекты фурнитуры'!Q92</f>
        <v>290</v>
      </c>
      <c r="E86" s="51">
        <v>4</v>
      </c>
      <c r="F86" s="52">
        <f>D86*E86</f>
        <v>1160</v>
      </c>
      <c r="G86" s="53"/>
    </row>
    <row r="87" spans="1:7" x14ac:dyDescent="0.2">
      <c r="B87" s="311" t="s">
        <v>492</v>
      </c>
      <c r="C87" s="133"/>
      <c r="D87" s="133"/>
      <c r="E87" s="133" t="s">
        <v>391</v>
      </c>
      <c r="F87" s="133"/>
      <c r="G87" s="132" t="s">
        <v>485</v>
      </c>
    </row>
    <row r="88" spans="1:7" ht="15" x14ac:dyDescent="0.2">
      <c r="A88" s="137">
        <v>8</v>
      </c>
      <c r="B88" s="311"/>
      <c r="C88" s="133">
        <v>600</v>
      </c>
      <c r="D88" s="138">
        <v>2040</v>
      </c>
      <c r="E88" s="135">
        <f>((((D82*$H$3-D82)/100)*$G88)+D82)+F83+F84+F85+F86</f>
        <v>11916.8</v>
      </c>
      <c r="F88" s="135"/>
      <c r="G88" s="136"/>
    </row>
    <row r="89" spans="1:7" ht="15" x14ac:dyDescent="0.2">
      <c r="B89" s="311"/>
      <c r="C89" s="133">
        <v>600</v>
      </c>
      <c r="D89" s="138">
        <v>2280</v>
      </c>
      <c r="E89" s="135">
        <f>((((D82*$H$3-D82)/100)*$G89)+D82)+F83+F84+F85+D85+F86</f>
        <v>13756.345600000001</v>
      </c>
      <c r="F89" s="135"/>
      <c r="G89" s="136">
        <v>240</v>
      </c>
    </row>
    <row r="91" spans="1:7" x14ac:dyDescent="0.2">
      <c r="B91" s="82"/>
      <c r="C91" s="47"/>
      <c r="D91" s="47" t="s">
        <v>384</v>
      </c>
      <c r="E91" s="47" t="s">
        <v>385</v>
      </c>
      <c r="F91" s="48" t="s">
        <v>386</v>
      </c>
      <c r="G91" s="83"/>
    </row>
    <row r="92" spans="1:7" x14ac:dyDescent="0.2">
      <c r="B92" s="50" t="s">
        <v>388</v>
      </c>
      <c r="C92" s="51"/>
      <c r="D92" s="51">
        <f>'[2]2 все модули и цены'!E79</f>
        <v>5290</v>
      </c>
      <c r="E92" s="51"/>
      <c r="F92" s="52"/>
      <c r="G92" s="53"/>
    </row>
    <row r="93" spans="1:7" x14ac:dyDescent="0.2">
      <c r="B93" s="50" t="s">
        <v>489</v>
      </c>
      <c r="C93" s="51"/>
      <c r="D93" s="51">
        <f>'[2]комплекты фурнитуры'!Q21</f>
        <v>930</v>
      </c>
      <c r="E93" s="51">
        <v>1</v>
      </c>
      <c r="F93" s="52">
        <f>D93*E93</f>
        <v>930</v>
      </c>
      <c r="G93" s="53"/>
    </row>
    <row r="94" spans="1:7" x14ac:dyDescent="0.2">
      <c r="B94" s="50" t="s">
        <v>401</v>
      </c>
      <c r="C94" s="51"/>
      <c r="D94" s="51">
        <f>'[2]комплекты фурнитуры'!Q27</f>
        <v>270</v>
      </c>
      <c r="E94" s="51">
        <v>2</v>
      </c>
      <c r="F94" s="52">
        <f>D94*E94</f>
        <v>540</v>
      </c>
      <c r="G94" s="53"/>
    </row>
    <row r="95" spans="1:7" x14ac:dyDescent="0.2">
      <c r="B95" s="50" t="s">
        <v>436</v>
      </c>
      <c r="C95" s="51"/>
      <c r="D95" s="51">
        <f>'[2]комплекты фурнитуры'!Q68</f>
        <v>500</v>
      </c>
      <c r="E95" s="51">
        <v>5</v>
      </c>
      <c r="F95" s="52">
        <f>D95*E95</f>
        <v>2500</v>
      </c>
      <c r="G95" s="53"/>
    </row>
    <row r="96" spans="1:7" x14ac:dyDescent="0.2">
      <c r="B96" s="54" t="s">
        <v>403</v>
      </c>
      <c r="C96" s="51"/>
      <c r="D96" s="51">
        <f>'[2]комплекты фурнитуры'!Q69</f>
        <v>130</v>
      </c>
      <c r="E96" s="51">
        <v>5</v>
      </c>
      <c r="F96" s="52">
        <f>D96*E96</f>
        <v>650</v>
      </c>
      <c r="G96" s="53"/>
    </row>
    <row r="97" spans="1:7" x14ac:dyDescent="0.2">
      <c r="B97" s="311" t="s">
        <v>50</v>
      </c>
      <c r="C97" s="133"/>
      <c r="D97" s="133"/>
      <c r="E97" s="133" t="s">
        <v>391</v>
      </c>
      <c r="F97" s="133"/>
      <c r="G97" s="132" t="s">
        <v>485</v>
      </c>
    </row>
    <row r="98" spans="1:7" ht="15" x14ac:dyDescent="0.2">
      <c r="A98" s="137">
        <v>9</v>
      </c>
      <c r="B98" s="311"/>
      <c r="C98" s="133">
        <v>600</v>
      </c>
      <c r="D98" s="138">
        <v>2040</v>
      </c>
      <c r="E98" s="135">
        <f>((((D92*$H$3-D92)/100)*$G98)+D92)+F93+F94+F95</f>
        <v>9260</v>
      </c>
      <c r="F98" s="135">
        <f>((((D92*$H$3-D92)/100)*$G98)+D92)+F93+F94+F96</f>
        <v>7410</v>
      </c>
      <c r="G98" s="136"/>
    </row>
    <row r="99" spans="1:7" ht="15" x14ac:dyDescent="0.2">
      <c r="B99" s="311"/>
      <c r="C99" s="133">
        <v>600</v>
      </c>
      <c r="D99" s="138">
        <v>2280</v>
      </c>
      <c r="E99" s="135">
        <f>((((D92*$H$3-D92)/100)*$G99)+D92)+F93+F94+F95+D95</f>
        <v>10775.680000000002</v>
      </c>
      <c r="F99" s="135">
        <f>((((D92*$H$3-D92)/100)*$G99)+D92)+F93+F94+F96+D96</f>
        <v>8555.6800000000021</v>
      </c>
      <c r="G99" s="136">
        <v>240</v>
      </c>
    </row>
    <row r="101" spans="1:7" x14ac:dyDescent="0.2">
      <c r="B101" s="82"/>
      <c r="C101" s="47"/>
      <c r="D101" s="47" t="s">
        <v>384</v>
      </c>
      <c r="E101" s="47" t="s">
        <v>385</v>
      </c>
      <c r="F101" s="48" t="s">
        <v>386</v>
      </c>
      <c r="G101" s="83"/>
    </row>
    <row r="102" spans="1:7" x14ac:dyDescent="0.2">
      <c r="B102" s="50" t="s">
        <v>388</v>
      </c>
      <c r="C102" s="51"/>
      <c r="D102" s="51">
        <f>'[2]2 все модули и цены'!E80</f>
        <v>5713.2000000000007</v>
      </c>
      <c r="E102" s="51"/>
      <c r="F102" s="52"/>
      <c r="G102" s="53"/>
    </row>
    <row r="103" spans="1:7" x14ac:dyDescent="0.2">
      <c r="B103" s="50" t="s">
        <v>489</v>
      </c>
      <c r="C103" s="51"/>
      <c r="D103" s="51">
        <f>'[2]комплекты фурнитуры'!Q21</f>
        <v>930</v>
      </c>
      <c r="E103" s="51">
        <v>1</v>
      </c>
      <c r="F103" s="52">
        <f>D103*E103</f>
        <v>930</v>
      </c>
      <c r="G103" s="53"/>
    </row>
    <row r="104" spans="1:7" x14ac:dyDescent="0.2">
      <c r="B104" s="50" t="s">
        <v>401</v>
      </c>
      <c r="C104" s="51"/>
      <c r="D104" s="51">
        <f>'[2]комплекты фурнитуры'!Q27</f>
        <v>270</v>
      </c>
      <c r="E104" s="51">
        <v>2</v>
      </c>
      <c r="F104" s="52">
        <f>D104*E104</f>
        <v>540</v>
      </c>
      <c r="G104" s="53"/>
    </row>
    <row r="105" spans="1:7" x14ac:dyDescent="0.2">
      <c r="B105" s="50" t="s">
        <v>436</v>
      </c>
      <c r="C105" s="51"/>
      <c r="D105" s="51">
        <f>'[2]комплекты фурнитуры'!Q68</f>
        <v>500</v>
      </c>
      <c r="E105" s="51">
        <v>5</v>
      </c>
      <c r="F105" s="52">
        <f>D105*E105</f>
        <v>2500</v>
      </c>
      <c r="G105" s="53"/>
    </row>
    <row r="106" spans="1:7" x14ac:dyDescent="0.2">
      <c r="B106" s="140" t="s">
        <v>483</v>
      </c>
      <c r="C106" s="51"/>
      <c r="D106" s="51">
        <f>'[2]комплекты фурнитуры'!Q92</f>
        <v>290</v>
      </c>
      <c r="E106" s="51">
        <v>4</v>
      </c>
      <c r="F106" s="52">
        <f>D106*E106</f>
        <v>1160</v>
      </c>
      <c r="G106" s="53"/>
    </row>
    <row r="107" spans="1:7" x14ac:dyDescent="0.2">
      <c r="B107" s="311" t="s">
        <v>493</v>
      </c>
      <c r="C107" s="133"/>
      <c r="D107" s="133"/>
      <c r="E107" s="133" t="s">
        <v>391</v>
      </c>
      <c r="F107" s="133"/>
      <c r="G107" s="132" t="s">
        <v>485</v>
      </c>
    </row>
    <row r="108" spans="1:7" ht="15" x14ac:dyDescent="0.2">
      <c r="A108" s="137">
        <v>10</v>
      </c>
      <c r="B108" s="311"/>
      <c r="C108" s="133">
        <v>600</v>
      </c>
      <c r="D108" s="138">
        <v>2040</v>
      </c>
      <c r="E108" s="135">
        <f>((((D102*$H$3-D102)/100)*$G108)+D102)+F103+F104+F105+F106</f>
        <v>10843.2</v>
      </c>
      <c r="F108" s="135"/>
      <c r="G108" s="136"/>
    </row>
    <row r="109" spans="1:7" ht="15" x14ac:dyDescent="0.2">
      <c r="B109" s="311"/>
      <c r="C109" s="133">
        <v>600</v>
      </c>
      <c r="D109" s="138">
        <v>2280</v>
      </c>
      <c r="E109" s="135">
        <f>((((D102*$H$3-D102)/100)*$G109)+D102)+F103+F104+F105+D105+F106</f>
        <v>12440.134400000003</v>
      </c>
      <c r="F109" s="135"/>
      <c r="G109" s="136">
        <v>240</v>
      </c>
    </row>
    <row r="111" spans="1:7" x14ac:dyDescent="0.2">
      <c r="B111" s="82"/>
      <c r="C111" s="47"/>
      <c r="D111" s="47" t="s">
        <v>384</v>
      </c>
      <c r="E111" s="47" t="s">
        <v>385</v>
      </c>
      <c r="F111" s="48" t="s">
        <v>386</v>
      </c>
      <c r="G111" s="83"/>
    </row>
    <row r="112" spans="1:7" x14ac:dyDescent="0.2">
      <c r="B112" s="50" t="s">
        <v>388</v>
      </c>
      <c r="C112" s="51"/>
      <c r="D112" s="51">
        <f>'[2]2 все модули и цены'!E82</f>
        <v>8650</v>
      </c>
      <c r="E112" s="51"/>
      <c r="F112" s="52"/>
      <c r="G112" s="53"/>
    </row>
    <row r="113" spans="1:8" x14ac:dyDescent="0.2">
      <c r="B113" s="50" t="s">
        <v>489</v>
      </c>
      <c r="C113" s="51"/>
      <c r="D113" s="51">
        <f>'[2]комплекты фурнитуры'!Q21</f>
        <v>930</v>
      </c>
      <c r="E113" s="51">
        <v>1</v>
      </c>
      <c r="F113" s="52">
        <f>D113*E113</f>
        <v>930</v>
      </c>
      <c r="G113" s="53"/>
    </row>
    <row r="114" spans="1:8" x14ac:dyDescent="0.2">
      <c r="B114" s="50" t="s">
        <v>401</v>
      </c>
      <c r="C114" s="51"/>
      <c r="D114" s="51">
        <f>'[2]комплекты фурнитуры'!Q27</f>
        <v>270</v>
      </c>
      <c r="E114" s="51">
        <v>2</v>
      </c>
      <c r="F114" s="52">
        <f t="shared" ref="F114:F123" si="3">D114*E114</f>
        <v>540</v>
      </c>
      <c r="G114" s="53"/>
    </row>
    <row r="115" spans="1:8" x14ac:dyDescent="0.2">
      <c r="B115" s="50" t="s">
        <v>420</v>
      </c>
      <c r="C115" s="51"/>
      <c r="D115" s="51">
        <f>'[2]комплекты фурнитуры'!Q29</f>
        <v>4750</v>
      </c>
      <c r="E115" s="51">
        <v>2</v>
      </c>
      <c r="F115" s="52">
        <f t="shared" si="3"/>
        <v>9500</v>
      </c>
      <c r="G115" s="53"/>
    </row>
    <row r="116" spans="1:8" x14ac:dyDescent="0.2">
      <c r="B116" s="50" t="s">
        <v>426</v>
      </c>
      <c r="C116" s="51"/>
      <c r="D116" s="51">
        <f>'[2]комплекты фурнитуры'!Q30</f>
        <v>5810</v>
      </c>
      <c r="E116" s="51">
        <v>1</v>
      </c>
      <c r="F116" s="52">
        <f t="shared" si="3"/>
        <v>5810</v>
      </c>
      <c r="G116" s="53"/>
    </row>
    <row r="117" spans="1:8" x14ac:dyDescent="0.2">
      <c r="B117" s="54" t="s">
        <v>403</v>
      </c>
      <c r="C117" s="51"/>
      <c r="D117" s="51">
        <f>'[2]комплекты фурнитуры'!Q69</f>
        <v>130</v>
      </c>
      <c r="E117" s="51">
        <v>3</v>
      </c>
      <c r="F117" s="52">
        <f t="shared" si="3"/>
        <v>390</v>
      </c>
      <c r="G117" s="53"/>
    </row>
    <row r="118" spans="1:8" x14ac:dyDescent="0.2">
      <c r="B118" s="54" t="s">
        <v>427</v>
      </c>
      <c r="C118" s="51"/>
      <c r="D118" s="51">
        <f>'[2]комплекты фурнитуры'!Q33</f>
        <v>940</v>
      </c>
      <c r="E118" s="51">
        <v>1</v>
      </c>
      <c r="F118" s="52">
        <f t="shared" si="3"/>
        <v>940</v>
      </c>
      <c r="G118" s="53"/>
    </row>
    <row r="119" spans="1:8" x14ac:dyDescent="0.2">
      <c r="B119" s="54" t="s">
        <v>421</v>
      </c>
      <c r="C119" s="51"/>
      <c r="D119" s="51">
        <f>'[2]комплекты фурнитуры'!Q34</f>
        <v>370</v>
      </c>
      <c r="E119" s="51">
        <v>2</v>
      </c>
      <c r="F119" s="52">
        <f t="shared" si="3"/>
        <v>740</v>
      </c>
      <c r="G119" s="53"/>
    </row>
    <row r="120" spans="1:8" x14ac:dyDescent="0.2">
      <c r="B120" s="50" t="s">
        <v>422</v>
      </c>
      <c r="C120" s="51"/>
      <c r="D120" s="51">
        <f>'[2]комплекты фурнитуры'!Q35</f>
        <v>170</v>
      </c>
      <c r="E120" s="51">
        <v>3</v>
      </c>
      <c r="F120" s="52">
        <f t="shared" si="3"/>
        <v>510</v>
      </c>
      <c r="G120" s="53"/>
    </row>
    <row r="121" spans="1:8" x14ac:dyDescent="0.2">
      <c r="B121" s="50" t="s">
        <v>436</v>
      </c>
      <c r="C121" s="51"/>
      <c r="D121" s="51">
        <f>'[2]комплекты фурнитуры'!Q68</f>
        <v>500</v>
      </c>
      <c r="E121" s="51">
        <v>3</v>
      </c>
      <c r="F121" s="52">
        <f t="shared" si="3"/>
        <v>1500</v>
      </c>
      <c r="G121" s="53"/>
    </row>
    <row r="122" spans="1:8" x14ac:dyDescent="0.2">
      <c r="B122" s="50" t="s">
        <v>487</v>
      </c>
      <c r="C122" s="51"/>
      <c r="D122" s="51">
        <f>'[2]комплекты фурнитуры'!Q36</f>
        <v>5040</v>
      </c>
      <c r="E122" s="51">
        <v>1</v>
      </c>
      <c r="F122" s="52">
        <f t="shared" si="3"/>
        <v>5040</v>
      </c>
      <c r="G122" s="53"/>
    </row>
    <row r="123" spans="1:8" x14ac:dyDescent="0.2">
      <c r="B123" s="54" t="s">
        <v>423</v>
      </c>
      <c r="C123" s="51"/>
      <c r="D123" s="51">
        <f>'[2]комплекты фурнитуры'!Q37</f>
        <v>4130</v>
      </c>
      <c r="E123" s="51">
        <v>2</v>
      </c>
      <c r="F123" s="52">
        <f t="shared" si="3"/>
        <v>8260</v>
      </c>
      <c r="G123" s="53"/>
    </row>
    <row r="124" spans="1:8" x14ac:dyDescent="0.2">
      <c r="B124" s="311" t="s">
        <v>52</v>
      </c>
      <c r="C124" s="133"/>
      <c r="D124" s="133"/>
      <c r="E124" s="133" t="s">
        <v>391</v>
      </c>
      <c r="F124" s="133" t="s">
        <v>392</v>
      </c>
      <c r="G124" s="133" t="s">
        <v>488</v>
      </c>
      <c r="H124" s="132" t="s">
        <v>485</v>
      </c>
    </row>
    <row r="125" spans="1:8" ht="15" x14ac:dyDescent="0.2">
      <c r="A125" s="137">
        <v>11</v>
      </c>
      <c r="B125" s="311"/>
      <c r="C125" s="133">
        <v>600</v>
      </c>
      <c r="D125" s="138">
        <v>2040</v>
      </c>
      <c r="E125" s="135">
        <f>((((D112*$H$3-D112)/100)*$H125)+D112)+F113+F114+F115+F121+F116</f>
        <v>26930</v>
      </c>
      <c r="F125" s="135">
        <f>((((D112*$H$3-D112)/100)*$H125)+D112)+F113+F114+F117+F118+F119+F120</f>
        <v>12700</v>
      </c>
      <c r="G125" s="135">
        <f>((((D112*$H$3-D112)/100)*$H125)+D112)+F113+F114+F117+F122+F123</f>
        <v>23810</v>
      </c>
      <c r="H125" s="136"/>
    </row>
    <row r="126" spans="1:8" ht="15" x14ac:dyDescent="0.2">
      <c r="B126" s="311"/>
      <c r="C126" s="133">
        <v>600</v>
      </c>
      <c r="D126" s="138">
        <v>2280</v>
      </c>
      <c r="E126" s="135">
        <f>((((D112*$H$3-D112)/100)*$H126)+D112)+F113+F114+F115+F116+F121+D121</f>
        <v>29090.799999999999</v>
      </c>
      <c r="F126" s="135">
        <f>((((D112*$H$3-D112)/100)*$H126)+D112)+F113+F114+F117+F118+F119+F120+D117</f>
        <v>14490.8</v>
      </c>
      <c r="G126" s="135">
        <f>((((D112*$H$3-D112)/100)*$H126)+D112)+F113+F114+F117+D117+F122+F123</f>
        <v>25600.799999999999</v>
      </c>
      <c r="H126" s="136">
        <v>240</v>
      </c>
    </row>
    <row r="128" spans="1:8" x14ac:dyDescent="0.2">
      <c r="B128" s="82"/>
      <c r="C128" s="47"/>
      <c r="D128" s="47" t="s">
        <v>384</v>
      </c>
      <c r="E128" s="47" t="s">
        <v>385</v>
      </c>
      <c r="F128" s="48" t="s">
        <v>386</v>
      </c>
      <c r="G128" s="83"/>
    </row>
    <row r="129" spans="1:8" x14ac:dyDescent="0.2">
      <c r="B129" s="50" t="s">
        <v>388</v>
      </c>
      <c r="C129" s="51"/>
      <c r="D129" s="51">
        <f>'[2]2 все модули и цены'!E83</f>
        <v>8100</v>
      </c>
      <c r="E129" s="51"/>
      <c r="F129" s="52"/>
      <c r="G129" s="53"/>
    </row>
    <row r="130" spans="1:8" x14ac:dyDescent="0.2">
      <c r="B130" s="50" t="s">
        <v>489</v>
      </c>
      <c r="C130" s="51"/>
      <c r="D130" s="51">
        <f>'[2]комплекты фурнитуры'!Q21</f>
        <v>930</v>
      </c>
      <c r="E130" s="51">
        <v>1</v>
      </c>
      <c r="F130" s="52">
        <f>D130*E130</f>
        <v>930</v>
      </c>
      <c r="G130" s="53"/>
    </row>
    <row r="131" spans="1:8" x14ac:dyDescent="0.2">
      <c r="B131" s="50" t="s">
        <v>401</v>
      </c>
      <c r="C131" s="51"/>
      <c r="D131" s="51">
        <f>'[2]комплекты фурнитуры'!Q27</f>
        <v>270</v>
      </c>
      <c r="E131" s="51">
        <v>2</v>
      </c>
      <c r="F131" s="52">
        <f t="shared" ref="F131:F137" si="4">D131*E131</f>
        <v>540</v>
      </c>
      <c r="G131" s="53"/>
    </row>
    <row r="132" spans="1:8" x14ac:dyDescent="0.2">
      <c r="B132" s="50" t="s">
        <v>426</v>
      </c>
      <c r="C132" s="51"/>
      <c r="D132" s="51">
        <f>'[2]комплекты фурнитуры'!Q30</f>
        <v>5810</v>
      </c>
      <c r="E132" s="51">
        <v>2</v>
      </c>
      <c r="F132" s="52">
        <f t="shared" si="4"/>
        <v>11620</v>
      </c>
      <c r="G132" s="53"/>
    </row>
    <row r="133" spans="1:8" x14ac:dyDescent="0.2">
      <c r="B133" s="54" t="s">
        <v>403</v>
      </c>
      <c r="C133" s="51"/>
      <c r="D133" s="51">
        <f>'[2]комплекты фурнитуры'!Q69</f>
        <v>130</v>
      </c>
      <c r="E133" s="51">
        <v>3</v>
      </c>
      <c r="F133" s="52">
        <f t="shared" si="4"/>
        <v>390</v>
      </c>
      <c r="G133" s="53"/>
    </row>
    <row r="134" spans="1:8" x14ac:dyDescent="0.2">
      <c r="B134" s="54" t="s">
        <v>427</v>
      </c>
      <c r="C134" s="51"/>
      <c r="D134" s="51">
        <f>'[2]комплекты фурнитуры'!Q33</f>
        <v>940</v>
      </c>
      <c r="E134" s="51">
        <v>2</v>
      </c>
      <c r="F134" s="52">
        <f t="shared" si="4"/>
        <v>1880</v>
      </c>
      <c r="G134" s="53"/>
    </row>
    <row r="135" spans="1:8" x14ac:dyDescent="0.2">
      <c r="B135" s="50" t="s">
        <v>422</v>
      </c>
      <c r="C135" s="51"/>
      <c r="D135" s="51">
        <f>'[2]комплекты фурнитуры'!Q35</f>
        <v>170</v>
      </c>
      <c r="E135" s="51">
        <v>2</v>
      </c>
      <c r="F135" s="52">
        <f t="shared" si="4"/>
        <v>340</v>
      </c>
      <c r="G135" s="53"/>
    </row>
    <row r="136" spans="1:8" x14ac:dyDescent="0.2">
      <c r="B136" s="50" t="s">
        <v>436</v>
      </c>
      <c r="C136" s="51"/>
      <c r="D136" s="51">
        <f>'[2]комплекты фурнитуры'!Q68</f>
        <v>500</v>
      </c>
      <c r="E136" s="51">
        <v>3</v>
      </c>
      <c r="F136" s="52">
        <f t="shared" si="4"/>
        <v>1500</v>
      </c>
      <c r="G136" s="53"/>
    </row>
    <row r="137" spans="1:8" x14ac:dyDescent="0.2">
      <c r="B137" s="50" t="s">
        <v>487</v>
      </c>
      <c r="C137" s="51"/>
      <c r="D137" s="51">
        <f>'[2]комплекты фурнитуры'!Q36</f>
        <v>5040</v>
      </c>
      <c r="E137" s="51">
        <v>2</v>
      </c>
      <c r="F137" s="52">
        <f t="shared" si="4"/>
        <v>10080</v>
      </c>
      <c r="G137" s="53"/>
    </row>
    <row r="138" spans="1:8" x14ac:dyDescent="0.2">
      <c r="B138" s="311" t="s">
        <v>53</v>
      </c>
      <c r="C138" s="133"/>
      <c r="D138" s="133"/>
      <c r="E138" s="133" t="s">
        <v>391</v>
      </c>
      <c r="F138" s="133" t="s">
        <v>392</v>
      </c>
      <c r="G138" s="133" t="s">
        <v>488</v>
      </c>
      <c r="H138" s="132" t="s">
        <v>485</v>
      </c>
    </row>
    <row r="139" spans="1:8" ht="15" x14ac:dyDescent="0.2">
      <c r="A139" s="137">
        <v>12</v>
      </c>
      <c r="B139" s="311"/>
      <c r="C139" s="133">
        <v>600</v>
      </c>
      <c r="D139" s="138">
        <v>2040</v>
      </c>
      <c r="E139" s="135">
        <f>((((D129*$H$3-D129)/100)*$H139)+D129)+F130+F131+F132+F136</f>
        <v>22690</v>
      </c>
      <c r="F139" s="135">
        <f>((((D129*$H$3-D129)/100)*$H139)+D129)+F130+F131+F133+F134+F135</f>
        <v>12180</v>
      </c>
      <c r="G139" s="135">
        <f>((((D129*$H$3-D129)/100)*$H139)+D129)+F130+F131+F133+F137</f>
        <v>20040</v>
      </c>
      <c r="H139" s="136"/>
    </row>
    <row r="140" spans="1:8" ht="15" x14ac:dyDescent="0.2">
      <c r="B140" s="311"/>
      <c r="C140" s="133">
        <v>600</v>
      </c>
      <c r="D140" s="138">
        <v>2280</v>
      </c>
      <c r="E140" s="135">
        <f>((((D129*$H$3-D129)/100)*$H140)+D129)+F130+F131+F132+F136+D136</f>
        <v>24745.200000000001</v>
      </c>
      <c r="F140" s="135">
        <f>((((D129*$H$3-D129)/100)*$H140)+D129)+F130+F131+F133+D133+F134+F135</f>
        <v>13865.2</v>
      </c>
      <c r="G140" s="135">
        <f>((((D129*$H$3-D129)/100)*$H140)+D129)+F130+F131+F133+D133+F137</f>
        <v>21725.200000000001</v>
      </c>
      <c r="H140" s="136">
        <v>240</v>
      </c>
    </row>
    <row r="142" spans="1:8" x14ac:dyDescent="0.2">
      <c r="B142" s="82"/>
      <c r="C142" s="47"/>
      <c r="D142" s="47" t="s">
        <v>384</v>
      </c>
      <c r="E142" s="47" t="s">
        <v>385</v>
      </c>
      <c r="F142" s="48" t="s">
        <v>386</v>
      </c>
      <c r="G142" s="83"/>
    </row>
    <row r="143" spans="1:8" x14ac:dyDescent="0.2">
      <c r="B143" s="50" t="s">
        <v>388</v>
      </c>
      <c r="C143" s="51"/>
      <c r="D143" s="51">
        <f>'[2]2 все модули и цены'!E84</f>
        <v>6800</v>
      </c>
      <c r="E143" s="51"/>
      <c r="F143" s="52"/>
      <c r="G143" s="53"/>
    </row>
    <row r="144" spans="1:8" x14ac:dyDescent="0.2">
      <c r="B144" s="50" t="s">
        <v>489</v>
      </c>
      <c r="C144" s="51"/>
      <c r="D144" s="51">
        <f>'[2]комплекты фурнитуры'!Q21</f>
        <v>930</v>
      </c>
      <c r="E144" s="51">
        <v>1</v>
      </c>
      <c r="F144" s="52">
        <f>D144*E144</f>
        <v>930</v>
      </c>
      <c r="G144" s="53"/>
    </row>
    <row r="145" spans="1:7" x14ac:dyDescent="0.2">
      <c r="B145" s="50" t="s">
        <v>401</v>
      </c>
      <c r="C145" s="51"/>
      <c r="D145" s="51">
        <f>'[2]комплекты фурнитуры'!Q27</f>
        <v>270</v>
      </c>
      <c r="E145" s="51">
        <v>2</v>
      </c>
      <c r="F145" s="52">
        <f>D145*E145</f>
        <v>540</v>
      </c>
      <c r="G145" s="53"/>
    </row>
    <row r="146" spans="1:7" x14ac:dyDescent="0.2">
      <c r="B146" s="54" t="s">
        <v>403</v>
      </c>
      <c r="C146" s="51"/>
      <c r="D146" s="51">
        <f>'[2]комплекты фурнитуры'!Q69</f>
        <v>130</v>
      </c>
      <c r="E146" s="51">
        <v>4</v>
      </c>
      <c r="F146" s="52">
        <f>D146*E146</f>
        <v>520</v>
      </c>
      <c r="G146" s="53"/>
    </row>
    <row r="147" spans="1:7" x14ac:dyDescent="0.2">
      <c r="B147" s="50" t="s">
        <v>436</v>
      </c>
      <c r="C147" s="51"/>
      <c r="D147" s="51">
        <f>'[2]комплекты фурнитуры'!Q68</f>
        <v>500</v>
      </c>
      <c r="E147" s="51">
        <v>4</v>
      </c>
      <c r="F147" s="52">
        <f>D147*E147</f>
        <v>2000</v>
      </c>
      <c r="G147" s="53"/>
    </row>
    <row r="148" spans="1:7" x14ac:dyDescent="0.2">
      <c r="B148" s="311" t="s">
        <v>54</v>
      </c>
      <c r="C148" s="133"/>
      <c r="D148" s="133"/>
      <c r="E148" s="133" t="s">
        <v>391</v>
      </c>
      <c r="F148" s="133" t="s">
        <v>392</v>
      </c>
      <c r="G148" s="132" t="s">
        <v>485</v>
      </c>
    </row>
    <row r="149" spans="1:7" ht="15" x14ac:dyDescent="0.2">
      <c r="A149" s="137">
        <v>13</v>
      </c>
      <c r="B149" s="311"/>
      <c r="C149" s="133">
        <v>600</v>
      </c>
      <c r="D149" s="138">
        <v>2040</v>
      </c>
      <c r="E149" s="135">
        <f>((((D143*$H$3-D143)/100)*$G149)+D143)+F144+F145+F147</f>
        <v>10270</v>
      </c>
      <c r="F149" s="135">
        <f>((((D143*$H$3-D143)/100)*$G149)+D143)+F144+F145+F146</f>
        <v>8790</v>
      </c>
      <c r="G149" s="136"/>
    </row>
    <row r="150" spans="1:7" ht="15" x14ac:dyDescent="0.2">
      <c r="B150" s="311"/>
      <c r="C150" s="133">
        <v>600</v>
      </c>
      <c r="D150" s="138">
        <v>2280</v>
      </c>
      <c r="E150" s="135">
        <f>((((D143*$H$3-D143)/100)*$G150)+D143)+F144+F145+F147+D147</f>
        <v>12075.600000000002</v>
      </c>
      <c r="F150" s="135">
        <f>((((D143*$H$3-D143)/100)*$G150)+D143)+F144+F145+F146+D146</f>
        <v>10225.600000000002</v>
      </c>
      <c r="G150" s="136">
        <v>240</v>
      </c>
    </row>
    <row r="152" spans="1:7" x14ac:dyDescent="0.2">
      <c r="B152" s="82"/>
      <c r="C152" s="47"/>
      <c r="D152" s="47" t="s">
        <v>384</v>
      </c>
      <c r="E152" s="47" t="s">
        <v>385</v>
      </c>
      <c r="F152" s="48" t="s">
        <v>386</v>
      </c>
      <c r="G152" s="83"/>
    </row>
    <row r="153" spans="1:7" x14ac:dyDescent="0.2">
      <c r="B153" s="50" t="s">
        <v>388</v>
      </c>
      <c r="C153" s="51"/>
      <c r="D153" s="51">
        <f>'[2]2 все модули и цены'!E85</f>
        <v>7344.0000000000009</v>
      </c>
      <c r="E153" s="51"/>
      <c r="F153" s="52"/>
      <c r="G153" s="53"/>
    </row>
    <row r="154" spans="1:7" x14ac:dyDescent="0.2">
      <c r="B154" s="50" t="s">
        <v>489</v>
      </c>
      <c r="C154" s="51"/>
      <c r="D154" s="51">
        <f>'[2]комплекты фурнитуры'!Q21</f>
        <v>930</v>
      </c>
      <c r="E154" s="51">
        <v>1</v>
      </c>
      <c r="F154" s="52">
        <f>D154*E154</f>
        <v>930</v>
      </c>
      <c r="G154" s="53"/>
    </row>
    <row r="155" spans="1:7" x14ac:dyDescent="0.2">
      <c r="B155" s="50" t="s">
        <v>401</v>
      </c>
      <c r="C155" s="51"/>
      <c r="D155" s="51">
        <f>'[2]комплекты фурнитуры'!Q27</f>
        <v>270</v>
      </c>
      <c r="E155" s="51">
        <v>2</v>
      </c>
      <c r="F155" s="52">
        <f>D155*E155</f>
        <v>540</v>
      </c>
      <c r="G155" s="53"/>
    </row>
    <row r="156" spans="1:7" x14ac:dyDescent="0.2">
      <c r="B156" s="50" t="s">
        <v>436</v>
      </c>
      <c r="C156" s="51"/>
      <c r="D156" s="51">
        <f>'[2]комплекты фурнитуры'!Q68</f>
        <v>500</v>
      </c>
      <c r="E156" s="51">
        <v>4</v>
      </c>
      <c r="F156" s="52">
        <f>D156*E156</f>
        <v>2000</v>
      </c>
      <c r="G156" s="53"/>
    </row>
    <row r="157" spans="1:7" x14ac:dyDescent="0.2">
      <c r="B157" s="140" t="s">
        <v>483</v>
      </c>
      <c r="C157" s="51"/>
      <c r="D157" s="51">
        <f>'[2]комплекты фурнитуры'!Q92</f>
        <v>290</v>
      </c>
      <c r="E157" s="51">
        <v>4</v>
      </c>
      <c r="F157" s="52">
        <f>D157*E157</f>
        <v>1160</v>
      </c>
      <c r="G157" s="53"/>
    </row>
    <row r="158" spans="1:7" x14ac:dyDescent="0.2">
      <c r="B158" s="311" t="s">
        <v>494</v>
      </c>
      <c r="C158" s="133"/>
      <c r="D158" s="133"/>
      <c r="E158" s="133" t="s">
        <v>391</v>
      </c>
      <c r="F158" s="133"/>
      <c r="G158" s="132" t="s">
        <v>485</v>
      </c>
    </row>
    <row r="159" spans="1:7" ht="15" x14ac:dyDescent="0.2">
      <c r="A159" s="137">
        <v>14</v>
      </c>
      <c r="B159" s="311"/>
      <c r="C159" s="133">
        <v>600</v>
      </c>
      <c r="D159" s="138">
        <v>2040</v>
      </c>
      <c r="E159" s="135">
        <f>((((D153*$H$3-D153)/100)*$G159)+D153)+F154+F155+F156+F157</f>
        <v>11974</v>
      </c>
      <c r="F159" s="135"/>
      <c r="G159" s="136"/>
    </row>
    <row r="160" spans="1:7" ht="15" x14ac:dyDescent="0.2">
      <c r="B160" s="311"/>
      <c r="C160" s="133">
        <v>600</v>
      </c>
      <c r="D160" s="138">
        <v>2280</v>
      </c>
      <c r="E160" s="135">
        <f>((((D153*$H$3-D153)/100)*$G160)+D153)+F154+F155+F156+D156+F157</f>
        <v>13884.048000000003</v>
      </c>
      <c r="F160" s="135"/>
      <c r="G160" s="136">
        <v>240</v>
      </c>
    </row>
    <row r="162" spans="1:8" x14ac:dyDescent="0.2">
      <c r="B162" s="82"/>
      <c r="C162" s="47"/>
      <c r="D162" s="47" t="s">
        <v>384</v>
      </c>
      <c r="E162" s="47" t="s">
        <v>385</v>
      </c>
      <c r="F162" s="48" t="s">
        <v>386</v>
      </c>
      <c r="G162" s="83"/>
    </row>
    <row r="163" spans="1:8" x14ac:dyDescent="0.2">
      <c r="B163" s="50" t="s">
        <v>388</v>
      </c>
      <c r="C163" s="51"/>
      <c r="D163" s="51">
        <f>'[2]2 все модули и цены'!E87</f>
        <v>8020</v>
      </c>
      <c r="E163" s="51"/>
      <c r="F163" s="52"/>
      <c r="G163" s="53"/>
    </row>
    <row r="164" spans="1:8" x14ac:dyDescent="0.2">
      <c r="B164" s="50" t="s">
        <v>489</v>
      </c>
      <c r="C164" s="51"/>
      <c r="D164" s="51">
        <f>'[2]комплекты фурнитуры'!Q21</f>
        <v>930</v>
      </c>
      <c r="E164" s="51">
        <v>1</v>
      </c>
      <c r="F164" s="52">
        <f t="shared" ref="F164:F171" si="5">D164*E164</f>
        <v>930</v>
      </c>
      <c r="G164" s="53"/>
    </row>
    <row r="165" spans="1:8" x14ac:dyDescent="0.2">
      <c r="B165" s="50" t="s">
        <v>401</v>
      </c>
      <c r="C165" s="51"/>
      <c r="D165" s="51">
        <f>'[2]комплекты фурнитуры'!Q27</f>
        <v>270</v>
      </c>
      <c r="E165" s="51">
        <v>2</v>
      </c>
      <c r="F165" s="52">
        <f t="shared" si="5"/>
        <v>540</v>
      </c>
      <c r="G165" s="53"/>
    </row>
    <row r="166" spans="1:8" x14ac:dyDescent="0.2">
      <c r="B166" s="50" t="s">
        <v>436</v>
      </c>
      <c r="C166" s="51"/>
      <c r="D166" s="51">
        <f>'[2]комплекты фурнитуры'!Q68</f>
        <v>500</v>
      </c>
      <c r="E166" s="51">
        <v>2</v>
      </c>
      <c r="F166" s="52">
        <f t="shared" si="5"/>
        <v>1000</v>
      </c>
      <c r="G166" s="53"/>
    </row>
    <row r="167" spans="1:8" x14ac:dyDescent="0.2">
      <c r="B167" s="50" t="s">
        <v>426</v>
      </c>
      <c r="C167" s="51"/>
      <c r="D167" s="51">
        <f>'[2]комплекты фурнитуры'!Q30</f>
        <v>5810</v>
      </c>
      <c r="E167" s="51">
        <v>2</v>
      </c>
      <c r="F167" s="52">
        <f t="shared" si="5"/>
        <v>11620</v>
      </c>
      <c r="G167" s="53"/>
    </row>
    <row r="168" spans="1:8" x14ac:dyDescent="0.2">
      <c r="B168" s="50" t="s">
        <v>403</v>
      </c>
      <c r="C168" s="51"/>
      <c r="D168" s="51">
        <f>'[2]комплекты фурнитуры'!Q69</f>
        <v>130</v>
      </c>
      <c r="E168" s="51">
        <v>2</v>
      </c>
      <c r="F168" s="52">
        <f t="shared" si="5"/>
        <v>260</v>
      </c>
      <c r="G168" s="53"/>
    </row>
    <row r="169" spans="1:8" x14ac:dyDescent="0.2">
      <c r="B169" s="50" t="s">
        <v>427</v>
      </c>
      <c r="C169" s="51"/>
      <c r="D169" s="51">
        <f>'[2]комплекты фурнитуры'!Q33</f>
        <v>940</v>
      </c>
      <c r="E169" s="51">
        <v>2</v>
      </c>
      <c r="F169" s="52">
        <f t="shared" si="5"/>
        <v>1880</v>
      </c>
      <c r="G169" s="53"/>
    </row>
    <row r="170" spans="1:8" x14ac:dyDescent="0.2">
      <c r="B170" s="50" t="s">
        <v>422</v>
      </c>
      <c r="C170" s="51"/>
      <c r="D170" s="51">
        <f>'[2]комплекты фурнитуры'!Q35</f>
        <v>170</v>
      </c>
      <c r="E170" s="51">
        <v>2</v>
      </c>
      <c r="F170" s="52">
        <f t="shared" si="5"/>
        <v>340</v>
      </c>
      <c r="G170" s="53"/>
    </row>
    <row r="171" spans="1:8" x14ac:dyDescent="0.2">
      <c r="B171" s="50" t="s">
        <v>487</v>
      </c>
      <c r="C171" s="51"/>
      <c r="D171" s="51">
        <f>'[2]комплекты фурнитуры'!Q36</f>
        <v>5040</v>
      </c>
      <c r="E171" s="51">
        <v>2</v>
      </c>
      <c r="F171" s="52">
        <f t="shared" si="5"/>
        <v>10080</v>
      </c>
      <c r="G171" s="53"/>
    </row>
    <row r="172" spans="1:8" x14ac:dyDescent="0.2">
      <c r="B172" s="311" t="s">
        <v>56</v>
      </c>
      <c r="C172" s="133"/>
      <c r="D172" s="133"/>
      <c r="E172" s="133" t="s">
        <v>391</v>
      </c>
      <c r="F172" s="133" t="s">
        <v>392</v>
      </c>
      <c r="G172" s="133" t="s">
        <v>488</v>
      </c>
      <c r="H172" s="132" t="s">
        <v>485</v>
      </c>
    </row>
    <row r="173" spans="1:8" ht="15" x14ac:dyDescent="0.2">
      <c r="A173" s="137">
        <v>15</v>
      </c>
      <c r="B173" s="311"/>
      <c r="C173" s="133">
        <v>600</v>
      </c>
      <c r="D173" s="138">
        <v>2040</v>
      </c>
      <c r="E173" s="135">
        <f>((((D163*$H$3-D163)/100)*$H173)+D163)+F164+F165+F166+F167</f>
        <v>22110</v>
      </c>
      <c r="F173" s="135">
        <f>((((D163*$H$3-D163)/100)*$H173)+D163)+F164+F165+F169+F168+F170</f>
        <v>11970</v>
      </c>
      <c r="G173" s="135">
        <f>((((D163*$H$3-D163)/100)*$H173)+D163)+F164+F165+F168+F171</f>
        <v>19830</v>
      </c>
      <c r="H173" s="136"/>
    </row>
    <row r="174" spans="1:8" ht="15" x14ac:dyDescent="0.2">
      <c r="B174" s="311"/>
      <c r="C174" s="133">
        <v>600</v>
      </c>
      <c r="D174" s="138">
        <v>2280</v>
      </c>
      <c r="E174" s="135">
        <f>((((D163*$H$3-D163)/100)*$H174)+D163)+F164+F165+F166+D166+F167</f>
        <v>24149.84</v>
      </c>
      <c r="F174" s="135">
        <f>((((D163*$H$3-D163)/100)*$H174)+D163)+F164+F165+F168+D168+F169+F170</f>
        <v>13639.84</v>
      </c>
      <c r="G174" s="135">
        <f>((((D163*$H$3-D163)/100)*$H174)+D163)+F164+F165+F168+D168+F171</f>
        <v>21499.84</v>
      </c>
      <c r="H174" s="136">
        <v>240</v>
      </c>
    </row>
    <row r="176" spans="1:8" x14ac:dyDescent="0.2">
      <c r="B176" s="82"/>
      <c r="C176" s="47"/>
      <c r="D176" s="47" t="s">
        <v>384</v>
      </c>
      <c r="E176" s="47" t="s">
        <v>385</v>
      </c>
      <c r="F176" s="48" t="s">
        <v>386</v>
      </c>
      <c r="G176" s="83"/>
    </row>
    <row r="177" spans="1:7" x14ac:dyDescent="0.2">
      <c r="B177" s="50" t="s">
        <v>388</v>
      </c>
      <c r="C177" s="51"/>
      <c r="D177" s="51">
        <f>'[2]2 все модули и цены'!E88</f>
        <v>6990</v>
      </c>
      <c r="E177" s="51"/>
      <c r="F177" s="52"/>
      <c r="G177" s="53"/>
    </row>
    <row r="178" spans="1:7" x14ac:dyDescent="0.2">
      <c r="B178" s="50" t="s">
        <v>448</v>
      </c>
      <c r="C178" s="51"/>
      <c r="D178" s="51">
        <f>'[2]комплекты фурнитуры'!Q22</f>
        <v>1130</v>
      </c>
      <c r="E178" s="51">
        <v>1</v>
      </c>
      <c r="F178" s="52">
        <f t="shared" ref="F178:F185" si="6">D178*E178</f>
        <v>1130</v>
      </c>
      <c r="G178" s="53"/>
    </row>
    <row r="179" spans="1:7" x14ac:dyDescent="0.2">
      <c r="B179" s="50" t="s">
        <v>401</v>
      </c>
      <c r="C179" s="51"/>
      <c r="D179" s="51">
        <f>'[2]комплекты фурнитуры'!Q27</f>
        <v>270</v>
      </c>
      <c r="E179" s="51">
        <v>2</v>
      </c>
      <c r="F179" s="52">
        <f t="shared" si="6"/>
        <v>540</v>
      </c>
      <c r="G179" s="53"/>
    </row>
    <row r="180" spans="1:7" x14ac:dyDescent="0.2">
      <c r="B180" s="50" t="s">
        <v>436</v>
      </c>
      <c r="C180" s="51"/>
      <c r="D180" s="51">
        <f>'[2]комплекты фурнитуры'!Q68</f>
        <v>500</v>
      </c>
      <c r="E180" s="51">
        <v>2</v>
      </c>
      <c r="F180" s="52">
        <f t="shared" si="6"/>
        <v>1000</v>
      </c>
      <c r="G180" s="53"/>
    </row>
    <row r="181" spans="1:7" x14ac:dyDescent="0.2">
      <c r="B181" s="50" t="s">
        <v>495</v>
      </c>
      <c r="C181" s="51"/>
      <c r="D181" s="51">
        <f>'[2]комплекты фурнитуры'!Q73</f>
        <v>6080</v>
      </c>
      <c r="E181" s="51">
        <v>1</v>
      </c>
      <c r="F181" s="52">
        <f t="shared" si="6"/>
        <v>6080</v>
      </c>
      <c r="G181" s="53"/>
    </row>
    <row r="182" spans="1:7" x14ac:dyDescent="0.2">
      <c r="B182" s="50" t="s">
        <v>403</v>
      </c>
      <c r="C182" s="51"/>
      <c r="D182" s="51">
        <f>'[2]комплекты фурнитуры'!Q69</f>
        <v>130</v>
      </c>
      <c r="E182" s="51">
        <v>4</v>
      </c>
      <c r="F182" s="52">
        <f t="shared" si="6"/>
        <v>520</v>
      </c>
      <c r="G182" s="53"/>
    </row>
    <row r="183" spans="1:7" x14ac:dyDescent="0.2">
      <c r="B183" s="50" t="s">
        <v>445</v>
      </c>
      <c r="C183" s="51"/>
      <c r="D183" s="51">
        <f>'[2]комплекты фурнитуры'!Q76</f>
        <v>2290</v>
      </c>
      <c r="E183" s="51">
        <v>1</v>
      </c>
      <c r="F183" s="52">
        <f t="shared" si="6"/>
        <v>2290</v>
      </c>
      <c r="G183" s="53"/>
    </row>
    <row r="184" spans="1:7" x14ac:dyDescent="0.2">
      <c r="B184" s="50" t="s">
        <v>422</v>
      </c>
      <c r="C184" s="51"/>
      <c r="D184" s="51"/>
      <c r="E184" s="51">
        <v>2</v>
      </c>
      <c r="F184" s="52">
        <f t="shared" si="6"/>
        <v>0</v>
      </c>
      <c r="G184" s="53"/>
    </row>
    <row r="185" spans="1:7" x14ac:dyDescent="0.2">
      <c r="B185" s="50" t="s">
        <v>487</v>
      </c>
      <c r="C185" s="51"/>
      <c r="D185" s="51"/>
      <c r="E185" s="51">
        <v>2</v>
      </c>
      <c r="F185" s="52">
        <f t="shared" si="6"/>
        <v>0</v>
      </c>
      <c r="G185" s="53"/>
    </row>
    <row r="186" spans="1:7" x14ac:dyDescent="0.2">
      <c r="B186" s="311" t="s">
        <v>57</v>
      </c>
      <c r="C186" s="133"/>
      <c r="D186" s="133"/>
      <c r="E186" s="133" t="s">
        <v>391</v>
      </c>
      <c r="F186" s="133" t="s">
        <v>392</v>
      </c>
      <c r="G186" s="132" t="s">
        <v>485</v>
      </c>
    </row>
    <row r="187" spans="1:7" ht="15" x14ac:dyDescent="0.2">
      <c r="A187" s="137">
        <v>16</v>
      </c>
      <c r="B187" s="311"/>
      <c r="C187" s="133">
        <v>600</v>
      </c>
      <c r="D187" s="138">
        <v>2040</v>
      </c>
      <c r="E187" s="135">
        <f>((((D177*$H$3-D177)/100)*$G187)+D177)+F178+F179+F180+F181</f>
        <v>15740</v>
      </c>
      <c r="F187" s="135">
        <f>((((D177*$H$3-D177)/100)*$G187)+D177)+F178+F179+F183+F182</f>
        <v>11470</v>
      </c>
      <c r="G187" s="136"/>
    </row>
    <row r="188" spans="1:7" ht="15" x14ac:dyDescent="0.2">
      <c r="B188" s="311"/>
      <c r="C188" s="133">
        <v>600</v>
      </c>
      <c r="D188" s="138">
        <v>2280</v>
      </c>
      <c r="E188" s="135">
        <f>((((D177*$H$3-D177)/100)*$G188)+D177)+F178+F179+F180+F181</f>
        <v>17082.080000000002</v>
      </c>
      <c r="F188" s="135">
        <f>((((D177*$H$3-D177)/100)*$G188)+D177)+F178+F179+F182+F183+F184</f>
        <v>12812.080000000002</v>
      </c>
      <c r="G188" s="136">
        <v>240</v>
      </c>
    </row>
    <row r="190" spans="1:7" x14ac:dyDescent="0.2">
      <c r="B190" s="82"/>
      <c r="C190" s="47"/>
      <c r="D190" s="47" t="s">
        <v>384</v>
      </c>
      <c r="E190" s="47" t="s">
        <v>385</v>
      </c>
      <c r="F190" s="48" t="s">
        <v>386</v>
      </c>
      <c r="G190" s="83"/>
    </row>
    <row r="191" spans="1:7" x14ac:dyDescent="0.2">
      <c r="B191" s="50" t="s">
        <v>388</v>
      </c>
      <c r="C191" s="51"/>
      <c r="D191" s="51">
        <f>'[2]2 все модули и цены'!E89</f>
        <v>6910</v>
      </c>
      <c r="E191" s="51"/>
      <c r="F191" s="52"/>
      <c r="G191" s="53"/>
    </row>
    <row r="192" spans="1:7" x14ac:dyDescent="0.2">
      <c r="B192" s="50" t="s">
        <v>448</v>
      </c>
      <c r="C192" s="51"/>
      <c r="D192" s="51">
        <f>'[2]комплекты фурнитуры'!Q22</f>
        <v>1130</v>
      </c>
      <c r="E192" s="51">
        <v>1</v>
      </c>
      <c r="F192" s="52">
        <f t="shared" ref="F192:F199" si="7">D192*E192</f>
        <v>1130</v>
      </c>
      <c r="G192" s="53"/>
    </row>
    <row r="193" spans="1:8" x14ac:dyDescent="0.2">
      <c r="B193" s="50" t="s">
        <v>401</v>
      </c>
      <c r="C193" s="51"/>
      <c r="D193" s="51">
        <f>'[2]комплекты фурнитуры'!Q27</f>
        <v>270</v>
      </c>
      <c r="E193" s="51">
        <v>2</v>
      </c>
      <c r="F193" s="52">
        <f t="shared" si="7"/>
        <v>540</v>
      </c>
      <c r="G193" s="53"/>
    </row>
    <row r="194" spans="1:8" x14ac:dyDescent="0.2">
      <c r="B194" s="50" t="s">
        <v>436</v>
      </c>
      <c r="C194" s="51"/>
      <c r="D194" s="51">
        <f>'[2]комплекты фурнитуры'!Q68</f>
        <v>500</v>
      </c>
      <c r="E194" s="51">
        <v>2</v>
      </c>
      <c r="F194" s="52">
        <f t="shared" si="7"/>
        <v>1000</v>
      </c>
      <c r="G194" s="53"/>
    </row>
    <row r="195" spans="1:8" x14ac:dyDescent="0.2">
      <c r="B195" s="50" t="s">
        <v>426</v>
      </c>
      <c r="C195" s="51"/>
      <c r="D195" s="51">
        <f>'[2]комплекты фурнитуры'!Q30</f>
        <v>5810</v>
      </c>
      <c r="E195" s="51">
        <v>1</v>
      </c>
      <c r="F195" s="52">
        <f t="shared" si="7"/>
        <v>5810</v>
      </c>
      <c r="G195" s="53"/>
    </row>
    <row r="196" spans="1:8" x14ac:dyDescent="0.2">
      <c r="B196" s="50" t="s">
        <v>403</v>
      </c>
      <c r="C196" s="51"/>
      <c r="D196" s="51">
        <f>'[2]комплекты фурнитуры'!Q69</f>
        <v>130</v>
      </c>
      <c r="E196" s="51">
        <v>2</v>
      </c>
      <c r="F196" s="52">
        <f t="shared" si="7"/>
        <v>260</v>
      </c>
      <c r="G196" s="53"/>
    </row>
    <row r="197" spans="1:8" x14ac:dyDescent="0.2">
      <c r="B197" s="50" t="s">
        <v>427</v>
      </c>
      <c r="C197" s="51"/>
      <c r="D197" s="51">
        <f>'[2]комплекты фурнитуры'!Q33</f>
        <v>940</v>
      </c>
      <c r="E197" s="51">
        <v>1</v>
      </c>
      <c r="F197" s="52">
        <f t="shared" si="7"/>
        <v>940</v>
      </c>
      <c r="G197" s="53"/>
    </row>
    <row r="198" spans="1:8" x14ac:dyDescent="0.2">
      <c r="B198" s="50" t="s">
        <v>422</v>
      </c>
      <c r="C198" s="51"/>
      <c r="D198" s="51">
        <f>'[2]комплекты фурнитуры'!Q35</f>
        <v>170</v>
      </c>
      <c r="E198" s="51">
        <v>1</v>
      </c>
      <c r="F198" s="52">
        <f t="shared" si="7"/>
        <v>170</v>
      </c>
      <c r="G198" s="53"/>
    </row>
    <row r="199" spans="1:8" x14ac:dyDescent="0.2">
      <c r="B199" s="50" t="s">
        <v>487</v>
      </c>
      <c r="C199" s="51"/>
      <c r="D199" s="51">
        <f>'[2]комплекты фурнитуры'!Q36</f>
        <v>5040</v>
      </c>
      <c r="E199" s="51">
        <v>1</v>
      </c>
      <c r="F199" s="52">
        <f t="shared" si="7"/>
        <v>5040</v>
      </c>
      <c r="G199" s="53"/>
    </row>
    <row r="200" spans="1:8" x14ac:dyDescent="0.2">
      <c r="B200" s="311" t="s">
        <v>58</v>
      </c>
      <c r="C200" s="133"/>
      <c r="D200" s="133"/>
      <c r="E200" s="133" t="s">
        <v>391</v>
      </c>
      <c r="F200" s="133" t="s">
        <v>392</v>
      </c>
      <c r="G200" s="133" t="s">
        <v>488</v>
      </c>
      <c r="H200" s="132" t="s">
        <v>485</v>
      </c>
    </row>
    <row r="201" spans="1:8" ht="15" x14ac:dyDescent="0.2">
      <c r="A201" s="137">
        <v>17</v>
      </c>
      <c r="B201" s="311"/>
      <c r="C201" s="133">
        <v>600</v>
      </c>
      <c r="D201" s="138">
        <v>2040</v>
      </c>
      <c r="E201" s="135">
        <f>((((D191*$H$3-D191)/100)*$H201)+D191)+F192+F193+F194+F195</f>
        <v>15390</v>
      </c>
      <c r="F201" s="135">
        <f>((((D191*$H$3-D191)/100)*$H201)+D191)+F192+F193+F197+F196+F198</f>
        <v>9950</v>
      </c>
      <c r="G201" s="135">
        <f>((((D191*$H$3-D191)/100)*$H201)+D191)+F192+F193+F196+F199</f>
        <v>13880</v>
      </c>
      <c r="H201" s="136"/>
    </row>
    <row r="202" spans="1:8" ht="15" x14ac:dyDescent="0.2">
      <c r="B202" s="311"/>
      <c r="C202" s="133">
        <v>600</v>
      </c>
      <c r="D202" s="138">
        <v>2280</v>
      </c>
      <c r="E202" s="135">
        <f>((((D191*$H$3-D191)/100)*$H202)+D191)+F192+F193+F194+F195</f>
        <v>16716.72</v>
      </c>
      <c r="F202" s="135">
        <f>((((D191*$H$3-D191)/100)*$H202)+D191)+F192+F193+F196+F197+F198</f>
        <v>11276.720000000001</v>
      </c>
      <c r="G202" s="135">
        <f>((((D191*$H$3-D191)/100)*$H202)+D191)+F192+F193+F196+F199</f>
        <v>15206.720000000001</v>
      </c>
      <c r="H202" s="136">
        <v>240</v>
      </c>
    </row>
    <row r="204" spans="1:8" x14ac:dyDescent="0.2">
      <c r="B204" s="82"/>
      <c r="C204" s="47"/>
      <c r="D204" s="47" t="s">
        <v>384</v>
      </c>
      <c r="E204" s="47" t="s">
        <v>385</v>
      </c>
      <c r="F204" s="48" t="s">
        <v>386</v>
      </c>
      <c r="G204" s="83"/>
    </row>
    <row r="205" spans="1:8" x14ac:dyDescent="0.2">
      <c r="B205" s="50" t="s">
        <v>388</v>
      </c>
      <c r="C205" s="51"/>
      <c r="D205" s="51">
        <f>'[2]2 все модули и цены'!E90</f>
        <v>7462.8</v>
      </c>
      <c r="E205" s="51"/>
      <c r="F205" s="52"/>
      <c r="G205" s="53"/>
    </row>
    <row r="206" spans="1:8" x14ac:dyDescent="0.2">
      <c r="B206" s="50" t="s">
        <v>448</v>
      </c>
      <c r="C206" s="51"/>
      <c r="D206" s="51">
        <f>'[2]комплекты фурнитуры'!Q22</f>
        <v>1130</v>
      </c>
      <c r="E206" s="51">
        <v>1</v>
      </c>
      <c r="F206" s="52">
        <f>D206*E206</f>
        <v>1130</v>
      </c>
      <c r="G206" s="53"/>
    </row>
    <row r="207" spans="1:8" x14ac:dyDescent="0.2">
      <c r="B207" s="50" t="s">
        <v>401</v>
      </c>
      <c r="C207" s="51"/>
      <c r="D207" s="51">
        <f>'[2]комплекты фурнитуры'!Q27</f>
        <v>270</v>
      </c>
      <c r="E207" s="51">
        <v>2</v>
      </c>
      <c r="F207" s="52">
        <f>D207*E207</f>
        <v>540</v>
      </c>
      <c r="G207" s="53"/>
    </row>
    <row r="208" spans="1:8" x14ac:dyDescent="0.2">
      <c r="B208" s="50" t="s">
        <v>436</v>
      </c>
      <c r="C208" s="51"/>
      <c r="D208" s="51">
        <f>'[2]комплекты фурнитуры'!Q68</f>
        <v>500</v>
      </c>
      <c r="E208" s="51">
        <v>2</v>
      </c>
      <c r="F208" s="52">
        <f>D208*E208</f>
        <v>1000</v>
      </c>
      <c r="G208" s="53"/>
    </row>
    <row r="209" spans="1:7" x14ac:dyDescent="0.2">
      <c r="B209" s="50" t="s">
        <v>426</v>
      </c>
      <c r="C209" s="51"/>
      <c r="D209" s="51">
        <f>'[2]комплекты фурнитуры'!Q30</f>
        <v>5810</v>
      </c>
      <c r="E209" s="51">
        <v>1</v>
      </c>
      <c r="F209" s="52">
        <f>D209*E209</f>
        <v>5810</v>
      </c>
      <c r="G209" s="53"/>
    </row>
    <row r="210" spans="1:7" x14ac:dyDescent="0.2">
      <c r="B210" s="140" t="s">
        <v>483</v>
      </c>
      <c r="C210" s="51"/>
      <c r="D210" s="51">
        <f>'[2]комплекты фурнитуры'!Q92</f>
        <v>290</v>
      </c>
      <c r="E210" s="51">
        <v>4</v>
      </c>
      <c r="F210" s="52">
        <f>D210*E210</f>
        <v>1160</v>
      </c>
      <c r="G210" s="53"/>
    </row>
    <row r="211" spans="1:7" x14ac:dyDescent="0.2">
      <c r="B211" s="311" t="s">
        <v>496</v>
      </c>
      <c r="C211" s="133"/>
      <c r="D211" s="133"/>
      <c r="E211" s="133" t="s">
        <v>391</v>
      </c>
      <c r="F211" s="133"/>
      <c r="G211" s="132" t="s">
        <v>485</v>
      </c>
    </row>
    <row r="212" spans="1:7" ht="15" x14ac:dyDescent="0.2">
      <c r="A212" s="137">
        <v>18</v>
      </c>
      <c r="B212" s="311"/>
      <c r="C212" s="133">
        <v>600</v>
      </c>
      <c r="D212" s="138">
        <v>2040</v>
      </c>
      <c r="E212" s="135">
        <f>((((D205*$H$3-D205)/100)*$G212)+D205)+F206+F207+F208+F209+F210</f>
        <v>17102.8</v>
      </c>
      <c r="F212" s="135"/>
      <c r="G212" s="136"/>
    </row>
    <row r="213" spans="1:7" ht="15" x14ac:dyDescent="0.2">
      <c r="B213" s="311"/>
      <c r="C213" s="133">
        <v>600</v>
      </c>
      <c r="D213" s="138">
        <v>2280</v>
      </c>
      <c r="E213" s="135">
        <f>((((D205*$H$3-D205)/100)*$G213)+D205)+F206+F207+F208+F209+F210</f>
        <v>18535.657599999999</v>
      </c>
      <c r="F213" s="135"/>
      <c r="G213" s="136">
        <v>240</v>
      </c>
    </row>
    <row r="215" spans="1:7" x14ac:dyDescent="0.2">
      <c r="B215" s="82"/>
      <c r="C215" s="47"/>
      <c r="D215" s="47" t="s">
        <v>384</v>
      </c>
      <c r="E215" s="47" t="s">
        <v>385</v>
      </c>
      <c r="F215" s="48" t="s">
        <v>386</v>
      </c>
      <c r="G215" s="83"/>
    </row>
    <row r="216" spans="1:7" x14ac:dyDescent="0.2">
      <c r="B216" s="50" t="s">
        <v>388</v>
      </c>
      <c r="C216" s="51"/>
      <c r="D216" s="51">
        <f>'[2]2 все модули и цены'!E92</f>
        <v>6990</v>
      </c>
      <c r="E216" s="51"/>
      <c r="F216" s="52"/>
      <c r="G216" s="53"/>
    </row>
    <row r="217" spans="1:7" x14ac:dyDescent="0.2">
      <c r="B217" s="50" t="s">
        <v>489</v>
      </c>
      <c r="C217" s="51"/>
      <c r="D217" s="51">
        <f>'[2]комплекты фурнитуры'!Q21</f>
        <v>930</v>
      </c>
      <c r="E217" s="51">
        <v>1</v>
      </c>
      <c r="F217" s="52">
        <f t="shared" ref="F217:F222" si="8">D217*E217</f>
        <v>930</v>
      </c>
      <c r="G217" s="53"/>
    </row>
    <row r="218" spans="1:7" x14ac:dyDescent="0.2">
      <c r="B218" s="50" t="s">
        <v>401</v>
      </c>
      <c r="C218" s="51"/>
      <c r="D218" s="51">
        <f>'[2]комплекты фурнитуры'!Q27</f>
        <v>270</v>
      </c>
      <c r="E218" s="51">
        <v>2</v>
      </c>
      <c r="F218" s="52">
        <f t="shared" si="8"/>
        <v>540</v>
      </c>
      <c r="G218" s="53"/>
    </row>
    <row r="219" spans="1:7" x14ac:dyDescent="0.2">
      <c r="B219" s="50" t="s">
        <v>436</v>
      </c>
      <c r="C219" s="51"/>
      <c r="D219" s="51">
        <f>'[2]комплекты фурнитуры'!Q68</f>
        <v>500</v>
      </c>
      <c r="E219" s="51">
        <v>5</v>
      </c>
      <c r="F219" s="52">
        <f t="shared" si="8"/>
        <v>2500</v>
      </c>
      <c r="G219" s="53"/>
    </row>
    <row r="220" spans="1:7" x14ac:dyDescent="0.2">
      <c r="B220" s="50" t="s">
        <v>495</v>
      </c>
      <c r="C220" s="51"/>
      <c r="D220" s="51">
        <f>'[2]комплекты фурнитуры'!Q73</f>
        <v>6080</v>
      </c>
      <c r="E220" s="51">
        <v>1</v>
      </c>
      <c r="F220" s="52">
        <f t="shared" si="8"/>
        <v>6080</v>
      </c>
      <c r="G220" s="53"/>
    </row>
    <row r="221" spans="1:7" x14ac:dyDescent="0.2">
      <c r="B221" s="50" t="s">
        <v>403</v>
      </c>
      <c r="C221" s="51"/>
      <c r="D221" s="51">
        <f>'[2]комплекты фурнитуры'!Q69</f>
        <v>130</v>
      </c>
      <c r="E221" s="51">
        <v>7</v>
      </c>
      <c r="F221" s="52">
        <f t="shared" si="8"/>
        <v>910</v>
      </c>
      <c r="G221" s="53"/>
    </row>
    <row r="222" spans="1:7" x14ac:dyDescent="0.2">
      <c r="B222" s="50" t="s">
        <v>445</v>
      </c>
      <c r="C222" s="51"/>
      <c r="D222" s="51">
        <f>'[2]комплекты фурнитуры'!Q76</f>
        <v>2290</v>
      </c>
      <c r="E222" s="51">
        <v>1</v>
      </c>
      <c r="F222" s="52">
        <f t="shared" si="8"/>
        <v>2290</v>
      </c>
      <c r="G222" s="53"/>
    </row>
    <row r="223" spans="1:7" x14ac:dyDescent="0.2">
      <c r="B223" s="311" t="s">
        <v>497</v>
      </c>
      <c r="C223" s="133"/>
      <c r="D223" s="133"/>
      <c r="E223" s="133" t="s">
        <v>391</v>
      </c>
      <c r="F223" s="133" t="s">
        <v>392</v>
      </c>
      <c r="G223" s="132" t="s">
        <v>485</v>
      </c>
    </row>
    <row r="224" spans="1:7" ht="15" x14ac:dyDescent="0.2">
      <c r="A224" s="137">
        <v>19</v>
      </c>
      <c r="B224" s="311"/>
      <c r="C224" s="133">
        <v>600</v>
      </c>
      <c r="D224" s="138">
        <v>2040</v>
      </c>
      <c r="E224" s="135">
        <f>((((D216*$H$3-D216)/100)*$G224)+D216)+F217+F218+F219+F220+F222</f>
        <v>19330</v>
      </c>
      <c r="F224" s="135">
        <f>((((D216*$H$3-D216)/100)*$H224)+D216)+F217+F222+F221+F218</f>
        <v>11660</v>
      </c>
      <c r="G224" s="136"/>
    </row>
    <row r="225" spans="1:7" ht="15" x14ac:dyDescent="0.2">
      <c r="B225" s="311"/>
      <c r="C225" s="133">
        <v>600</v>
      </c>
      <c r="D225" s="138">
        <v>2280</v>
      </c>
      <c r="E225" s="135">
        <f>((((D216*$H$3-D216)/100)*$G225)+D216)+F217+F218+F219+F220+F222</f>
        <v>20672.080000000002</v>
      </c>
      <c r="F225" s="135">
        <f>((((D216*$H$3-D216)/100)*$G225)+D216)+F217+F218+F221+F222</f>
        <v>13002.080000000002</v>
      </c>
      <c r="G225" s="136">
        <v>240</v>
      </c>
    </row>
    <row r="227" spans="1:7" x14ac:dyDescent="0.2">
      <c r="B227" s="82"/>
      <c r="C227" s="47"/>
      <c r="D227" s="47" t="s">
        <v>384</v>
      </c>
      <c r="E227" s="47" t="s">
        <v>385</v>
      </c>
      <c r="F227" s="48" t="s">
        <v>386</v>
      </c>
      <c r="G227" s="83"/>
    </row>
    <row r="228" spans="1:7" x14ac:dyDescent="0.2">
      <c r="B228" s="50" t="s">
        <v>388</v>
      </c>
      <c r="C228" s="51"/>
      <c r="D228" s="51">
        <f>'[2]2 все модули и цены'!E93</f>
        <v>6310</v>
      </c>
      <c r="E228" s="51"/>
      <c r="F228" s="52"/>
      <c r="G228" s="53"/>
    </row>
    <row r="229" spans="1:7" x14ac:dyDescent="0.2">
      <c r="B229" s="50" t="s">
        <v>448</v>
      </c>
      <c r="C229" s="51"/>
      <c r="D229" s="51">
        <f>'[2]комплекты фурнитуры'!Q22</f>
        <v>1130</v>
      </c>
      <c r="E229" s="51">
        <v>1</v>
      </c>
      <c r="F229" s="52">
        <f t="shared" ref="F229:F234" si="9">D229*E229</f>
        <v>1130</v>
      </c>
      <c r="G229" s="53"/>
    </row>
    <row r="230" spans="1:7" x14ac:dyDescent="0.2">
      <c r="B230" s="50" t="s">
        <v>401</v>
      </c>
      <c r="C230" s="51"/>
      <c r="D230" s="51">
        <f>'[2]комплекты фурнитуры'!Q27</f>
        <v>270</v>
      </c>
      <c r="E230" s="51">
        <v>2</v>
      </c>
      <c r="F230" s="52">
        <f t="shared" si="9"/>
        <v>540</v>
      </c>
      <c r="G230" s="53"/>
    </row>
    <row r="231" spans="1:7" x14ac:dyDescent="0.2">
      <c r="B231" s="50" t="s">
        <v>436</v>
      </c>
      <c r="C231" s="51"/>
      <c r="D231" s="51">
        <f>'[2]комплекты фурнитуры'!Q68</f>
        <v>500</v>
      </c>
      <c r="E231" s="51">
        <v>5</v>
      </c>
      <c r="F231" s="52">
        <f t="shared" si="9"/>
        <v>2500</v>
      </c>
      <c r="G231" s="53"/>
    </row>
    <row r="232" spans="1:7" x14ac:dyDescent="0.2">
      <c r="B232" s="50" t="s">
        <v>495</v>
      </c>
      <c r="C232" s="51"/>
      <c r="D232" s="51">
        <f>'[2]комплекты фурнитуры'!Q73</f>
        <v>6080</v>
      </c>
      <c r="E232" s="51">
        <v>1</v>
      </c>
      <c r="F232" s="52">
        <f t="shared" si="9"/>
        <v>6080</v>
      </c>
      <c r="G232" s="53"/>
    </row>
    <row r="233" spans="1:7" x14ac:dyDescent="0.2">
      <c r="B233" s="50" t="s">
        <v>403</v>
      </c>
      <c r="C233" s="51"/>
      <c r="D233" s="51">
        <f>'[2]комплекты фурнитуры'!Q69</f>
        <v>130</v>
      </c>
      <c r="E233" s="51">
        <v>7</v>
      </c>
      <c r="F233" s="52">
        <f t="shared" si="9"/>
        <v>910</v>
      </c>
      <c r="G233" s="53"/>
    </row>
    <row r="234" spans="1:7" x14ac:dyDescent="0.2">
      <c r="B234" s="50" t="s">
        <v>445</v>
      </c>
      <c r="C234" s="51"/>
      <c r="D234" s="51">
        <f>'[2]комплекты фурнитуры'!Q76</f>
        <v>2290</v>
      </c>
      <c r="E234" s="51">
        <v>1</v>
      </c>
      <c r="F234" s="52">
        <f t="shared" si="9"/>
        <v>2290</v>
      </c>
      <c r="G234" s="53"/>
    </row>
    <row r="235" spans="1:7" x14ac:dyDescent="0.2">
      <c r="B235" s="311" t="s">
        <v>60</v>
      </c>
      <c r="C235" s="133"/>
      <c r="D235" s="133"/>
      <c r="E235" s="133" t="s">
        <v>391</v>
      </c>
      <c r="F235" s="133" t="s">
        <v>392</v>
      </c>
      <c r="G235" s="132" t="s">
        <v>485</v>
      </c>
    </row>
    <row r="236" spans="1:7" ht="15" x14ac:dyDescent="0.2">
      <c r="A236" s="137">
        <v>20</v>
      </c>
      <c r="B236" s="311"/>
      <c r="C236" s="133">
        <v>600</v>
      </c>
      <c r="D236" s="138">
        <v>2280</v>
      </c>
      <c r="E236" s="135">
        <f>((((D228*$H$3-D228)/100)*$G236)+D228)+F229+F230+F231+F232+F234</f>
        <v>18850</v>
      </c>
      <c r="F236" s="135">
        <f>((((D228*$H$3-D228)/100)*$H236)+D228)+F229+F234+F233+F230</f>
        <v>11180</v>
      </c>
      <c r="G236" s="136"/>
    </row>
  </sheetData>
  <mergeCells count="15">
    <mergeCell ref="B211:B213"/>
    <mergeCell ref="B223:B225"/>
    <mergeCell ref="B235:B236"/>
    <mergeCell ref="B138:B140"/>
    <mergeCell ref="B148:B150"/>
    <mergeCell ref="B158:B160"/>
    <mergeCell ref="B172:B174"/>
    <mergeCell ref="B186:B188"/>
    <mergeCell ref="B200:B202"/>
    <mergeCell ref="B124:B126"/>
    <mergeCell ref="B24:B25"/>
    <mergeCell ref="B34:B35"/>
    <mergeCell ref="B87:B89"/>
    <mergeCell ref="B97:B99"/>
    <mergeCell ref="B107:B109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693529-A093-4B73-88EF-2C598229068F}">
  <sheetPr codeName="Лист14">
    <tabColor rgb="FF00B0F0"/>
  </sheetPr>
  <dimension ref="A1:K332"/>
  <sheetViews>
    <sheetView zoomScale="130" zoomScaleNormal="130" workbookViewId="0">
      <selection activeCell="B264" sqref="B264"/>
    </sheetView>
  </sheetViews>
  <sheetFormatPr defaultRowHeight="12.75" x14ac:dyDescent="0.2"/>
  <cols>
    <col min="1" max="1" width="9.140625" style="31"/>
    <col min="2" max="2" width="9.42578125" style="99" customWidth="1"/>
    <col min="3" max="3" width="19" style="111" customWidth="1"/>
    <col min="4" max="4" width="20.7109375" style="111" customWidth="1"/>
    <col min="5" max="5" width="12.140625" style="99" bestFit="1" customWidth="1"/>
    <col min="6" max="6" width="24.85546875" style="99" customWidth="1"/>
    <col min="7" max="7" width="18.42578125" style="99" bestFit="1" customWidth="1"/>
    <col min="8" max="8" width="12" style="99" bestFit="1" customWidth="1"/>
    <col min="9" max="9" width="10.85546875" style="99" bestFit="1" customWidth="1"/>
    <col min="10" max="10" width="11.140625" style="99" bestFit="1" customWidth="1"/>
    <col min="11" max="11" width="10.28515625" style="99" bestFit="1" customWidth="1"/>
    <col min="12" max="12" width="14.140625" style="99" bestFit="1" customWidth="1"/>
    <col min="13" max="13" width="9.5703125" style="99" bestFit="1" customWidth="1"/>
    <col min="14" max="14" width="10.85546875" style="99" customWidth="1"/>
    <col min="15" max="16384" width="9.140625" style="99"/>
  </cols>
  <sheetData>
    <row r="1" spans="1:11" s="74" customFormat="1" x14ac:dyDescent="0.2">
      <c r="A1" s="31"/>
      <c r="C1" s="75"/>
      <c r="D1" s="75"/>
    </row>
    <row r="2" spans="1:11" s="74" customFormat="1" x14ac:dyDescent="0.2">
      <c r="A2" s="31"/>
      <c r="C2" s="75" t="s">
        <v>368</v>
      </c>
      <c r="D2" s="75"/>
      <c r="E2" s="74" t="s">
        <v>369</v>
      </c>
      <c r="F2" s="35" t="s">
        <v>370</v>
      </c>
      <c r="G2" s="35" t="s">
        <v>371</v>
      </c>
      <c r="H2" s="35" t="s">
        <v>372</v>
      </c>
    </row>
    <row r="3" spans="1:11" s="74" customFormat="1" x14ac:dyDescent="0.2">
      <c r="A3" s="31"/>
      <c r="C3" s="75" t="s">
        <v>373</v>
      </c>
      <c r="D3" s="75"/>
      <c r="E3" s="74" t="s">
        <v>374</v>
      </c>
      <c r="F3" s="76" t="s">
        <v>375</v>
      </c>
      <c r="G3" s="77">
        <v>0.08</v>
      </c>
      <c r="H3" s="35">
        <v>1.08</v>
      </c>
    </row>
    <row r="4" spans="1:11" s="74" customFormat="1" x14ac:dyDescent="0.2">
      <c r="A4" s="31"/>
      <c r="C4" s="75" t="s">
        <v>376</v>
      </c>
      <c r="D4" s="75"/>
      <c r="E4" s="74" t="s">
        <v>377</v>
      </c>
      <c r="F4" s="78" t="s">
        <v>378</v>
      </c>
      <c r="G4" s="79">
        <v>6.5000000000000002E-2</v>
      </c>
      <c r="H4" s="35">
        <v>1.0649999999999999</v>
      </c>
    </row>
    <row r="5" spans="1:11" s="74" customFormat="1" x14ac:dyDescent="0.2">
      <c r="A5" s="31"/>
      <c r="C5" s="75"/>
      <c r="D5" s="75"/>
      <c r="F5" s="78" t="s">
        <v>379</v>
      </c>
      <c r="G5" s="77">
        <v>0.17911771919160485</v>
      </c>
      <c r="H5" s="35">
        <v>1.18</v>
      </c>
    </row>
    <row r="6" spans="1:11" s="74" customFormat="1" ht="15" x14ac:dyDescent="0.2">
      <c r="A6" s="31"/>
      <c r="C6" s="75" t="s">
        <v>380</v>
      </c>
      <c r="D6" s="75"/>
      <c r="E6" s="74" t="s">
        <v>381</v>
      </c>
      <c r="F6" s="78" t="s">
        <v>382</v>
      </c>
      <c r="G6" s="79">
        <v>0.03</v>
      </c>
      <c r="H6" s="43">
        <v>1.03</v>
      </c>
    </row>
    <row r="7" spans="1:11" s="74" customFormat="1" x14ac:dyDescent="0.2">
      <c r="A7" s="31"/>
      <c r="C7" s="75"/>
      <c r="D7" s="75"/>
      <c r="F7" s="78" t="s">
        <v>383</v>
      </c>
      <c r="G7" s="77">
        <v>0.15718608559050146</v>
      </c>
      <c r="H7" s="35">
        <v>1.1599999999999999</v>
      </c>
    </row>
    <row r="8" spans="1:11" s="74" customFormat="1" ht="15" x14ac:dyDescent="0.25">
      <c r="A8" s="31"/>
      <c r="C8" s="75"/>
      <c r="D8" s="75"/>
      <c r="F8" s="80"/>
      <c r="G8" s="81"/>
      <c r="K8" s="46"/>
    </row>
    <row r="9" spans="1:11" s="74" customFormat="1" x14ac:dyDescent="0.2">
      <c r="A9" s="31"/>
      <c r="B9" s="82"/>
      <c r="C9" s="47"/>
      <c r="D9" s="47" t="s">
        <v>384</v>
      </c>
      <c r="E9" s="47" t="s">
        <v>385</v>
      </c>
      <c r="F9" s="48" t="s">
        <v>386</v>
      </c>
      <c r="G9" s="83"/>
      <c r="I9" s="84" t="s">
        <v>387</v>
      </c>
    </row>
    <row r="10" spans="1:11" s="74" customFormat="1" x14ac:dyDescent="0.2">
      <c r="A10" s="31"/>
      <c r="B10" s="50" t="s">
        <v>388</v>
      </c>
      <c r="C10" s="51"/>
      <c r="D10" s="51">
        <f>'[2]2 все модули и цены'!E47</f>
        <v>1510</v>
      </c>
      <c r="E10" s="51"/>
      <c r="F10" s="52"/>
      <c r="G10" s="53"/>
    </row>
    <row r="11" spans="1:11" s="74" customFormat="1" x14ac:dyDescent="0.2">
      <c r="A11" s="31"/>
      <c r="B11" s="50" t="s">
        <v>389</v>
      </c>
      <c r="C11" s="51"/>
      <c r="D11" s="51">
        <f>'[2]комплекты фурнитуры'!Q10</f>
        <v>540</v>
      </c>
      <c r="E11" s="51">
        <v>1</v>
      </c>
      <c r="F11" s="52">
        <f>D11*E11</f>
        <v>540</v>
      </c>
      <c r="G11" s="53"/>
    </row>
    <row r="12" spans="1:11" s="74" customFormat="1" x14ac:dyDescent="0.2">
      <c r="A12" s="31"/>
      <c r="B12" s="54" t="s">
        <v>439</v>
      </c>
      <c r="C12" s="51"/>
      <c r="D12" s="51">
        <f>'[2]комплекты фурнитуры'!Q79</f>
        <v>210</v>
      </c>
      <c r="E12" s="51">
        <v>1</v>
      </c>
      <c r="F12" s="52">
        <f>D12*E12</f>
        <v>210</v>
      </c>
      <c r="G12" s="53"/>
    </row>
    <row r="13" spans="1:11" s="74" customFormat="1" x14ac:dyDescent="0.2">
      <c r="A13" s="31"/>
      <c r="B13" s="54" t="s">
        <v>440</v>
      </c>
      <c r="C13" s="51"/>
      <c r="D13" s="51">
        <f>'[2]комплекты фурнитуры'!Q80</f>
        <v>20</v>
      </c>
      <c r="E13" s="51">
        <v>1</v>
      </c>
      <c r="F13" s="52">
        <f>D13*E13</f>
        <v>20</v>
      </c>
      <c r="G13" s="53"/>
      <c r="J13" s="85">
        <f>(1690+D11+D12+D13)*1.08</f>
        <v>2656.8</v>
      </c>
    </row>
    <row r="14" spans="1:11" s="74" customFormat="1" x14ac:dyDescent="0.2">
      <c r="A14" s="31"/>
      <c r="B14" s="86"/>
      <c r="C14" s="87"/>
      <c r="D14" s="87"/>
      <c r="E14" s="87" t="s">
        <v>391</v>
      </c>
      <c r="F14" s="87" t="s">
        <v>392</v>
      </c>
      <c r="G14" s="86" t="s">
        <v>393</v>
      </c>
    </row>
    <row r="15" spans="1:11" s="74" customFormat="1" ht="15" x14ac:dyDescent="0.2">
      <c r="A15" s="31">
        <v>1</v>
      </c>
      <c r="B15" s="313" t="s">
        <v>2</v>
      </c>
      <c r="C15" s="87" t="s">
        <v>394</v>
      </c>
      <c r="D15" s="88"/>
      <c r="E15" s="86"/>
      <c r="F15" s="88">
        <f>$D$10+$F$11+$F$12+F13</f>
        <v>2280</v>
      </c>
      <c r="G15" s="89"/>
      <c r="H15" s="90"/>
      <c r="I15" s="85"/>
      <c r="J15" s="43"/>
      <c r="K15" s="43"/>
    </row>
    <row r="16" spans="1:11" s="74" customFormat="1" ht="15" x14ac:dyDescent="0.2">
      <c r="A16" s="31"/>
      <c r="B16" s="313"/>
      <c r="C16" s="87">
        <v>350</v>
      </c>
      <c r="D16" s="88"/>
      <c r="E16" s="86"/>
      <c r="F16" s="88">
        <f>(((($D$10*$H$4-$D$10)/100)*$G16)+$D$10)+($F$11+$F$12+$F$13)</f>
        <v>2329.0749999999998</v>
      </c>
      <c r="G16" s="89">
        <v>50</v>
      </c>
      <c r="H16" s="90"/>
      <c r="I16" s="85"/>
      <c r="J16" s="91">
        <f>(((($D$10*$H$3-$D$10)/100)*240)+$D$10)+($F$11+$F$12+$F$13)</f>
        <v>2569.9200000000005</v>
      </c>
      <c r="K16" s="43"/>
    </row>
    <row r="17" spans="1:9" s="74" customFormat="1" ht="15" x14ac:dyDescent="0.2">
      <c r="A17" s="31"/>
      <c r="B17" s="313"/>
      <c r="C17" s="87" t="s">
        <v>395</v>
      </c>
      <c r="D17" s="88"/>
      <c r="E17" s="86"/>
      <c r="F17" s="88">
        <f t="shared" ref="F17:F23" si="0">(((($D$10*$H$4-$D$10)/100)*$G17)+$D$10)+($F$11+$F$12+$F$13)</f>
        <v>2378.1499999999996</v>
      </c>
      <c r="G17" s="92">
        <v>100</v>
      </c>
      <c r="H17" s="62"/>
      <c r="I17" s="93"/>
    </row>
    <row r="18" spans="1:9" s="74" customFormat="1" ht="15" x14ac:dyDescent="0.2">
      <c r="A18" s="31"/>
      <c r="B18" s="313"/>
      <c r="C18" s="87">
        <v>450</v>
      </c>
      <c r="D18" s="88"/>
      <c r="E18" s="86"/>
      <c r="F18" s="88">
        <f t="shared" si="0"/>
        <v>2427.2249999999999</v>
      </c>
      <c r="G18" s="92">
        <v>150</v>
      </c>
      <c r="H18" s="62"/>
      <c r="I18" s="93"/>
    </row>
    <row r="19" spans="1:9" s="74" customFormat="1" ht="15" x14ac:dyDescent="0.2">
      <c r="A19" s="31"/>
      <c r="B19" s="313"/>
      <c r="C19" s="87" t="s">
        <v>396</v>
      </c>
      <c r="D19" s="88"/>
      <c r="E19" s="86"/>
      <c r="F19" s="88">
        <f t="shared" si="0"/>
        <v>2476.2999999999997</v>
      </c>
      <c r="G19" s="92">
        <v>200</v>
      </c>
      <c r="H19" s="62"/>
      <c r="I19" s="93"/>
    </row>
    <row r="20" spans="1:9" s="74" customFormat="1" ht="15" x14ac:dyDescent="0.2">
      <c r="A20" s="31"/>
      <c r="B20" s="313"/>
      <c r="C20" s="87" t="s">
        <v>397</v>
      </c>
      <c r="D20" s="88"/>
      <c r="E20" s="86"/>
      <c r="F20" s="88">
        <f t="shared" si="0"/>
        <v>2574.4499999999998</v>
      </c>
      <c r="G20" s="92">
        <v>300</v>
      </c>
      <c r="H20" s="62"/>
      <c r="I20" s="93"/>
    </row>
    <row r="21" spans="1:9" s="74" customFormat="1" ht="15" x14ac:dyDescent="0.2">
      <c r="A21" s="31"/>
      <c r="B21" s="313"/>
      <c r="C21" s="87" t="s">
        <v>398</v>
      </c>
      <c r="D21" s="88"/>
      <c r="E21" s="86"/>
      <c r="F21" s="88">
        <f t="shared" si="0"/>
        <v>2672.5999999999995</v>
      </c>
      <c r="G21" s="92">
        <v>400</v>
      </c>
      <c r="H21" s="62"/>
      <c r="I21" s="93"/>
    </row>
    <row r="22" spans="1:9" s="74" customFormat="1" ht="15" x14ac:dyDescent="0.2">
      <c r="A22" s="31"/>
      <c r="B22" s="313"/>
      <c r="C22" s="87" t="s">
        <v>399</v>
      </c>
      <c r="D22" s="88"/>
      <c r="E22" s="86"/>
      <c r="F22" s="88">
        <f t="shared" si="0"/>
        <v>2770.7499999999991</v>
      </c>
      <c r="G22" s="92">
        <v>500</v>
      </c>
      <c r="H22" s="62"/>
      <c r="I22" s="93"/>
    </row>
    <row r="23" spans="1:9" s="74" customFormat="1" ht="15" x14ac:dyDescent="0.2">
      <c r="A23" s="31"/>
      <c r="B23" s="313"/>
      <c r="C23" s="87" t="s">
        <v>400</v>
      </c>
      <c r="D23" s="88"/>
      <c r="E23" s="86"/>
      <c r="F23" s="88">
        <f t="shared" si="0"/>
        <v>2868.8999999999992</v>
      </c>
      <c r="G23" s="92">
        <v>600</v>
      </c>
      <c r="H23" s="62"/>
      <c r="I23" s="93"/>
    </row>
    <row r="24" spans="1:9" ht="15" x14ac:dyDescent="0.2">
      <c r="B24" s="94"/>
      <c r="C24" s="47"/>
      <c r="D24" s="47"/>
      <c r="E24" s="82"/>
      <c r="F24" s="95"/>
      <c r="G24" s="96"/>
      <c r="H24" s="97"/>
      <c r="I24" s="98"/>
    </row>
    <row r="25" spans="1:9" ht="15" x14ac:dyDescent="0.2">
      <c r="B25" s="82"/>
      <c r="C25" s="47"/>
      <c r="D25" s="47" t="s">
        <v>384</v>
      </c>
      <c r="E25" s="47" t="s">
        <v>385</v>
      </c>
      <c r="F25" s="48" t="s">
        <v>386</v>
      </c>
      <c r="G25" s="96"/>
      <c r="H25" s="97"/>
      <c r="I25" s="98"/>
    </row>
    <row r="26" spans="1:9" ht="15" x14ac:dyDescent="0.2">
      <c r="B26" s="50" t="s">
        <v>388</v>
      </c>
      <c r="C26" s="51"/>
      <c r="D26" s="66">
        <f>'[2]2 все модули и цены'!E48</f>
        <v>1510</v>
      </c>
      <c r="E26" s="82"/>
      <c r="F26" s="52"/>
      <c r="G26" s="53"/>
      <c r="H26" s="97"/>
      <c r="I26" s="98"/>
    </row>
    <row r="27" spans="1:9" x14ac:dyDescent="0.2">
      <c r="B27" s="50" t="s">
        <v>441</v>
      </c>
      <c r="C27" s="51"/>
      <c r="D27" s="51">
        <f>D11</f>
        <v>540</v>
      </c>
      <c r="E27" s="66">
        <v>1</v>
      </c>
      <c r="F27" s="52">
        <f>D27*E27</f>
        <v>540</v>
      </c>
      <c r="G27" s="53"/>
    </row>
    <row r="28" spans="1:9" x14ac:dyDescent="0.2">
      <c r="B28" s="54" t="s">
        <v>439</v>
      </c>
      <c r="C28" s="51"/>
      <c r="D28" s="51">
        <f>'[2]комплекты фурнитуры'!Q79</f>
        <v>210</v>
      </c>
      <c r="E28" s="66">
        <v>1</v>
      </c>
      <c r="F28" s="52">
        <f>D28*E28</f>
        <v>210</v>
      </c>
      <c r="G28" s="53"/>
    </row>
    <row r="29" spans="1:9" x14ac:dyDescent="0.2">
      <c r="B29" s="54" t="s">
        <v>440</v>
      </c>
      <c r="C29" s="51"/>
      <c r="D29" s="51">
        <f>'[2]комплекты фурнитуры'!Q80</f>
        <v>20</v>
      </c>
      <c r="E29" s="66">
        <v>1</v>
      </c>
      <c r="F29" s="52">
        <f>D29*E29</f>
        <v>20</v>
      </c>
      <c r="G29" s="53"/>
    </row>
    <row r="30" spans="1:9" x14ac:dyDescent="0.2">
      <c r="B30" s="50" t="s">
        <v>402</v>
      </c>
      <c r="C30" s="51"/>
      <c r="D30" s="51">
        <f>'[2]комплекты фурнитуры'!Q68</f>
        <v>500</v>
      </c>
      <c r="E30" s="66">
        <v>2</v>
      </c>
      <c r="F30" s="52">
        <f>D30*E30</f>
        <v>1000</v>
      </c>
      <c r="G30" s="53"/>
    </row>
    <row r="31" spans="1:9" x14ac:dyDescent="0.2">
      <c r="B31" s="50" t="s">
        <v>403</v>
      </c>
      <c r="C31" s="51"/>
      <c r="D31" s="51">
        <f>'[2]комплекты фурнитуры'!Q69</f>
        <v>130</v>
      </c>
      <c r="E31" s="66">
        <v>2</v>
      </c>
      <c r="F31" s="52">
        <f>D31*E31</f>
        <v>260</v>
      </c>
      <c r="G31" s="53"/>
    </row>
    <row r="32" spans="1:9" x14ac:dyDescent="0.2">
      <c r="B32" s="82"/>
      <c r="C32" s="47"/>
      <c r="D32" s="100"/>
      <c r="E32" s="66"/>
      <c r="F32" s="52"/>
      <c r="G32" s="82"/>
    </row>
    <row r="33" spans="1:9" x14ac:dyDescent="0.2">
      <c r="A33" s="31">
        <v>2</v>
      </c>
      <c r="B33" s="314" t="s">
        <v>132</v>
      </c>
      <c r="C33" s="101"/>
      <c r="D33" s="101"/>
      <c r="E33" s="101" t="s">
        <v>391</v>
      </c>
      <c r="F33" s="101" t="s">
        <v>392</v>
      </c>
      <c r="G33" s="102"/>
    </row>
    <row r="34" spans="1:9" ht="15" x14ac:dyDescent="0.2">
      <c r="B34" s="314"/>
      <c r="C34" s="101" t="s">
        <v>394</v>
      </c>
      <c r="D34" s="101"/>
      <c r="E34" s="103">
        <f t="shared" ref="E34:E39" si="1">(((($D$26*$H$4-$D$26)/100)*$G34)+$D$26)+($F$27+$F$28+$F$30+$F$29)</f>
        <v>3280</v>
      </c>
      <c r="F34" s="103">
        <f t="shared" ref="F34:F39" si="2">(((($D$26*$H$4-$D$26)/100)*$G34)+$D$26)+($F$27+$F$28+$F$31+$F$29)</f>
        <v>2540</v>
      </c>
      <c r="G34" s="104"/>
      <c r="H34" s="98"/>
      <c r="I34" s="105"/>
    </row>
    <row r="35" spans="1:9" ht="15" x14ac:dyDescent="0.2">
      <c r="B35" s="314"/>
      <c r="C35" s="101">
        <v>350</v>
      </c>
      <c r="D35" s="101"/>
      <c r="E35" s="103">
        <f t="shared" si="1"/>
        <v>3329.0749999999998</v>
      </c>
      <c r="F35" s="103">
        <f t="shared" si="2"/>
        <v>2589.0749999999998</v>
      </c>
      <c r="G35" s="104">
        <v>50</v>
      </c>
      <c r="H35" s="98"/>
      <c r="I35" s="105"/>
    </row>
    <row r="36" spans="1:9" ht="15" x14ac:dyDescent="0.2">
      <c r="B36" s="314"/>
      <c r="C36" s="101" t="s">
        <v>395</v>
      </c>
      <c r="D36" s="101"/>
      <c r="E36" s="103">
        <f t="shared" si="1"/>
        <v>3378.1499999999996</v>
      </c>
      <c r="F36" s="103">
        <f t="shared" si="2"/>
        <v>2638.1499999999996</v>
      </c>
      <c r="G36" s="106">
        <v>100</v>
      </c>
      <c r="H36" s="97"/>
      <c r="I36" s="98"/>
    </row>
    <row r="37" spans="1:9" ht="15" x14ac:dyDescent="0.2">
      <c r="B37" s="314"/>
      <c r="C37" s="101">
        <v>450</v>
      </c>
      <c r="D37" s="101"/>
      <c r="E37" s="103">
        <f t="shared" si="1"/>
        <v>3427.2249999999999</v>
      </c>
      <c r="F37" s="103">
        <f t="shared" si="2"/>
        <v>2687.2249999999999</v>
      </c>
      <c r="G37" s="106">
        <v>150</v>
      </c>
      <c r="H37" s="97"/>
      <c r="I37" s="98"/>
    </row>
    <row r="38" spans="1:9" ht="15" x14ac:dyDescent="0.2">
      <c r="B38" s="314"/>
      <c r="C38" s="101" t="s">
        <v>396</v>
      </c>
      <c r="D38" s="101"/>
      <c r="E38" s="103">
        <f t="shared" si="1"/>
        <v>3476.2999999999997</v>
      </c>
      <c r="F38" s="103">
        <f t="shared" si="2"/>
        <v>2736.2999999999997</v>
      </c>
      <c r="G38" s="106">
        <v>200</v>
      </c>
      <c r="H38" s="97"/>
      <c r="I38" s="98"/>
    </row>
    <row r="39" spans="1:9" ht="15" x14ac:dyDescent="0.2">
      <c r="B39" s="314"/>
      <c r="C39" s="101" t="s">
        <v>397</v>
      </c>
      <c r="D39" s="101"/>
      <c r="E39" s="103">
        <f t="shared" si="1"/>
        <v>3574.45</v>
      </c>
      <c r="F39" s="103">
        <f t="shared" si="2"/>
        <v>2834.45</v>
      </c>
      <c r="G39" s="106">
        <v>300</v>
      </c>
      <c r="H39" s="97"/>
      <c r="I39" s="98"/>
    </row>
    <row r="41" spans="1:9" ht="15" x14ac:dyDescent="0.2">
      <c r="B41" s="82"/>
      <c r="C41" s="47"/>
      <c r="D41" s="47" t="s">
        <v>384</v>
      </c>
      <c r="E41" s="47" t="s">
        <v>385</v>
      </c>
      <c r="F41" s="48" t="s">
        <v>386</v>
      </c>
      <c r="G41" s="96"/>
      <c r="H41" s="97"/>
      <c r="I41" s="98"/>
    </row>
    <row r="42" spans="1:9" ht="15" x14ac:dyDescent="0.2">
      <c r="B42" s="50" t="s">
        <v>388</v>
      </c>
      <c r="C42" s="51"/>
      <c r="D42" s="66">
        <f>'[2]2 все модули и цены'!E48</f>
        <v>1510</v>
      </c>
      <c r="E42" s="82"/>
      <c r="F42" s="52"/>
      <c r="G42" s="53"/>
      <c r="H42" s="97"/>
      <c r="I42" s="98"/>
    </row>
    <row r="43" spans="1:9" x14ac:dyDescent="0.2">
      <c r="B43" s="50" t="s">
        <v>442</v>
      </c>
      <c r="C43" s="51"/>
      <c r="D43" s="51">
        <f>'[2]комплекты фурнитуры'!Q20</f>
        <v>740</v>
      </c>
      <c r="E43" s="66">
        <v>1</v>
      </c>
      <c r="F43" s="52">
        <f>D43*E43</f>
        <v>740</v>
      </c>
      <c r="G43" s="53"/>
    </row>
    <row r="44" spans="1:9" x14ac:dyDescent="0.2">
      <c r="B44" s="54" t="s">
        <v>439</v>
      </c>
      <c r="C44" s="51"/>
      <c r="D44" s="51">
        <f>'[2]комплекты фурнитуры'!Q79</f>
        <v>210</v>
      </c>
      <c r="E44" s="66">
        <v>1</v>
      </c>
      <c r="F44" s="52">
        <f>D44*E44</f>
        <v>210</v>
      </c>
      <c r="G44" s="53"/>
    </row>
    <row r="45" spans="1:9" x14ac:dyDescent="0.2">
      <c r="B45" s="54" t="s">
        <v>440</v>
      </c>
      <c r="C45" s="51"/>
      <c r="D45" s="51">
        <f>'[2]комплекты фурнитуры'!Q80</f>
        <v>20</v>
      </c>
      <c r="E45" s="66">
        <v>1</v>
      </c>
      <c r="F45" s="52">
        <f>D45*E45</f>
        <v>20</v>
      </c>
      <c r="G45" s="53"/>
    </row>
    <row r="46" spans="1:9" x14ac:dyDescent="0.2">
      <c r="B46" s="50" t="s">
        <v>402</v>
      </c>
      <c r="C46" s="51"/>
      <c r="D46" s="51">
        <f>'[2]комплекты фурнитуры'!Q68</f>
        <v>500</v>
      </c>
      <c r="E46" s="66">
        <v>2</v>
      </c>
      <c r="F46" s="52">
        <f>D46*E46</f>
        <v>1000</v>
      </c>
      <c r="G46" s="53"/>
    </row>
    <row r="47" spans="1:9" x14ac:dyDescent="0.2">
      <c r="B47" s="50" t="s">
        <v>403</v>
      </c>
      <c r="C47" s="51"/>
      <c r="D47" s="51">
        <f>'[2]комплекты фурнитуры'!Q69</f>
        <v>130</v>
      </c>
      <c r="E47" s="66">
        <v>2</v>
      </c>
      <c r="F47" s="52">
        <f>D47*E47</f>
        <v>260</v>
      </c>
      <c r="G47" s="53"/>
    </row>
    <row r="48" spans="1:9" x14ac:dyDescent="0.2">
      <c r="B48" s="82"/>
      <c r="C48" s="47"/>
      <c r="D48" s="100"/>
      <c r="E48" s="66"/>
      <c r="F48" s="52"/>
      <c r="G48" s="82"/>
    </row>
    <row r="49" spans="1:11" x14ac:dyDescent="0.2">
      <c r="A49" s="31">
        <v>3</v>
      </c>
      <c r="B49" s="107" t="s">
        <v>133</v>
      </c>
      <c r="C49" s="101"/>
      <c r="D49" s="101"/>
      <c r="E49" s="101" t="s">
        <v>391</v>
      </c>
      <c r="F49" s="101" t="s">
        <v>392</v>
      </c>
      <c r="G49" s="87" t="s">
        <v>377</v>
      </c>
      <c r="H49" s="87" t="s">
        <v>374</v>
      </c>
      <c r="I49" s="87" t="s">
        <v>381</v>
      </c>
    </row>
    <row r="50" spans="1:11" ht="15" x14ac:dyDescent="0.2">
      <c r="B50" s="107"/>
      <c r="C50" s="101">
        <v>450</v>
      </c>
      <c r="D50" s="101"/>
      <c r="E50" s="103">
        <f>((($D$42*$H$4-$D$42)/100)*$G50)+((($D$42*$H$3-$D$42)/100)*$H50)+((($D$42*$H$6-$D$42)/100)*$I50)+$D$42+F43+F44+F45+F46</f>
        <v>3935.2650000000003</v>
      </c>
      <c r="F50" s="103">
        <f>((($D$42*$H$4-$D$42)/100)*$G50)+((($D$42*$H$3-$D$42)/100)*$H50)+((($D$42*$H$6-$D$42)/100)*$I50)+$D$42+F43+F44+F45+F47</f>
        <v>3195.2650000000003</v>
      </c>
      <c r="G50" s="104">
        <v>150</v>
      </c>
      <c r="H50" s="104">
        <v>240</v>
      </c>
      <c r="I50" s="104">
        <v>40</v>
      </c>
    </row>
    <row r="51" spans="1:11" ht="15" x14ac:dyDescent="0.2">
      <c r="B51" s="107"/>
      <c r="C51" s="101">
        <v>600</v>
      </c>
      <c r="D51" s="101"/>
      <c r="E51" s="103">
        <f>((($D$42*$H$4-$D$42)/100)*$G51)+((($D$42*$H$3-$D$42)/100)*$H51)+((($D$42*$H$6-$D$42)/100)*$I51)+$D$42+F43+F44+F45+F46</f>
        <v>4082.49</v>
      </c>
      <c r="F51" s="103">
        <f>((($D$42*$H$4-$D$42)/100)*$G51)+((($D$42*$H$3-$D$42)/100)*$H51)+((($D$42*$H$6-$D$42)/100)*$I51)+$D$42+F43+F44+F45+F47</f>
        <v>3342.49</v>
      </c>
      <c r="G51" s="104">
        <v>300</v>
      </c>
      <c r="H51" s="104">
        <v>240</v>
      </c>
      <c r="I51" s="104">
        <v>40</v>
      </c>
    </row>
    <row r="53" spans="1:11" ht="15" x14ac:dyDescent="0.2">
      <c r="B53" s="82"/>
      <c r="C53" s="47"/>
      <c r="D53" s="47" t="s">
        <v>384</v>
      </c>
      <c r="E53" s="47" t="s">
        <v>385</v>
      </c>
      <c r="F53" s="48" t="s">
        <v>386</v>
      </c>
      <c r="G53" s="96"/>
    </row>
    <row r="54" spans="1:11" x14ac:dyDescent="0.2">
      <c r="B54" s="50" t="s">
        <v>388</v>
      </c>
      <c r="C54" s="51"/>
      <c r="D54" s="66">
        <f>'[2]2 все модули и цены'!E49</f>
        <v>1510</v>
      </c>
      <c r="E54" s="82"/>
      <c r="F54" s="52"/>
      <c r="G54" s="53"/>
    </row>
    <row r="55" spans="1:11" x14ac:dyDescent="0.2">
      <c r="B55" s="50" t="s">
        <v>389</v>
      </c>
      <c r="C55" s="51"/>
      <c r="D55" s="51">
        <f>'[2]комплекты фурнитуры'!Q10</f>
        <v>540</v>
      </c>
      <c r="E55" s="66">
        <v>1</v>
      </c>
      <c r="F55" s="52">
        <f t="shared" ref="F55:F61" si="3">D55*E55</f>
        <v>540</v>
      </c>
      <c r="G55" s="53"/>
    </row>
    <row r="56" spans="1:11" x14ac:dyDescent="0.2">
      <c r="B56" s="54" t="s">
        <v>439</v>
      </c>
      <c r="C56" s="51"/>
      <c r="D56" s="51">
        <f>'[2]комплекты фурнитуры'!Q79</f>
        <v>210</v>
      </c>
      <c r="E56" s="66">
        <v>1</v>
      </c>
      <c r="F56" s="52">
        <f t="shared" si="3"/>
        <v>210</v>
      </c>
      <c r="G56" s="53"/>
    </row>
    <row r="57" spans="1:11" x14ac:dyDescent="0.2">
      <c r="B57" s="54" t="s">
        <v>440</v>
      </c>
      <c r="C57" s="51"/>
      <c r="D57" s="51">
        <f>'[2]комплекты фурнитуры'!Q80</f>
        <v>20</v>
      </c>
      <c r="E57" s="66">
        <v>1</v>
      </c>
      <c r="F57" s="52">
        <f t="shared" si="3"/>
        <v>20</v>
      </c>
      <c r="G57" s="53"/>
    </row>
    <row r="58" spans="1:11" ht="36" customHeight="1" x14ac:dyDescent="0.2">
      <c r="B58" s="315" t="s">
        <v>443</v>
      </c>
      <c r="C58" s="315"/>
      <c r="D58" s="51">
        <f>'[2]комплекты фурнитуры'!Q73</f>
        <v>6080</v>
      </c>
      <c r="E58" s="66">
        <v>1</v>
      </c>
      <c r="F58" s="52">
        <f t="shared" si="3"/>
        <v>6080</v>
      </c>
      <c r="G58" s="53"/>
    </row>
    <row r="59" spans="1:11" x14ac:dyDescent="0.2">
      <c r="B59" s="50" t="s">
        <v>444</v>
      </c>
      <c r="C59" s="51"/>
      <c r="D59" s="51">
        <f>'[2]комплекты фурнитуры'!Q74</f>
        <v>6940</v>
      </c>
      <c r="E59" s="66">
        <v>1</v>
      </c>
      <c r="F59" s="52">
        <f t="shared" si="3"/>
        <v>6940</v>
      </c>
      <c r="G59" s="53"/>
    </row>
    <row r="60" spans="1:11" x14ac:dyDescent="0.2">
      <c r="B60" s="50" t="s">
        <v>403</v>
      </c>
      <c r="C60" s="51"/>
      <c r="D60" s="51">
        <f>'[2]комплекты фурнитуры'!Q69</f>
        <v>130</v>
      </c>
      <c r="E60" s="66">
        <v>2</v>
      </c>
      <c r="F60" s="52">
        <f t="shared" si="3"/>
        <v>260</v>
      </c>
      <c r="G60" s="53"/>
    </row>
    <row r="61" spans="1:11" x14ac:dyDescent="0.2">
      <c r="B61" s="82" t="s">
        <v>445</v>
      </c>
      <c r="C61" s="47"/>
      <c r="D61" s="100">
        <f>'[2]комплекты фурнитуры'!Q76</f>
        <v>2290</v>
      </c>
      <c r="E61" s="66">
        <v>1</v>
      </c>
      <c r="F61" s="52">
        <f t="shared" si="3"/>
        <v>2290</v>
      </c>
      <c r="G61" s="82"/>
    </row>
    <row r="62" spans="1:11" x14ac:dyDescent="0.2">
      <c r="A62" s="31">
        <v>4</v>
      </c>
      <c r="B62" s="313" t="s">
        <v>134</v>
      </c>
      <c r="C62" s="87"/>
      <c r="D62" s="87"/>
      <c r="E62" s="87" t="s">
        <v>391</v>
      </c>
      <c r="F62" s="87" t="s">
        <v>392</v>
      </c>
      <c r="G62" s="87" t="s">
        <v>377</v>
      </c>
      <c r="H62" s="87" t="s">
        <v>374</v>
      </c>
    </row>
    <row r="63" spans="1:11" ht="15" x14ac:dyDescent="0.2">
      <c r="B63" s="313"/>
      <c r="C63" s="87">
        <v>400</v>
      </c>
      <c r="D63" s="87"/>
      <c r="E63" s="88">
        <f>((-(($D$54*$H$3-$D$54)/100)*$H63)+((($D$54*$H$4-$D$54)/100)*$G63)+$D$54)+($F$55+$F$56+$F$57+$F$58)</f>
        <v>8023.2699999999995</v>
      </c>
      <c r="F63" s="88">
        <f t="shared" ref="F63:F69" si="4">((-(($D$54*$H$3-$D$54)/100)*$H63)+((($D$54*$H$4-$D$54)/100)*$G63)+$D$54)+($F$55+$F$56+$F$57+$F$61+$F$60)</f>
        <v>4493.2699999999995</v>
      </c>
      <c r="G63" s="89">
        <v>100</v>
      </c>
      <c r="H63" s="89">
        <f>720-360</f>
        <v>360</v>
      </c>
      <c r="K63" s="59"/>
    </row>
    <row r="64" spans="1:11" ht="15" x14ac:dyDescent="0.2">
      <c r="B64" s="313"/>
      <c r="C64" s="87">
        <v>450</v>
      </c>
      <c r="D64" s="87"/>
      <c r="E64" s="88">
        <f t="shared" ref="E64:E68" si="5">((-(($D$54*$H$3-$D$54)/100)*$H64)+((($D$54*$H$4-$D$54)/100)*$G64)+$D$54)+($F$55+$F$56+$F$57+$F$58)</f>
        <v>8072.3449999999993</v>
      </c>
      <c r="F64" s="88">
        <f t="shared" si="4"/>
        <v>4542.3449999999993</v>
      </c>
      <c r="G64" s="89">
        <v>150</v>
      </c>
      <c r="H64" s="89">
        <f t="shared" ref="H64:H69" si="6">720-360</f>
        <v>360</v>
      </c>
    </row>
    <row r="65" spans="1:11" ht="15" x14ac:dyDescent="0.2">
      <c r="B65" s="313"/>
      <c r="C65" s="87">
        <v>500</v>
      </c>
      <c r="D65" s="87"/>
      <c r="E65" s="88">
        <f t="shared" si="5"/>
        <v>8121.4199999999992</v>
      </c>
      <c r="F65" s="88">
        <f t="shared" si="4"/>
        <v>4591.4199999999992</v>
      </c>
      <c r="G65" s="89">
        <v>200</v>
      </c>
      <c r="H65" s="89">
        <f t="shared" si="6"/>
        <v>360</v>
      </c>
    </row>
    <row r="66" spans="1:11" ht="15" x14ac:dyDescent="0.2">
      <c r="B66" s="313"/>
      <c r="C66" s="87">
        <v>600</v>
      </c>
      <c r="D66" s="87"/>
      <c r="E66" s="88">
        <f t="shared" si="5"/>
        <v>8219.57</v>
      </c>
      <c r="F66" s="88">
        <f t="shared" si="4"/>
        <v>4689.5699999999988</v>
      </c>
      <c r="G66" s="89">
        <v>300</v>
      </c>
      <c r="H66" s="89">
        <f t="shared" si="6"/>
        <v>360</v>
      </c>
    </row>
    <row r="67" spans="1:11" ht="15" x14ac:dyDescent="0.2">
      <c r="B67" s="313"/>
      <c r="C67" s="87">
        <v>700</v>
      </c>
      <c r="D67" s="87"/>
      <c r="E67" s="88">
        <f t="shared" si="5"/>
        <v>8317.7199999999993</v>
      </c>
      <c r="F67" s="88">
        <f t="shared" si="4"/>
        <v>4787.7199999999993</v>
      </c>
      <c r="G67" s="89">
        <v>400</v>
      </c>
      <c r="H67" s="89">
        <f t="shared" si="6"/>
        <v>360</v>
      </c>
    </row>
    <row r="68" spans="1:11" ht="15" x14ac:dyDescent="0.2">
      <c r="B68" s="313"/>
      <c r="C68" s="87">
        <v>800</v>
      </c>
      <c r="D68" s="87"/>
      <c r="E68" s="88">
        <f t="shared" si="5"/>
        <v>8415.869999999999</v>
      </c>
      <c r="F68" s="88">
        <f t="shared" si="4"/>
        <v>4885.869999999999</v>
      </c>
      <c r="G68" s="92">
        <v>500</v>
      </c>
      <c r="H68" s="89">
        <f t="shared" si="6"/>
        <v>360</v>
      </c>
    </row>
    <row r="69" spans="1:11" ht="15" x14ac:dyDescent="0.2">
      <c r="B69" s="313"/>
      <c r="C69" s="87">
        <v>900</v>
      </c>
      <c r="D69" s="87"/>
      <c r="E69" s="88">
        <f>((-(($D$54*$H$3-$D$54)/100)*$H69)+((($D$54*$H$4-$D$54)/100)*$G69)+$D$54)+($F$55+$F$56+$F$57+$F$58)</f>
        <v>8514.0199999999986</v>
      </c>
      <c r="F69" s="88">
        <f t="shared" si="4"/>
        <v>4984.0199999999986</v>
      </c>
      <c r="G69" s="92">
        <v>600</v>
      </c>
      <c r="H69" s="89">
        <f t="shared" si="6"/>
        <v>360</v>
      </c>
    </row>
    <row r="71" spans="1:11" ht="15" x14ac:dyDescent="0.2">
      <c r="B71" s="82"/>
      <c r="C71" s="47"/>
      <c r="D71" s="47" t="s">
        <v>384</v>
      </c>
      <c r="E71" s="47" t="s">
        <v>385</v>
      </c>
      <c r="F71" s="48" t="s">
        <v>386</v>
      </c>
      <c r="G71" s="96"/>
    </row>
    <row r="72" spans="1:11" x14ac:dyDescent="0.2">
      <c r="B72" s="50" t="s">
        <v>388</v>
      </c>
      <c r="C72" s="51"/>
      <c r="D72" s="66">
        <f>D54</f>
        <v>1510</v>
      </c>
      <c r="E72" s="82"/>
      <c r="F72" s="52"/>
      <c r="G72" s="53"/>
    </row>
    <row r="73" spans="1:11" x14ac:dyDescent="0.2">
      <c r="B73" s="50" t="s">
        <v>430</v>
      </c>
      <c r="C73" s="51"/>
      <c r="D73" s="51">
        <f>'[2]комплекты фурнитуры'!Q20</f>
        <v>740</v>
      </c>
      <c r="E73" s="66">
        <v>1</v>
      </c>
      <c r="F73" s="52">
        <f t="shared" ref="F73:F78" si="7">D73*E73</f>
        <v>740</v>
      </c>
      <c r="G73" s="53"/>
    </row>
    <row r="74" spans="1:11" x14ac:dyDescent="0.2">
      <c r="B74" s="54" t="s">
        <v>439</v>
      </c>
      <c r="C74" s="51"/>
      <c r="D74" s="51">
        <f>'[2]комплекты фурнитуры'!Q79</f>
        <v>210</v>
      </c>
      <c r="E74" s="66">
        <v>1</v>
      </c>
      <c r="F74" s="52">
        <f t="shared" si="7"/>
        <v>210</v>
      </c>
      <c r="G74" s="53"/>
    </row>
    <row r="75" spans="1:11" x14ac:dyDescent="0.2">
      <c r="B75" s="54" t="s">
        <v>446</v>
      </c>
      <c r="C75" s="51"/>
      <c r="D75" s="51">
        <f>'[2]комплекты фурнитуры'!Q80</f>
        <v>20</v>
      </c>
      <c r="E75" s="66">
        <v>1</v>
      </c>
      <c r="F75" s="52">
        <f t="shared" si="7"/>
        <v>20</v>
      </c>
      <c r="G75" s="53"/>
    </row>
    <row r="76" spans="1:11" x14ac:dyDescent="0.2">
      <c r="B76" s="50" t="s">
        <v>443</v>
      </c>
      <c r="C76" s="51"/>
      <c r="D76" s="51">
        <f>'[2]комплекты фурнитуры'!Q73</f>
        <v>6080</v>
      </c>
      <c r="E76" s="66">
        <v>1</v>
      </c>
      <c r="F76" s="52">
        <f t="shared" si="7"/>
        <v>6080</v>
      </c>
      <c r="G76" s="53"/>
    </row>
    <row r="77" spans="1:11" x14ac:dyDescent="0.2">
      <c r="B77" s="50" t="s">
        <v>403</v>
      </c>
      <c r="C77" s="51"/>
      <c r="D77" s="51">
        <f>'[2]комплекты фурнитуры'!Q69</f>
        <v>130</v>
      </c>
      <c r="E77" s="66">
        <v>2</v>
      </c>
      <c r="F77" s="52">
        <f t="shared" si="7"/>
        <v>260</v>
      </c>
      <c r="G77" s="53"/>
    </row>
    <row r="78" spans="1:11" x14ac:dyDescent="0.2">
      <c r="B78" s="82" t="s">
        <v>445</v>
      </c>
      <c r="C78" s="47"/>
      <c r="D78" s="100">
        <f>'[2]комплекты фурнитуры'!Q76</f>
        <v>2290</v>
      </c>
      <c r="E78" s="66">
        <v>1</v>
      </c>
      <c r="F78" s="52">
        <f t="shared" si="7"/>
        <v>2290</v>
      </c>
      <c r="G78" s="82"/>
    </row>
    <row r="79" spans="1:11" x14ac:dyDescent="0.2">
      <c r="A79" s="31">
        <v>5</v>
      </c>
      <c r="B79" s="313" t="s">
        <v>135</v>
      </c>
      <c r="C79" s="87"/>
      <c r="D79" s="87"/>
      <c r="E79" s="87" t="s">
        <v>391</v>
      </c>
      <c r="F79" s="87" t="s">
        <v>392</v>
      </c>
      <c r="G79" s="87" t="s">
        <v>377</v>
      </c>
      <c r="H79" s="87" t="s">
        <v>381</v>
      </c>
    </row>
    <row r="80" spans="1:11" ht="15" x14ac:dyDescent="0.2">
      <c r="B80" s="313"/>
      <c r="C80" s="87">
        <v>600</v>
      </c>
      <c r="D80" s="87"/>
      <c r="E80" s="88">
        <f>(((($D$72*$H$4-$D$72)/100)*$G80))+(((($D$72*$H$6-$D$72)/100)*$H80))+$D$72+F73+F74+F75+F76</f>
        <v>8872.57</v>
      </c>
      <c r="F80" s="88">
        <f>(((($D$72*$H$4-$D$72)/100)*$G80))+(((($D$72*$H$6-$D$72)/100)*$H80))+$D$72+F73+F74+F75+F77+F78</f>
        <v>5342.57</v>
      </c>
      <c r="G80" s="89">
        <v>300</v>
      </c>
      <c r="H80" s="89">
        <v>40</v>
      </c>
      <c r="K80" s="59"/>
    </row>
    <row r="81" spans="1:8" ht="15" x14ac:dyDescent="0.2">
      <c r="B81" s="82"/>
      <c r="C81" s="47"/>
      <c r="D81" s="47" t="s">
        <v>384</v>
      </c>
      <c r="E81" s="47" t="s">
        <v>385</v>
      </c>
      <c r="F81" s="48" t="s">
        <v>386</v>
      </c>
      <c r="G81" s="96"/>
    </row>
    <row r="82" spans="1:8" x14ac:dyDescent="0.2">
      <c r="B82" s="50" t="s">
        <v>388</v>
      </c>
      <c r="C82" s="51"/>
      <c r="D82" s="66">
        <f>'[2]2 все модули и цены'!E50</f>
        <v>1510</v>
      </c>
      <c r="E82" s="82"/>
      <c r="F82" s="52"/>
      <c r="G82" s="53"/>
    </row>
    <row r="83" spans="1:8" x14ac:dyDescent="0.2">
      <c r="B83" s="50" t="s">
        <v>441</v>
      </c>
      <c r="C83" s="51"/>
      <c r="D83" s="51">
        <f>'[2]комплекты фурнитуры'!Q10</f>
        <v>540</v>
      </c>
      <c r="E83" s="66">
        <v>1</v>
      </c>
      <c r="F83" s="52">
        <f>D83*E83</f>
        <v>540</v>
      </c>
      <c r="G83" s="53"/>
      <c r="H83" s="82"/>
    </row>
    <row r="84" spans="1:8" x14ac:dyDescent="0.2">
      <c r="B84" s="54" t="s">
        <v>439</v>
      </c>
      <c r="C84" s="51"/>
      <c r="D84" s="51">
        <f>'[2]комплекты фурнитуры'!Q79</f>
        <v>210</v>
      </c>
      <c r="E84" s="66">
        <v>1</v>
      </c>
      <c r="F84" s="52">
        <f>D84*E84</f>
        <v>210</v>
      </c>
      <c r="G84" s="53"/>
      <c r="H84" s="82"/>
    </row>
    <row r="85" spans="1:8" x14ac:dyDescent="0.2">
      <c r="B85" s="54" t="s">
        <v>440</v>
      </c>
      <c r="C85" s="51"/>
      <c r="D85" s="51">
        <f>'[2]комплекты фурнитуры'!Q80</f>
        <v>20</v>
      </c>
      <c r="E85" s="66">
        <v>1</v>
      </c>
      <c r="F85" s="52">
        <f>D85*E85</f>
        <v>20</v>
      </c>
      <c r="G85" s="53"/>
      <c r="H85" s="82"/>
    </row>
    <row r="86" spans="1:8" x14ac:dyDescent="0.2">
      <c r="B86" s="50" t="s">
        <v>436</v>
      </c>
      <c r="C86" s="51"/>
      <c r="D86" s="51">
        <f>'[2]комплекты фурнитуры'!Q68</f>
        <v>500</v>
      </c>
      <c r="E86" s="66">
        <v>4</v>
      </c>
      <c r="F86" s="52">
        <f>D86*E86</f>
        <v>2000</v>
      </c>
      <c r="G86" s="53"/>
      <c r="H86" s="82"/>
    </row>
    <row r="87" spans="1:8" x14ac:dyDescent="0.2">
      <c r="B87" s="50" t="s">
        <v>403</v>
      </c>
      <c r="C87" s="47"/>
      <c r="D87" s="51">
        <f>'[2]комплекты фурнитуры'!Q69</f>
        <v>130</v>
      </c>
      <c r="E87" s="69">
        <v>4</v>
      </c>
      <c r="F87" s="52">
        <f>D87*E87</f>
        <v>520</v>
      </c>
      <c r="G87" s="82"/>
      <c r="H87" s="82"/>
    </row>
    <row r="88" spans="1:8" x14ac:dyDescent="0.2">
      <c r="A88" s="31">
        <v>6</v>
      </c>
      <c r="B88" s="313" t="s">
        <v>136</v>
      </c>
      <c r="C88" s="87"/>
      <c r="D88" s="87"/>
      <c r="E88" s="87" t="s">
        <v>391</v>
      </c>
      <c r="F88" s="87" t="s">
        <v>392</v>
      </c>
      <c r="G88" s="86"/>
      <c r="H88" s="31"/>
    </row>
    <row r="89" spans="1:8" ht="15" x14ac:dyDescent="0.2">
      <c r="B89" s="313"/>
      <c r="C89" s="87">
        <v>600</v>
      </c>
      <c r="D89" s="87"/>
      <c r="E89" s="88">
        <f>(((($D$82*$H$4-$D$82)/100)*$G89)+$D$82)+($F$83+$F$85+$F$84+$F$86)</f>
        <v>4574.45</v>
      </c>
      <c r="F89" s="88">
        <f>(((($D$82*$H$4-$D$82)/100)*$G89)+$D$82)+($F$83+$F$85+$F$84+$F$87)</f>
        <v>3094.45</v>
      </c>
      <c r="G89" s="89">
        <v>300</v>
      </c>
      <c r="H89" s="31"/>
    </row>
    <row r="90" spans="1:8" ht="15" x14ac:dyDescent="0.2">
      <c r="B90" s="313"/>
      <c r="C90" s="87">
        <v>700</v>
      </c>
      <c r="D90" s="87"/>
      <c r="E90" s="88">
        <f>(((($D$82*$H$4-$D$82)/100)*$G90)+$D$82)+($F$83+$F$85+$F$84+$F$86)</f>
        <v>4672.5999999999995</v>
      </c>
      <c r="F90" s="88">
        <f>(((($D$82*$H$4-$D$82)/100)*$G90)+$D$82)+($F$83+$F$85+$F$84+$F$87)</f>
        <v>3192.5999999999995</v>
      </c>
      <c r="G90" s="89">
        <v>400</v>
      </c>
      <c r="H90" s="31"/>
    </row>
    <row r="91" spans="1:8" ht="15" x14ac:dyDescent="0.2">
      <c r="B91" s="313"/>
      <c r="C91" s="87">
        <v>800</v>
      </c>
      <c r="D91" s="87"/>
      <c r="E91" s="88">
        <f>(((($D$82*$H$4-$D$82)/100)*$G91)+$D$82)+($F$83+$F$85+$F$84+$F$86)</f>
        <v>4770.7499999999991</v>
      </c>
      <c r="F91" s="88">
        <f>(((($D$82*$H$4-$D$82)/100)*$G91)+$D$82)+($F$83+$F$85+$F$84+$F$87)</f>
        <v>3290.7499999999991</v>
      </c>
      <c r="G91" s="92">
        <v>500</v>
      </c>
      <c r="H91" s="31"/>
    </row>
    <row r="92" spans="1:8" ht="15" x14ac:dyDescent="0.2">
      <c r="B92" s="108"/>
      <c r="C92" s="87">
        <v>900</v>
      </c>
      <c r="D92" s="87"/>
      <c r="E92" s="88">
        <f>(((($D$82*$H$4-$D$82)/100)*$G92)+$D$82)+($F$83+$F$85+$F$84+$F$86)</f>
        <v>4868.8999999999996</v>
      </c>
      <c r="F92" s="88">
        <f>(((($D$82*$H$4-$D$82)/100)*$G92)+$D$82)+($F$83+$F$85+$F$84+$F$87)</f>
        <v>3388.8999999999992</v>
      </c>
      <c r="G92" s="92">
        <v>600</v>
      </c>
      <c r="H92" s="31"/>
    </row>
    <row r="94" spans="1:8" ht="15" x14ac:dyDescent="0.2">
      <c r="B94" s="82"/>
      <c r="C94" s="47"/>
      <c r="D94" s="47" t="s">
        <v>384</v>
      </c>
      <c r="E94" s="47" t="s">
        <v>385</v>
      </c>
      <c r="F94" s="48" t="s">
        <v>386</v>
      </c>
      <c r="G94" s="96"/>
    </row>
    <row r="95" spans="1:8" x14ac:dyDescent="0.2">
      <c r="B95" s="50" t="s">
        <v>388</v>
      </c>
      <c r="C95" s="51"/>
      <c r="D95" s="66">
        <f>'[2]2 все модули и цены'!E51</f>
        <v>1510</v>
      </c>
      <c r="E95" s="82"/>
      <c r="F95" s="52"/>
      <c r="G95" s="53"/>
    </row>
    <row r="96" spans="1:8" x14ac:dyDescent="0.2">
      <c r="B96" s="50" t="s">
        <v>389</v>
      </c>
      <c r="C96" s="51"/>
      <c r="D96" s="51">
        <f>'[2]комплекты фурнитуры'!Q10</f>
        <v>540</v>
      </c>
      <c r="E96" s="66">
        <v>1</v>
      </c>
      <c r="F96" s="52">
        <f>D96*E96</f>
        <v>540</v>
      </c>
      <c r="G96" s="53"/>
    </row>
    <row r="97" spans="1:7" x14ac:dyDescent="0.2">
      <c r="B97" s="54" t="s">
        <v>439</v>
      </c>
      <c r="C97" s="51"/>
      <c r="D97" s="51">
        <f>'[2]комплекты фурнитуры'!Q79</f>
        <v>210</v>
      </c>
      <c r="E97" s="66">
        <v>1</v>
      </c>
      <c r="F97" s="52">
        <f>D97*E97</f>
        <v>210</v>
      </c>
      <c r="G97" s="53"/>
    </row>
    <row r="98" spans="1:7" x14ac:dyDescent="0.2">
      <c r="B98" s="54" t="s">
        <v>440</v>
      </c>
      <c r="C98" s="51"/>
      <c r="D98" s="51">
        <f>'[2]комплекты фурнитуры'!Q80</f>
        <v>20</v>
      </c>
      <c r="E98" s="66">
        <v>1</v>
      </c>
      <c r="F98" s="52">
        <f>D98*E98</f>
        <v>20</v>
      </c>
      <c r="G98" s="53"/>
    </row>
    <row r="99" spans="1:7" x14ac:dyDescent="0.2">
      <c r="B99" s="50" t="s">
        <v>447</v>
      </c>
      <c r="C99" s="51"/>
      <c r="D99" s="51">
        <f>'[2]комплекты фурнитуры'!Q75</f>
        <v>13990</v>
      </c>
      <c r="E99" s="66">
        <v>1</v>
      </c>
      <c r="F99" s="52">
        <f>D99*E99</f>
        <v>13990</v>
      </c>
      <c r="G99" s="53"/>
    </row>
    <row r="100" spans="1:7" x14ac:dyDescent="0.2">
      <c r="B100" s="82"/>
      <c r="C100" s="47"/>
      <c r="D100" s="47"/>
      <c r="E100" s="82"/>
      <c r="F100" s="82"/>
      <c r="G100" s="82"/>
    </row>
    <row r="101" spans="1:7" x14ac:dyDescent="0.2">
      <c r="A101" s="31">
        <v>7</v>
      </c>
      <c r="B101" s="313" t="s">
        <v>32</v>
      </c>
      <c r="C101" s="87"/>
      <c r="D101" s="87"/>
      <c r="E101" s="87" t="s">
        <v>391</v>
      </c>
      <c r="F101" s="87" t="s">
        <v>392</v>
      </c>
      <c r="G101" s="86"/>
    </row>
    <row r="102" spans="1:7" ht="15" x14ac:dyDescent="0.2">
      <c r="B102" s="313"/>
      <c r="C102" s="87">
        <v>400</v>
      </c>
      <c r="D102" s="87"/>
      <c r="E102" s="88">
        <f t="shared" ref="E102:E108" si="8">(((($D$95*$H$4-$D$95)/100)*$G102)+$D$95)+($F$96+$F$97+$F$98+$F$99)</f>
        <v>16368.15</v>
      </c>
      <c r="F102" s="88"/>
      <c r="G102" s="89">
        <v>100</v>
      </c>
    </row>
    <row r="103" spans="1:7" ht="15" x14ac:dyDescent="0.2">
      <c r="B103" s="313"/>
      <c r="C103" s="87">
        <v>450</v>
      </c>
      <c r="D103" s="87"/>
      <c r="E103" s="88">
        <f t="shared" si="8"/>
        <v>16417.224999999999</v>
      </c>
      <c r="F103" s="88"/>
      <c r="G103" s="89">
        <v>150</v>
      </c>
    </row>
    <row r="104" spans="1:7" ht="15" x14ac:dyDescent="0.2">
      <c r="B104" s="313"/>
      <c r="C104" s="87">
        <v>500</v>
      </c>
      <c r="D104" s="87"/>
      <c r="E104" s="88">
        <f t="shared" si="8"/>
        <v>16466.3</v>
      </c>
      <c r="F104" s="88"/>
      <c r="G104" s="92">
        <v>200</v>
      </c>
    </row>
    <row r="105" spans="1:7" ht="15" x14ac:dyDescent="0.2">
      <c r="B105" s="108"/>
      <c r="C105" s="87">
        <v>600</v>
      </c>
      <c r="D105" s="87"/>
      <c r="E105" s="88">
        <f t="shared" si="8"/>
        <v>16564.45</v>
      </c>
      <c r="F105" s="88"/>
      <c r="G105" s="92">
        <v>300</v>
      </c>
    </row>
    <row r="106" spans="1:7" ht="15" x14ac:dyDescent="0.2">
      <c r="B106" s="108"/>
      <c r="C106" s="87">
        <v>700</v>
      </c>
      <c r="D106" s="87"/>
      <c r="E106" s="88">
        <f t="shared" si="8"/>
        <v>16662.599999999999</v>
      </c>
      <c r="F106" s="88"/>
      <c r="G106" s="92">
        <v>400</v>
      </c>
    </row>
    <row r="107" spans="1:7" ht="15" x14ac:dyDescent="0.2">
      <c r="B107" s="108"/>
      <c r="C107" s="87">
        <v>800</v>
      </c>
      <c r="D107" s="87"/>
      <c r="E107" s="88">
        <f t="shared" si="8"/>
        <v>16760.75</v>
      </c>
      <c r="F107" s="88"/>
      <c r="G107" s="92">
        <v>500</v>
      </c>
    </row>
    <row r="108" spans="1:7" ht="15" x14ac:dyDescent="0.2">
      <c r="B108" s="108"/>
      <c r="C108" s="87">
        <v>900</v>
      </c>
      <c r="D108" s="87"/>
      <c r="E108" s="88">
        <f t="shared" si="8"/>
        <v>16858.899999999998</v>
      </c>
      <c r="F108" s="88"/>
      <c r="G108" s="92">
        <v>600</v>
      </c>
    </row>
    <row r="110" spans="1:7" ht="15" x14ac:dyDescent="0.2">
      <c r="B110" s="82"/>
      <c r="C110" s="47"/>
      <c r="D110" s="47" t="s">
        <v>384</v>
      </c>
      <c r="E110" s="47" t="s">
        <v>385</v>
      </c>
      <c r="F110" s="48" t="s">
        <v>386</v>
      </c>
      <c r="G110" s="96"/>
    </row>
    <row r="111" spans="1:7" x14ac:dyDescent="0.2">
      <c r="B111" s="50" t="s">
        <v>388</v>
      </c>
      <c r="C111" s="51"/>
      <c r="D111" s="66">
        <f>'[2]2 все модули и цены'!E61</f>
        <v>2580</v>
      </c>
      <c r="E111" s="82"/>
      <c r="F111" s="52"/>
      <c r="G111" s="53"/>
    </row>
    <row r="112" spans="1:7" x14ac:dyDescent="0.2">
      <c r="B112" s="50" t="s">
        <v>448</v>
      </c>
      <c r="C112" s="51"/>
      <c r="D112" s="51">
        <f>'[2]комплекты фурнитуры'!Q22</f>
        <v>1130</v>
      </c>
      <c r="E112" s="66">
        <v>1</v>
      </c>
      <c r="F112" s="52">
        <f t="shared" ref="F112:F118" si="9">D112*E112</f>
        <v>1130</v>
      </c>
      <c r="G112" s="53"/>
    </row>
    <row r="113" spans="1:7" x14ac:dyDescent="0.2">
      <c r="B113" s="54" t="s">
        <v>439</v>
      </c>
      <c r="C113" s="51"/>
      <c r="D113" s="51">
        <f>'[2]комплекты фурнитуры'!Q79</f>
        <v>210</v>
      </c>
      <c r="E113" s="66">
        <v>1</v>
      </c>
      <c r="F113" s="52">
        <f t="shared" si="9"/>
        <v>210</v>
      </c>
      <c r="G113" s="53"/>
    </row>
    <row r="114" spans="1:7" x14ac:dyDescent="0.2">
      <c r="B114" s="54" t="s">
        <v>440</v>
      </c>
      <c r="C114" s="47"/>
      <c r="D114" s="51">
        <f>'[2]комплекты фурнитуры'!Q80</f>
        <v>20</v>
      </c>
      <c r="E114" s="66">
        <v>1</v>
      </c>
      <c r="F114" s="52">
        <f t="shared" si="9"/>
        <v>20</v>
      </c>
      <c r="G114" s="53"/>
    </row>
    <row r="115" spans="1:7" x14ac:dyDescent="0.2">
      <c r="B115" s="50" t="s">
        <v>411</v>
      </c>
      <c r="C115" s="51"/>
      <c r="D115" s="51">
        <f>'[2]комплекты фурнитуры'!Q62</f>
        <v>1300</v>
      </c>
      <c r="E115" s="66">
        <v>2</v>
      </c>
      <c r="F115" s="52">
        <f t="shared" si="9"/>
        <v>2600</v>
      </c>
      <c r="G115" s="53"/>
    </row>
    <row r="116" spans="1:7" x14ac:dyDescent="0.2">
      <c r="B116" s="50" t="s">
        <v>412</v>
      </c>
      <c r="C116" s="51"/>
      <c r="D116" s="51">
        <f>'[2]комплекты фурнитуры'!Q64</f>
        <v>480</v>
      </c>
      <c r="E116" s="66">
        <v>2</v>
      </c>
      <c r="F116" s="52">
        <f t="shared" si="9"/>
        <v>960</v>
      </c>
      <c r="G116" s="53"/>
    </row>
    <row r="117" spans="1:7" x14ac:dyDescent="0.2">
      <c r="B117" s="82" t="s">
        <v>449</v>
      </c>
      <c r="C117" s="47"/>
      <c r="D117" s="51">
        <f>'[2]комплекты фурнитуры'!Q97</f>
        <v>20</v>
      </c>
      <c r="E117" s="66">
        <v>1</v>
      </c>
      <c r="F117" s="52">
        <f t="shared" si="9"/>
        <v>20</v>
      </c>
      <c r="G117" s="82"/>
    </row>
    <row r="118" spans="1:7" x14ac:dyDescent="0.2">
      <c r="B118" s="82" t="s">
        <v>413</v>
      </c>
      <c r="C118" s="99"/>
      <c r="D118" s="51">
        <f>'[2]комплекты фурнитуры'!Q85</f>
        <v>30</v>
      </c>
      <c r="E118" s="66">
        <v>1</v>
      </c>
      <c r="F118" s="52">
        <f t="shared" si="9"/>
        <v>30</v>
      </c>
      <c r="G118" s="82"/>
    </row>
    <row r="119" spans="1:7" x14ac:dyDescent="0.2">
      <c r="A119" s="31">
        <v>8</v>
      </c>
      <c r="B119" s="313" t="s">
        <v>33</v>
      </c>
      <c r="C119" s="87"/>
      <c r="D119" s="87"/>
      <c r="E119" s="87" t="s">
        <v>391</v>
      </c>
      <c r="F119" s="87" t="s">
        <v>392</v>
      </c>
      <c r="G119" s="86"/>
    </row>
    <row r="120" spans="1:7" ht="15" x14ac:dyDescent="0.2">
      <c r="B120" s="313"/>
      <c r="C120" s="87">
        <v>600</v>
      </c>
      <c r="D120" s="87"/>
      <c r="E120" s="88">
        <f t="shared" ref="E120:E126" si="10">(((($D$111*$H$4-$D$111)/100)*$G120)+$D$111)+($F$112+$F$113+$F$114+$F$115+$F$117+$F$118)</f>
        <v>6590</v>
      </c>
      <c r="F120" s="88">
        <f t="shared" ref="F120:F126" si="11">(((($D$111*$H$4-$D$111)/100)*$G120)+$D$111)+($F$112+$F$113+$F$114+$F$116+$F$117+$F$118)</f>
        <v>4950</v>
      </c>
      <c r="G120" s="89">
        <v>0</v>
      </c>
    </row>
    <row r="121" spans="1:7" ht="15" x14ac:dyDescent="0.2">
      <c r="B121" s="313"/>
      <c r="C121" s="87">
        <v>650</v>
      </c>
      <c r="D121" s="87"/>
      <c r="E121" s="88">
        <f t="shared" si="10"/>
        <v>6673.85</v>
      </c>
      <c r="F121" s="88">
        <f t="shared" si="11"/>
        <v>5033.8500000000004</v>
      </c>
      <c r="G121" s="89">
        <v>50</v>
      </c>
    </row>
    <row r="122" spans="1:7" ht="15" x14ac:dyDescent="0.2">
      <c r="B122" s="313"/>
      <c r="C122" s="87">
        <v>700</v>
      </c>
      <c r="D122" s="87"/>
      <c r="E122" s="88">
        <f t="shared" si="10"/>
        <v>6757.7</v>
      </c>
      <c r="F122" s="88">
        <f t="shared" si="11"/>
        <v>5117.7</v>
      </c>
      <c r="G122" s="89">
        <v>100</v>
      </c>
    </row>
    <row r="123" spans="1:7" ht="15" x14ac:dyDescent="0.2">
      <c r="B123" s="313"/>
      <c r="C123" s="87">
        <v>750</v>
      </c>
      <c r="D123" s="87"/>
      <c r="E123" s="88">
        <f t="shared" si="10"/>
        <v>6841.5499999999993</v>
      </c>
      <c r="F123" s="88">
        <f t="shared" si="11"/>
        <v>5201.5499999999993</v>
      </c>
      <c r="G123" s="89">
        <v>150</v>
      </c>
    </row>
    <row r="124" spans="1:7" ht="15" x14ac:dyDescent="0.2">
      <c r="B124" s="313"/>
      <c r="C124" s="87">
        <v>800</v>
      </c>
      <c r="D124" s="87"/>
      <c r="E124" s="88">
        <f t="shared" si="10"/>
        <v>6925.4</v>
      </c>
      <c r="F124" s="88">
        <f t="shared" si="11"/>
        <v>5285.4</v>
      </c>
      <c r="G124" s="89">
        <v>200</v>
      </c>
    </row>
    <row r="125" spans="1:7" ht="15" x14ac:dyDescent="0.2">
      <c r="B125" s="313"/>
      <c r="C125" s="87">
        <v>850</v>
      </c>
      <c r="D125" s="87"/>
      <c r="E125" s="88">
        <f t="shared" si="10"/>
        <v>7009.25</v>
      </c>
      <c r="F125" s="88">
        <f t="shared" si="11"/>
        <v>5369.25</v>
      </c>
      <c r="G125" s="89">
        <v>250</v>
      </c>
    </row>
    <row r="126" spans="1:7" ht="15" x14ac:dyDescent="0.2">
      <c r="B126" s="313"/>
      <c r="C126" s="87">
        <v>900</v>
      </c>
      <c r="D126" s="87"/>
      <c r="E126" s="88">
        <f t="shared" si="10"/>
        <v>7093.0999999999995</v>
      </c>
      <c r="F126" s="88">
        <f t="shared" si="11"/>
        <v>5453.0999999999995</v>
      </c>
      <c r="G126" s="92">
        <v>300</v>
      </c>
    </row>
    <row r="128" spans="1:7" ht="15" x14ac:dyDescent="0.2">
      <c r="B128" s="82"/>
      <c r="C128" s="47"/>
      <c r="D128" s="47" t="s">
        <v>384</v>
      </c>
      <c r="E128" s="47" t="s">
        <v>385</v>
      </c>
      <c r="F128" s="48" t="s">
        <v>386</v>
      </c>
      <c r="G128" s="96"/>
    </row>
    <row r="129" spans="1:7" x14ac:dyDescent="0.2">
      <c r="B129" s="50" t="s">
        <v>388</v>
      </c>
      <c r="C129" s="51"/>
      <c r="D129" s="66">
        <f>'[2]2 все модули и цены'!E63</f>
        <v>2540</v>
      </c>
      <c r="E129" s="82"/>
      <c r="F129" s="52"/>
      <c r="G129" s="53"/>
    </row>
    <row r="130" spans="1:7" x14ac:dyDescent="0.2">
      <c r="B130" s="50" t="s">
        <v>450</v>
      </c>
      <c r="C130" s="51"/>
      <c r="D130" s="51">
        <f>'[2]комплекты фурнитуры'!Q24</f>
        <v>750</v>
      </c>
      <c r="E130" s="66">
        <v>1</v>
      </c>
      <c r="F130" s="52">
        <f>D130*E130</f>
        <v>750</v>
      </c>
      <c r="G130" s="53"/>
    </row>
    <row r="131" spans="1:7" x14ac:dyDescent="0.2">
      <c r="B131" s="54" t="s">
        <v>439</v>
      </c>
      <c r="C131" s="51"/>
      <c r="D131" s="51">
        <f>'[2]комплекты фурнитуры'!Q79</f>
        <v>210</v>
      </c>
      <c r="E131" s="66">
        <v>1</v>
      </c>
      <c r="F131" s="52">
        <f>D131*E131</f>
        <v>210</v>
      </c>
      <c r="G131" s="53"/>
    </row>
    <row r="132" spans="1:7" x14ac:dyDescent="0.2">
      <c r="B132" s="54" t="s">
        <v>440</v>
      </c>
      <c r="C132" s="51"/>
      <c r="D132" s="51">
        <f>'[2]комплекты фурнитуры'!Q80</f>
        <v>20</v>
      </c>
      <c r="E132" s="66">
        <v>1</v>
      </c>
      <c r="F132" s="52">
        <f>D132*E132</f>
        <v>20</v>
      </c>
      <c r="G132" s="53"/>
    </row>
    <row r="133" spans="1:7" x14ac:dyDescent="0.2">
      <c r="B133" s="50" t="s">
        <v>436</v>
      </c>
      <c r="C133" s="51"/>
      <c r="D133" s="51">
        <f>'[2]комплекты фурнитуры'!Q68</f>
        <v>500</v>
      </c>
      <c r="E133" s="66">
        <v>2</v>
      </c>
      <c r="F133" s="52">
        <f>D133*E133</f>
        <v>1000</v>
      </c>
      <c r="G133" s="53"/>
    </row>
    <row r="134" spans="1:7" x14ac:dyDescent="0.2">
      <c r="B134" s="50" t="s">
        <v>403</v>
      </c>
      <c r="C134" s="51"/>
      <c r="D134" s="51">
        <f>'[2]комплекты фурнитуры'!Q69</f>
        <v>130</v>
      </c>
      <c r="E134" s="66">
        <v>2</v>
      </c>
      <c r="F134" s="52">
        <f>D134*E134</f>
        <v>260</v>
      </c>
      <c r="G134" s="53"/>
    </row>
    <row r="135" spans="1:7" x14ac:dyDescent="0.2">
      <c r="A135" s="31">
        <v>9</v>
      </c>
      <c r="B135" s="313" t="s">
        <v>34</v>
      </c>
      <c r="C135" s="87"/>
      <c r="D135" s="87"/>
      <c r="E135" s="87" t="s">
        <v>391</v>
      </c>
      <c r="F135" s="87" t="s">
        <v>392</v>
      </c>
      <c r="G135" s="86"/>
    </row>
    <row r="136" spans="1:7" ht="15" x14ac:dyDescent="0.2">
      <c r="B136" s="313"/>
      <c r="C136" s="87">
        <v>500</v>
      </c>
      <c r="D136" s="87"/>
      <c r="E136" s="88">
        <f>(((($D$129*$H$4-$D$129)/100)*$G136)+$D$129)+($F$130+$F$131+$F$132+$F$133)</f>
        <v>4520</v>
      </c>
      <c r="F136" s="88">
        <f>(((($D$129*$H$4-$D$129)/100)*$G136)+$D$129)+($F$130+$F$131+$F$132+$F$134)</f>
        <v>3780</v>
      </c>
      <c r="G136" s="89">
        <v>0</v>
      </c>
    </row>
    <row r="137" spans="1:7" ht="15" x14ac:dyDescent="0.2">
      <c r="B137" s="313"/>
      <c r="C137" s="87">
        <v>600</v>
      </c>
      <c r="D137" s="87"/>
      <c r="E137" s="88">
        <f>(((($D$129*$H$4-$D$129)/100)*$G137)+$D$129)+($F$130+$F$131+$F$132+$F$133)</f>
        <v>4685.1000000000004</v>
      </c>
      <c r="F137" s="88">
        <f>(((($D$129*$H$4-$D$129)/100)*$G137)+$D$129)+($F$130+$F$131+$F$132+$F$134)</f>
        <v>3945.1</v>
      </c>
      <c r="G137" s="89">
        <v>100</v>
      </c>
    </row>
    <row r="139" spans="1:7" ht="15" x14ac:dyDescent="0.2">
      <c r="B139" s="82"/>
      <c r="C139" s="47"/>
      <c r="D139" s="47" t="s">
        <v>384</v>
      </c>
      <c r="E139" s="47" t="s">
        <v>385</v>
      </c>
      <c r="F139" s="48" t="s">
        <v>386</v>
      </c>
      <c r="G139" s="96"/>
    </row>
    <row r="140" spans="1:7" x14ac:dyDescent="0.2">
      <c r="B140" s="50" t="s">
        <v>388</v>
      </c>
      <c r="C140" s="51"/>
      <c r="D140" s="66">
        <f>'[2]2 все модули и цены'!E64</f>
        <v>2540</v>
      </c>
      <c r="E140" s="82"/>
      <c r="F140" s="52"/>
      <c r="G140" s="53"/>
    </row>
    <row r="141" spans="1:7" x14ac:dyDescent="0.2">
      <c r="B141" s="50" t="s">
        <v>450</v>
      </c>
      <c r="C141" s="51"/>
      <c r="D141" s="51">
        <f>'[2]комплекты фурнитуры'!Q24</f>
        <v>750</v>
      </c>
      <c r="E141" s="66">
        <v>1</v>
      </c>
      <c r="F141" s="52">
        <f>D141*E141</f>
        <v>750</v>
      </c>
      <c r="G141" s="53"/>
    </row>
    <row r="142" spans="1:7" x14ac:dyDescent="0.2">
      <c r="B142" s="54" t="s">
        <v>439</v>
      </c>
      <c r="C142" s="51"/>
      <c r="D142" s="51">
        <f>'[2]комплекты фурнитуры'!Q79</f>
        <v>210</v>
      </c>
      <c r="E142" s="66">
        <v>1</v>
      </c>
      <c r="F142" s="52">
        <f>D142*E142</f>
        <v>210</v>
      </c>
      <c r="G142" s="53"/>
    </row>
    <row r="143" spans="1:7" x14ac:dyDescent="0.2">
      <c r="B143" s="54" t="s">
        <v>440</v>
      </c>
      <c r="C143" s="51"/>
      <c r="D143" s="51">
        <f>'[2]комплекты фурнитуры'!Q80</f>
        <v>20</v>
      </c>
      <c r="E143" s="66">
        <v>1</v>
      </c>
      <c r="F143" s="52">
        <f>D143*E143</f>
        <v>20</v>
      </c>
      <c r="G143" s="53"/>
    </row>
    <row r="144" spans="1:7" x14ac:dyDescent="0.2">
      <c r="B144" s="50" t="s">
        <v>436</v>
      </c>
      <c r="C144" s="51"/>
      <c r="D144" s="51">
        <f>'[2]комплекты фурнитуры'!Q68</f>
        <v>500</v>
      </c>
      <c r="E144" s="66">
        <v>4</v>
      </c>
      <c r="F144" s="52">
        <f>D144*E144</f>
        <v>2000</v>
      </c>
      <c r="G144" s="53"/>
    </row>
    <row r="145" spans="1:7" x14ac:dyDescent="0.2">
      <c r="B145" s="50" t="s">
        <v>403</v>
      </c>
      <c r="C145" s="51"/>
      <c r="D145" s="51">
        <f>'[2]комплекты фурнитуры'!Q69</f>
        <v>130</v>
      </c>
      <c r="E145" s="66">
        <v>4</v>
      </c>
      <c r="F145" s="52">
        <f>D145*E145</f>
        <v>520</v>
      </c>
      <c r="G145" s="53"/>
    </row>
    <row r="146" spans="1:7" ht="15" customHeight="1" x14ac:dyDescent="0.2">
      <c r="A146" s="31">
        <v>10</v>
      </c>
      <c r="B146" s="313" t="s">
        <v>35</v>
      </c>
      <c r="C146" s="87"/>
      <c r="D146" s="87"/>
      <c r="E146" s="87" t="s">
        <v>391</v>
      </c>
      <c r="F146" s="87" t="s">
        <v>392</v>
      </c>
      <c r="G146" s="86"/>
    </row>
    <row r="147" spans="1:7" ht="15" x14ac:dyDescent="0.2">
      <c r="B147" s="313"/>
      <c r="C147" s="87">
        <v>600</v>
      </c>
      <c r="D147" s="87"/>
      <c r="E147" s="88">
        <f>(((($D$140*$H$4-$D$140)/100)*$G147)+$D$140)+($F$141+$F$142+$F$143+$F$144)</f>
        <v>5685.1</v>
      </c>
      <c r="F147" s="88">
        <f>(((($D$140*$H$4-$D$140)/100)*$G147)+$D$140)+($F$141+$F$142+$F$143+$F$145)</f>
        <v>4205.1000000000004</v>
      </c>
      <c r="G147" s="89">
        <v>100</v>
      </c>
    </row>
    <row r="148" spans="1:7" ht="15" x14ac:dyDescent="0.2">
      <c r="B148" s="313"/>
      <c r="C148" s="87">
        <v>700</v>
      </c>
      <c r="D148" s="87"/>
      <c r="E148" s="88">
        <f>(((($D$140*$H$4-$D$140)/100)*$G148)+$D$140)+($F$141+$F$142+$F$143+$F$144)</f>
        <v>5850.2</v>
      </c>
      <c r="F148" s="88">
        <f>(((($D$140*$H$4-$D$140)/100)*$G148)+$D$140)+($F$141+$F$142+$F$143+$F$145)</f>
        <v>4370.2</v>
      </c>
      <c r="G148" s="89">
        <v>200</v>
      </c>
    </row>
    <row r="149" spans="1:7" ht="15" x14ac:dyDescent="0.2">
      <c r="B149" s="313"/>
      <c r="C149" s="87">
        <v>800</v>
      </c>
      <c r="D149" s="87"/>
      <c r="E149" s="88">
        <f>(((($D$140*$H$4-$D$140)/100)*$G149)+$D$140)+($F$141+$F$142+$F$143+$F$144)</f>
        <v>6015.2999999999993</v>
      </c>
      <c r="F149" s="88">
        <f>(((($D$140*$H$4-$D$140)/100)*$G149)+$D$140)+($F$141+$F$142+$F$143+$F$145)</f>
        <v>4535.2999999999993</v>
      </c>
      <c r="G149" s="89">
        <v>300</v>
      </c>
    </row>
    <row r="150" spans="1:7" ht="15" x14ac:dyDescent="0.2">
      <c r="B150" s="313"/>
      <c r="C150" s="87">
        <v>900</v>
      </c>
      <c r="D150" s="87"/>
      <c r="E150" s="88">
        <f>(((($D$140*$H$4-$D$140)/100)*$G150)+$D$140)+($F$141+$F$142+$F$143+$F$144)</f>
        <v>6180.4</v>
      </c>
      <c r="F150" s="88">
        <f>(((($D$140*$H$4-$D$140)/100)*$G150)+$D$140)+($F$141+$F$142+$F$143+$F$145)</f>
        <v>4700.3999999999996</v>
      </c>
      <c r="G150" s="89">
        <v>400</v>
      </c>
    </row>
    <row r="152" spans="1:7" ht="15" x14ac:dyDescent="0.2">
      <c r="B152" s="82"/>
      <c r="C152" s="47"/>
      <c r="D152" s="47" t="s">
        <v>384</v>
      </c>
      <c r="E152" s="47" t="s">
        <v>385</v>
      </c>
      <c r="F152" s="48" t="s">
        <v>386</v>
      </c>
      <c r="G152" s="96"/>
    </row>
    <row r="153" spans="1:7" x14ac:dyDescent="0.2">
      <c r="B153" s="50" t="s">
        <v>388</v>
      </c>
      <c r="C153" s="51"/>
      <c r="D153" s="66">
        <f>'[2]2 все модули и цены'!E65</f>
        <v>2530</v>
      </c>
      <c r="E153" s="82"/>
      <c r="F153" s="52"/>
      <c r="G153" s="53"/>
    </row>
    <row r="154" spans="1:7" x14ac:dyDescent="0.2">
      <c r="B154" s="50" t="s">
        <v>389</v>
      </c>
      <c r="C154" s="51"/>
      <c r="D154" s="51">
        <f>'[2]комплекты фурнитуры'!Q20</f>
        <v>740</v>
      </c>
      <c r="E154" s="66">
        <v>1</v>
      </c>
      <c r="F154" s="52">
        <f>D154*E154</f>
        <v>740</v>
      </c>
      <c r="G154" s="53"/>
    </row>
    <row r="155" spans="1:7" x14ac:dyDescent="0.2">
      <c r="B155" s="54" t="s">
        <v>439</v>
      </c>
      <c r="C155" s="51"/>
      <c r="D155" s="51">
        <f>'[2]комплекты фурнитуры'!Q79</f>
        <v>210</v>
      </c>
      <c r="E155" s="66">
        <v>1</v>
      </c>
      <c r="F155" s="52">
        <f>D155*E155</f>
        <v>210</v>
      </c>
      <c r="G155" s="53"/>
    </row>
    <row r="156" spans="1:7" x14ac:dyDescent="0.2">
      <c r="B156" s="54" t="s">
        <v>440</v>
      </c>
      <c r="C156" s="51"/>
      <c r="D156" s="51">
        <f>'[2]комплекты фурнитуры'!Q80</f>
        <v>20</v>
      </c>
      <c r="E156" s="66">
        <v>1</v>
      </c>
      <c r="F156" s="52">
        <f>D156*E156</f>
        <v>20</v>
      </c>
      <c r="G156" s="53"/>
    </row>
    <row r="157" spans="1:7" x14ac:dyDescent="0.2">
      <c r="B157" s="50" t="s">
        <v>418</v>
      </c>
      <c r="C157" s="51"/>
      <c r="D157" s="51">
        <f>'[2]комплекты фурнитуры'!Q60</f>
        <v>1560</v>
      </c>
      <c r="E157" s="66">
        <v>2</v>
      </c>
      <c r="F157" s="52">
        <f>D157*E157</f>
        <v>3120</v>
      </c>
      <c r="G157" s="53"/>
    </row>
    <row r="158" spans="1:7" x14ac:dyDescent="0.2">
      <c r="B158" s="50" t="s">
        <v>419</v>
      </c>
      <c r="C158" s="51"/>
      <c r="D158" s="51">
        <f>'[2]комплекты фурнитуры'!Q61</f>
        <v>190</v>
      </c>
      <c r="E158" s="66">
        <v>2</v>
      </c>
      <c r="F158" s="52">
        <f>D158*E158</f>
        <v>380</v>
      </c>
      <c r="G158" s="53"/>
    </row>
    <row r="159" spans="1:7" x14ac:dyDescent="0.2">
      <c r="B159" s="50"/>
      <c r="C159" s="51"/>
      <c r="D159" s="51"/>
      <c r="E159" s="66"/>
      <c r="F159" s="52"/>
      <c r="G159" s="53"/>
    </row>
    <row r="160" spans="1:7" x14ac:dyDescent="0.2">
      <c r="A160" s="31">
        <v>11</v>
      </c>
      <c r="B160" s="313" t="s">
        <v>36</v>
      </c>
      <c r="C160" s="87"/>
      <c r="D160" s="87"/>
      <c r="E160" s="87" t="s">
        <v>391</v>
      </c>
      <c r="F160" s="87" t="s">
        <v>392</v>
      </c>
      <c r="G160" s="86"/>
    </row>
    <row r="161" spans="1:8" ht="15" x14ac:dyDescent="0.2">
      <c r="B161" s="313"/>
      <c r="C161" s="87">
        <v>600</v>
      </c>
      <c r="D161" s="87"/>
      <c r="E161" s="88">
        <f>(((($D$153*$H$4-$D$153)/100)*$G161)+$D$153)+($F$154+$F$155+$F$156+$F$157)</f>
        <v>6620</v>
      </c>
      <c r="F161" s="88">
        <f>(((($D$153*$H$4-$D$153)/100)*$G161)+$D$153)+($F$154+$F$155+$F$156+$F$158)</f>
        <v>3880</v>
      </c>
      <c r="G161" s="89"/>
    </row>
    <row r="163" spans="1:8" ht="15" x14ac:dyDescent="0.2">
      <c r="B163" s="82"/>
      <c r="C163" s="47"/>
      <c r="D163" s="47" t="s">
        <v>384</v>
      </c>
      <c r="E163" s="47" t="s">
        <v>385</v>
      </c>
      <c r="F163" s="48" t="s">
        <v>386</v>
      </c>
      <c r="G163" s="96"/>
    </row>
    <row r="164" spans="1:8" x14ac:dyDescent="0.2">
      <c r="B164" s="50" t="s">
        <v>388</v>
      </c>
      <c r="C164" s="51"/>
      <c r="D164" s="66">
        <f>'[2]2 все модули и цены'!E56</f>
        <v>1460</v>
      </c>
      <c r="E164" s="82"/>
      <c r="F164" s="52"/>
      <c r="G164" s="53"/>
    </row>
    <row r="165" spans="1:8" x14ac:dyDescent="0.2">
      <c r="B165" s="50" t="s">
        <v>451</v>
      </c>
      <c r="C165" s="51"/>
      <c r="D165" s="51">
        <f>'[2]комплекты фурнитуры'!Q23</f>
        <v>340</v>
      </c>
      <c r="E165" s="66">
        <v>1</v>
      </c>
      <c r="F165" s="52">
        <f>D165*E165</f>
        <v>340</v>
      </c>
      <c r="G165" s="53"/>
    </row>
    <row r="166" spans="1:8" x14ac:dyDescent="0.2">
      <c r="B166" s="54" t="s">
        <v>439</v>
      </c>
      <c r="C166" s="51"/>
      <c r="D166" s="51">
        <f>'[2]комплекты фурнитуры'!Q79</f>
        <v>210</v>
      </c>
      <c r="E166" s="66">
        <v>1</v>
      </c>
      <c r="F166" s="52">
        <f t="shared" ref="F166:F171" si="12">D166*E166</f>
        <v>210</v>
      </c>
      <c r="G166" s="53"/>
    </row>
    <row r="167" spans="1:8" x14ac:dyDescent="0.2">
      <c r="B167" s="54" t="s">
        <v>440</v>
      </c>
      <c r="C167" s="51"/>
      <c r="D167" s="51">
        <f>'[2]комплекты фурнитуры'!Q80</f>
        <v>20</v>
      </c>
      <c r="E167" s="66">
        <v>1</v>
      </c>
      <c r="F167" s="52">
        <f t="shared" si="12"/>
        <v>20</v>
      </c>
      <c r="G167" s="53"/>
    </row>
    <row r="168" spans="1:8" x14ac:dyDescent="0.2">
      <c r="B168" s="50" t="s">
        <v>452</v>
      </c>
      <c r="C168" s="51"/>
      <c r="D168" s="51">
        <f>'[2]комплекты фурнитуры'!Q68</f>
        <v>500</v>
      </c>
      <c r="E168" s="66">
        <v>2</v>
      </c>
      <c r="F168" s="52">
        <f t="shared" si="12"/>
        <v>1000</v>
      </c>
      <c r="G168" s="53"/>
    </row>
    <row r="169" spans="1:8" x14ac:dyDescent="0.2">
      <c r="B169" s="109" t="s">
        <v>453</v>
      </c>
      <c r="C169" s="110"/>
      <c r="D169" s="110">
        <f>'[2]комплекты фурнитуры'!Q44</f>
        <v>1590</v>
      </c>
      <c r="E169" s="66">
        <v>1</v>
      </c>
      <c r="F169" s="52">
        <f t="shared" si="12"/>
        <v>1590</v>
      </c>
      <c r="G169" s="53"/>
      <c r="H169" s="99" t="s">
        <v>454</v>
      </c>
    </row>
    <row r="170" spans="1:8" x14ac:dyDescent="0.2">
      <c r="B170" s="109" t="s">
        <v>455</v>
      </c>
      <c r="C170" s="110"/>
      <c r="D170" s="110">
        <f>'[2]комплекты фурнитуры'!Q41</f>
        <v>4920</v>
      </c>
      <c r="E170" s="66">
        <v>1</v>
      </c>
      <c r="F170" s="52">
        <f t="shared" si="12"/>
        <v>4920</v>
      </c>
      <c r="G170" s="53"/>
      <c r="H170" s="99" t="s">
        <v>456</v>
      </c>
    </row>
    <row r="171" spans="1:8" x14ac:dyDescent="0.2">
      <c r="B171" s="50" t="s">
        <v>403</v>
      </c>
      <c r="C171" s="51"/>
      <c r="D171" s="51">
        <f>'[2]комплекты фурнитуры'!Q69</f>
        <v>130</v>
      </c>
      <c r="E171" s="66">
        <v>2</v>
      </c>
      <c r="F171" s="52">
        <f t="shared" si="12"/>
        <v>260</v>
      </c>
      <c r="G171" s="53"/>
    </row>
    <row r="172" spans="1:8" x14ac:dyDescent="0.2">
      <c r="B172" s="50"/>
      <c r="C172" s="51"/>
      <c r="D172" s="51"/>
      <c r="E172" s="66"/>
      <c r="F172" s="52"/>
      <c r="G172" s="53"/>
    </row>
    <row r="173" spans="1:8" x14ac:dyDescent="0.2">
      <c r="B173" s="50"/>
      <c r="C173" s="51"/>
      <c r="D173" s="51"/>
      <c r="E173" s="66"/>
      <c r="F173" s="52"/>
      <c r="G173" s="53"/>
    </row>
    <row r="174" spans="1:8" x14ac:dyDescent="0.2">
      <c r="A174" s="31">
        <v>12</v>
      </c>
      <c r="B174" s="313" t="s">
        <v>137</v>
      </c>
      <c r="C174" s="87"/>
      <c r="D174" s="87"/>
      <c r="E174" s="87" t="s">
        <v>391</v>
      </c>
      <c r="F174" s="87" t="s">
        <v>392</v>
      </c>
      <c r="G174" s="86"/>
    </row>
    <row r="175" spans="1:8" ht="15" x14ac:dyDescent="0.2">
      <c r="B175" s="313"/>
      <c r="C175" s="87">
        <v>450</v>
      </c>
      <c r="D175" s="87"/>
      <c r="E175" s="88">
        <f>(((($D$164*$H$4-$D$164)/100)*$G175)+$D$164)+($F$165+$F$166+$F$167+$F$168+$F$169)</f>
        <v>4620</v>
      </c>
      <c r="F175" s="88">
        <f>(((($D$164*$H$4-$D$164)/100)*$G175)+$D$164)+($F$165+$F$166+$F$167+$F$171+$F$169)</f>
        <v>3880</v>
      </c>
      <c r="G175" s="89"/>
    </row>
    <row r="176" spans="1:8" ht="15" x14ac:dyDescent="0.2">
      <c r="B176" s="313"/>
      <c r="C176" s="87">
        <v>600</v>
      </c>
      <c r="D176" s="87"/>
      <c r="E176" s="88">
        <f>(((($D$164*$H$4-$D$164)/100)*$G176)+$D$164)+($F$165+$F$166+$F$167+$F$168+$F$170)</f>
        <v>8092.35</v>
      </c>
      <c r="F176" s="88">
        <f>(((($D$164*$H$4-$D$164)/100)*$G176)+$D$164)+($F$165+$F$166+$F$167+$F$171+$F$170)</f>
        <v>7352.35</v>
      </c>
      <c r="G176" s="89">
        <v>150</v>
      </c>
    </row>
    <row r="178" spans="1:8" ht="15" x14ac:dyDescent="0.2">
      <c r="B178" s="82"/>
      <c r="C178" s="47"/>
      <c r="D178" s="47" t="s">
        <v>384</v>
      </c>
      <c r="E178" s="47" t="s">
        <v>385</v>
      </c>
      <c r="F178" s="48" t="s">
        <v>386</v>
      </c>
      <c r="G178" s="96"/>
    </row>
    <row r="179" spans="1:8" x14ac:dyDescent="0.2">
      <c r="B179" s="50" t="s">
        <v>388</v>
      </c>
      <c r="C179" s="51"/>
      <c r="D179" s="66">
        <f>'[2]2 все модули и цены'!E57</f>
        <v>1460</v>
      </c>
      <c r="E179" s="82"/>
      <c r="F179" s="52"/>
      <c r="G179" s="53"/>
    </row>
    <row r="180" spans="1:8" x14ac:dyDescent="0.2">
      <c r="B180" s="50" t="s">
        <v>451</v>
      </c>
      <c r="C180" s="51"/>
      <c r="D180" s="51">
        <f>'[2]комплекты фурнитуры'!Q23</f>
        <v>340</v>
      </c>
      <c r="E180" s="66">
        <v>1</v>
      </c>
      <c r="F180" s="52">
        <f t="shared" ref="F180:F187" si="13">D180*E180</f>
        <v>340</v>
      </c>
      <c r="G180" s="53"/>
    </row>
    <row r="181" spans="1:8" x14ac:dyDescent="0.2">
      <c r="B181" s="54" t="s">
        <v>439</v>
      </c>
      <c r="C181" s="51"/>
      <c r="D181" s="51">
        <f>'[2]комплекты фурнитуры'!Q79</f>
        <v>210</v>
      </c>
      <c r="E181" s="66">
        <v>1</v>
      </c>
      <c r="F181" s="52">
        <f t="shared" si="13"/>
        <v>210</v>
      </c>
      <c r="G181" s="53"/>
    </row>
    <row r="182" spans="1:8" x14ac:dyDescent="0.2">
      <c r="B182" s="54" t="s">
        <v>440</v>
      </c>
      <c r="C182" s="51"/>
      <c r="D182" s="51">
        <f>'[2]комплекты фурнитуры'!Q80</f>
        <v>20</v>
      </c>
      <c r="E182" s="66">
        <v>1</v>
      </c>
      <c r="F182" s="52">
        <f t="shared" si="13"/>
        <v>20</v>
      </c>
      <c r="G182" s="53"/>
    </row>
    <row r="183" spans="1:8" x14ac:dyDescent="0.2">
      <c r="B183" s="50" t="s">
        <v>452</v>
      </c>
      <c r="C183" s="51"/>
      <c r="D183" s="51">
        <f>'[2]комплекты фурнитуры'!Q68</f>
        <v>500</v>
      </c>
      <c r="E183" s="66">
        <v>4</v>
      </c>
      <c r="F183" s="52">
        <f t="shared" si="13"/>
        <v>2000</v>
      </c>
      <c r="G183" s="53"/>
    </row>
    <row r="184" spans="1:8" x14ac:dyDescent="0.2">
      <c r="B184" s="50" t="s">
        <v>403</v>
      </c>
      <c r="C184" s="51"/>
      <c r="D184" s="51">
        <f>'[2]комплекты фурнитуры'!Q69</f>
        <v>130</v>
      </c>
      <c r="E184" s="66">
        <v>4</v>
      </c>
      <c r="F184" s="52">
        <f t="shared" si="13"/>
        <v>520</v>
      </c>
      <c r="G184" s="53"/>
    </row>
    <row r="185" spans="1:8" x14ac:dyDescent="0.2">
      <c r="B185" s="109" t="s">
        <v>455</v>
      </c>
      <c r="C185" s="110"/>
      <c r="D185" s="110">
        <f>'[2]комплекты фурнитуры'!Q41</f>
        <v>4920</v>
      </c>
      <c r="E185" s="66">
        <v>1</v>
      </c>
      <c r="F185" s="52">
        <f t="shared" si="13"/>
        <v>4920</v>
      </c>
      <c r="G185" s="53"/>
      <c r="H185" s="99" t="s">
        <v>456</v>
      </c>
    </row>
    <row r="186" spans="1:8" x14ac:dyDescent="0.2">
      <c r="B186" s="109" t="s">
        <v>457</v>
      </c>
      <c r="C186" s="110"/>
      <c r="D186" s="110">
        <f>'[2]комплекты фурнитуры'!Q42</f>
        <v>5530</v>
      </c>
      <c r="E186" s="66">
        <v>1</v>
      </c>
      <c r="F186" s="52">
        <f t="shared" si="13"/>
        <v>5530</v>
      </c>
      <c r="G186" s="53"/>
      <c r="H186" s="99" t="s">
        <v>456</v>
      </c>
    </row>
    <row r="187" spans="1:8" x14ac:dyDescent="0.2">
      <c r="B187" s="109" t="s">
        <v>458</v>
      </c>
      <c r="C187" s="110"/>
      <c r="D187" s="110">
        <f>'[2]комплекты фурнитуры'!Q43</f>
        <v>6130</v>
      </c>
      <c r="E187" s="69">
        <v>1</v>
      </c>
      <c r="F187" s="52">
        <f t="shared" si="13"/>
        <v>6130</v>
      </c>
      <c r="G187" s="53"/>
      <c r="H187" s="99" t="s">
        <v>456</v>
      </c>
    </row>
    <row r="188" spans="1:8" x14ac:dyDescent="0.2">
      <c r="A188" s="31">
        <v>13</v>
      </c>
      <c r="B188" s="313" t="s">
        <v>37</v>
      </c>
      <c r="C188" s="87"/>
      <c r="D188" s="87"/>
      <c r="E188" s="87" t="s">
        <v>391</v>
      </c>
      <c r="F188" s="87" t="s">
        <v>392</v>
      </c>
      <c r="G188" s="86"/>
    </row>
    <row r="189" spans="1:8" ht="15" x14ac:dyDescent="0.2">
      <c r="B189" s="313"/>
      <c r="C189" s="87">
        <v>600</v>
      </c>
      <c r="D189" s="87"/>
      <c r="E189" s="88">
        <f>(((($D$179*$H$4-$D$179)/100)*$G189)+$D$179)+($F$180+$F$181+$F$182+$F$183+$F$185)</f>
        <v>9092.35</v>
      </c>
      <c r="F189" s="88">
        <f>(((($D$179*$H$4-$D$179)/100)*$G189)+$D$179)+($F$180+$F$181+$F$182+$F$184+$F$185)</f>
        <v>7612.35</v>
      </c>
      <c r="G189" s="89">
        <v>150</v>
      </c>
    </row>
    <row r="190" spans="1:8" ht="15" x14ac:dyDescent="0.2">
      <c r="B190" s="313"/>
      <c r="C190" s="87">
        <v>800</v>
      </c>
      <c r="D190" s="87"/>
      <c r="E190" s="88">
        <f>(((($D$179*$H$4-$D$179)/100)*$G190)+$D$179)+($F$180+$F$181+$F$182+$F$183+$F$186)</f>
        <v>9892.15</v>
      </c>
      <c r="F190" s="88">
        <f>(((($D$179*$H$4-$D$179)/100)*$G190)+$D$179)+($F$180+$F$181+$F$182+$F$184+$F$186)</f>
        <v>8412.15</v>
      </c>
      <c r="G190" s="89">
        <v>350</v>
      </c>
    </row>
    <row r="191" spans="1:8" ht="15" x14ac:dyDescent="0.2">
      <c r="B191" s="313"/>
      <c r="C191" s="87">
        <v>900</v>
      </c>
      <c r="D191" s="87"/>
      <c r="E191" s="88">
        <f>(((($D$179*$H$4-$D$179)/100)*$G191)+$D$179)+($F$180+$F$181+$F$182+$F$183+$F$187)</f>
        <v>10587.05</v>
      </c>
      <c r="F191" s="88">
        <f>(((($D$179*$H$4-$D$179)/100)*$G191)+$D$179)+($F$180+$F$181+$F$182+$F$184+$F$187)</f>
        <v>9107.0499999999993</v>
      </c>
      <c r="G191" s="89">
        <v>450</v>
      </c>
    </row>
    <row r="193" spans="1:8" ht="15" x14ac:dyDescent="0.2">
      <c r="B193" s="82"/>
      <c r="C193" s="47"/>
      <c r="D193" s="47" t="s">
        <v>384</v>
      </c>
      <c r="E193" s="47" t="s">
        <v>385</v>
      </c>
      <c r="F193" s="48" t="s">
        <v>386</v>
      </c>
      <c r="G193" s="96"/>
      <c r="H193" s="82"/>
    </row>
    <row r="194" spans="1:8" x14ac:dyDescent="0.2">
      <c r="B194" s="50" t="s">
        <v>388</v>
      </c>
      <c r="C194" s="51"/>
      <c r="D194" s="66">
        <f>'[2]2 все модули и цены'!E58</f>
        <v>1460</v>
      </c>
      <c r="E194" s="82"/>
      <c r="F194" s="52"/>
      <c r="G194" s="53"/>
      <c r="H194" s="82"/>
    </row>
    <row r="195" spans="1:8" x14ac:dyDescent="0.2">
      <c r="B195" s="50" t="s">
        <v>451</v>
      </c>
      <c r="C195" s="51"/>
      <c r="D195" s="51">
        <f>'[2]комплекты фурнитуры'!Q23</f>
        <v>340</v>
      </c>
      <c r="E195" s="66">
        <v>1</v>
      </c>
      <c r="F195" s="52">
        <f t="shared" ref="F195:F200" si="14">D195*E195</f>
        <v>340</v>
      </c>
      <c r="G195" s="53"/>
      <c r="H195" s="82"/>
    </row>
    <row r="196" spans="1:8" x14ac:dyDescent="0.2">
      <c r="B196" s="54" t="s">
        <v>439</v>
      </c>
      <c r="C196" s="51"/>
      <c r="D196" s="51">
        <f>'[2]комплекты фурнитуры'!Q79</f>
        <v>210</v>
      </c>
      <c r="E196" s="66">
        <v>1</v>
      </c>
      <c r="F196" s="52">
        <f t="shared" si="14"/>
        <v>210</v>
      </c>
      <c r="G196" s="53"/>
      <c r="H196" s="82"/>
    </row>
    <row r="197" spans="1:8" x14ac:dyDescent="0.2">
      <c r="B197" s="54" t="s">
        <v>440</v>
      </c>
      <c r="C197" s="51"/>
      <c r="D197" s="51">
        <f>'[2]комплекты фурнитуры'!Q80</f>
        <v>20</v>
      </c>
      <c r="E197" s="66">
        <v>1</v>
      </c>
      <c r="F197" s="52">
        <f t="shared" si="14"/>
        <v>20</v>
      </c>
      <c r="G197" s="53"/>
      <c r="H197" s="82"/>
    </row>
    <row r="198" spans="1:8" x14ac:dyDescent="0.2">
      <c r="B198" s="50" t="s">
        <v>459</v>
      </c>
      <c r="C198" s="51"/>
      <c r="D198" s="51">
        <f>'[2]комплекты фурнитуры'!Q75</f>
        <v>13990</v>
      </c>
      <c r="E198" s="66">
        <v>1</v>
      </c>
      <c r="F198" s="52">
        <f t="shared" si="14"/>
        <v>13990</v>
      </c>
      <c r="G198" s="53"/>
      <c r="H198" s="82"/>
    </row>
    <row r="199" spans="1:8" x14ac:dyDescent="0.2">
      <c r="B199" s="50" t="s">
        <v>453</v>
      </c>
      <c r="C199" s="51"/>
      <c r="D199" s="51">
        <f>'[2]комплекты фурнитуры'!Q44</f>
        <v>1590</v>
      </c>
      <c r="E199" s="66">
        <v>1</v>
      </c>
      <c r="F199" s="52">
        <f t="shared" si="14"/>
        <v>1590</v>
      </c>
      <c r="G199" s="53"/>
      <c r="H199" s="99" t="s">
        <v>454</v>
      </c>
    </row>
    <row r="200" spans="1:8" x14ac:dyDescent="0.2">
      <c r="B200" s="109" t="s">
        <v>455</v>
      </c>
      <c r="C200" s="110"/>
      <c r="D200" s="110">
        <f>'[2]комплекты фурнитуры'!Q41</f>
        <v>4920</v>
      </c>
      <c r="E200" s="66">
        <v>1</v>
      </c>
      <c r="F200" s="52">
        <f t="shared" si="14"/>
        <v>4920</v>
      </c>
      <c r="G200" s="53"/>
    </row>
    <row r="201" spans="1:8" x14ac:dyDescent="0.2">
      <c r="A201" s="31">
        <v>14</v>
      </c>
      <c r="B201" s="313" t="s">
        <v>38</v>
      </c>
      <c r="C201" s="87"/>
      <c r="D201" s="87"/>
      <c r="E201" s="87" t="s">
        <v>391</v>
      </c>
      <c r="F201" s="87" t="s">
        <v>392</v>
      </c>
      <c r="G201" s="87"/>
    </row>
    <row r="202" spans="1:8" ht="15" customHeight="1" x14ac:dyDescent="0.2">
      <c r="B202" s="313"/>
      <c r="C202" s="87">
        <v>450</v>
      </c>
      <c r="D202" s="87"/>
      <c r="E202" s="88">
        <f>(((($D$194*$H$4-$D$194)/100)*$G202)+$D$194)+($F$195+$F$196+$F$197+$F$198+$F$199)</f>
        <v>17610</v>
      </c>
      <c r="F202" s="88"/>
      <c r="G202" s="88">
        <v>0</v>
      </c>
    </row>
    <row r="203" spans="1:8" ht="15" customHeight="1" x14ac:dyDescent="0.2">
      <c r="B203" s="313"/>
      <c r="C203" s="87">
        <v>600</v>
      </c>
      <c r="D203" s="87"/>
      <c r="E203" s="88">
        <f>(((($D$194*$H$4-$D$194)/100)*$G203)+$D$194)+($F$195+$F$196+$F$197+$F$198+$F$200)</f>
        <v>21082.35</v>
      </c>
      <c r="F203" s="88"/>
      <c r="G203" s="88">
        <v>150</v>
      </c>
    </row>
    <row r="205" spans="1:8" ht="15" x14ac:dyDescent="0.2">
      <c r="A205" s="99"/>
      <c r="D205" s="112" t="s">
        <v>384</v>
      </c>
      <c r="E205" s="112" t="s">
        <v>385</v>
      </c>
      <c r="F205" s="113" t="s">
        <v>386</v>
      </c>
      <c r="G205" s="114"/>
    </row>
    <row r="206" spans="1:8" x14ac:dyDescent="0.2">
      <c r="A206" s="99"/>
      <c r="B206" s="115" t="s">
        <v>388</v>
      </c>
      <c r="C206" s="116"/>
      <c r="D206" s="117">
        <f>'[2]2 все модули и цены'!E49</f>
        <v>1510</v>
      </c>
      <c r="E206" s="118"/>
      <c r="F206" s="119"/>
      <c r="G206" s="120"/>
    </row>
    <row r="207" spans="1:8" x14ac:dyDescent="0.2">
      <c r="A207" s="99"/>
      <c r="B207" s="115" t="s">
        <v>451</v>
      </c>
      <c r="C207" s="116"/>
      <c r="D207" s="116">
        <f>D195</f>
        <v>340</v>
      </c>
      <c r="E207" s="117">
        <v>1</v>
      </c>
      <c r="F207" s="119">
        <f t="shared" ref="F207:F212" si="15">D207*E207</f>
        <v>340</v>
      </c>
      <c r="G207" s="120"/>
    </row>
    <row r="208" spans="1:8" x14ac:dyDescent="0.2">
      <c r="A208" s="99"/>
      <c r="B208" s="121" t="s">
        <v>439</v>
      </c>
      <c r="C208" s="116"/>
      <c r="D208" s="116">
        <f>D196</f>
        <v>210</v>
      </c>
      <c r="E208" s="117">
        <v>1</v>
      </c>
      <c r="F208" s="119">
        <f t="shared" si="15"/>
        <v>210</v>
      </c>
      <c r="G208" s="120"/>
    </row>
    <row r="209" spans="1:9" x14ac:dyDescent="0.2">
      <c r="A209" s="99"/>
      <c r="B209" s="121" t="s">
        <v>440</v>
      </c>
      <c r="C209" s="116"/>
      <c r="D209" s="116">
        <f>D197</f>
        <v>20</v>
      </c>
      <c r="E209" s="117">
        <v>1</v>
      </c>
      <c r="F209" s="119">
        <f t="shared" si="15"/>
        <v>20</v>
      </c>
      <c r="G209" s="120"/>
    </row>
    <row r="210" spans="1:9" x14ac:dyDescent="0.2">
      <c r="A210" s="99"/>
      <c r="B210" s="115" t="s">
        <v>443</v>
      </c>
      <c r="C210" s="116"/>
      <c r="D210" s="116">
        <f>'[2]комплекты фурнитуры'!Q73</f>
        <v>6080</v>
      </c>
      <c r="E210" s="117">
        <v>1</v>
      </c>
      <c r="F210" s="119">
        <f t="shared" si="15"/>
        <v>6080</v>
      </c>
      <c r="G210" s="120"/>
    </row>
    <row r="211" spans="1:9" x14ac:dyDescent="0.2">
      <c r="A211" s="99"/>
      <c r="B211" s="115" t="s">
        <v>460</v>
      </c>
      <c r="C211" s="116"/>
      <c r="D211" s="116">
        <f>'[2]комплекты фурнитуры'!R51</f>
        <v>1000</v>
      </c>
      <c r="E211" s="117">
        <v>1</v>
      </c>
      <c r="F211" s="119">
        <f t="shared" si="15"/>
        <v>1000</v>
      </c>
      <c r="G211" s="120"/>
    </row>
    <row r="212" spans="1:9" x14ac:dyDescent="0.2">
      <c r="A212" s="99"/>
      <c r="B212" s="122" t="s">
        <v>461</v>
      </c>
      <c r="C212" s="123"/>
      <c r="D212" s="123">
        <f>'[2]комплекты фурнитуры'!R52</f>
        <v>1000</v>
      </c>
      <c r="E212" s="124">
        <v>1</v>
      </c>
      <c r="F212" s="119">
        <f t="shared" si="15"/>
        <v>1000</v>
      </c>
      <c r="G212" s="125"/>
    </row>
    <row r="213" spans="1:9" x14ac:dyDescent="0.2">
      <c r="A213" s="118">
        <v>15</v>
      </c>
      <c r="B213" s="316" t="s">
        <v>138</v>
      </c>
      <c r="C213" s="126"/>
      <c r="D213" s="126"/>
      <c r="E213" s="126" t="s">
        <v>391</v>
      </c>
      <c r="F213" s="126" t="s">
        <v>392</v>
      </c>
      <c r="G213" s="126"/>
      <c r="H213" s="118"/>
      <c r="I213" s="118"/>
    </row>
    <row r="214" spans="1:9" x14ac:dyDescent="0.2">
      <c r="A214" s="118"/>
      <c r="B214" s="316"/>
      <c r="C214" s="126">
        <v>446</v>
      </c>
      <c r="D214" s="126"/>
      <c r="E214" s="127">
        <f>((-(($D$206*$H$3-$D$206)/100)*$H214)+((($D$206*$H$4-$D$206)/100)*$G214)+$D$206)+(F207+F208+F209+F210+F211)</f>
        <v>8872.3449999999993</v>
      </c>
      <c r="F214" s="127"/>
      <c r="G214" s="127">
        <v>150</v>
      </c>
      <c r="H214" s="118">
        <v>360</v>
      </c>
      <c r="I214" s="118"/>
    </row>
    <row r="215" spans="1:9" x14ac:dyDescent="0.2">
      <c r="A215" s="118"/>
      <c r="B215" s="316"/>
      <c r="C215" s="126">
        <v>596</v>
      </c>
      <c r="D215" s="126"/>
      <c r="E215" s="127">
        <f>((-(($D$206*$H$3-$D$206)/100)*$H215)+((($D$206*$H$4-$D$206)/100)*$G215)+$D$206)+F207+F208+F209+F210+F212</f>
        <v>9019.57</v>
      </c>
      <c r="F215" s="127"/>
      <c r="G215" s="127">
        <v>300</v>
      </c>
      <c r="H215" s="118">
        <v>360</v>
      </c>
      <c r="I215" s="118"/>
    </row>
    <row r="218" spans="1:9" ht="15" x14ac:dyDescent="0.2">
      <c r="B218" s="31"/>
      <c r="C218" s="33"/>
      <c r="D218" s="47" t="s">
        <v>384</v>
      </c>
      <c r="E218" s="47" t="s">
        <v>385</v>
      </c>
      <c r="F218" s="48" t="s">
        <v>386</v>
      </c>
      <c r="G218" s="63"/>
      <c r="H218" s="31"/>
    </row>
    <row r="219" spans="1:9" x14ac:dyDescent="0.2">
      <c r="B219" s="50" t="s">
        <v>388</v>
      </c>
      <c r="C219" s="51"/>
      <c r="D219" s="66">
        <f>'[2]2 все модули и цены'!E59</f>
        <v>1770</v>
      </c>
      <c r="E219" s="31"/>
      <c r="F219" s="52"/>
      <c r="G219" s="53"/>
      <c r="H219" s="31"/>
    </row>
    <row r="220" spans="1:9" x14ac:dyDescent="0.2">
      <c r="B220" s="50" t="s">
        <v>462</v>
      </c>
      <c r="C220" s="51"/>
      <c r="D220" s="51">
        <f>'[2]комплекты фурнитуры'!Q86</f>
        <v>40</v>
      </c>
      <c r="E220" s="66">
        <v>2</v>
      </c>
      <c r="F220" s="52">
        <f>D220*E220</f>
        <v>80</v>
      </c>
      <c r="G220" s="53"/>
      <c r="H220" s="31"/>
    </row>
    <row r="221" spans="1:9" x14ac:dyDescent="0.2">
      <c r="B221" s="50" t="s">
        <v>463</v>
      </c>
      <c r="C221" s="51"/>
      <c r="D221" s="51">
        <f>'[2]комплекты фурнитуры'!Q19</f>
        <v>840</v>
      </c>
      <c r="E221" s="66">
        <v>1</v>
      </c>
      <c r="F221" s="52">
        <f>D221*E221</f>
        <v>840</v>
      </c>
      <c r="G221" s="53"/>
      <c r="H221" s="31"/>
    </row>
    <row r="222" spans="1:9" x14ac:dyDescent="0.2">
      <c r="A222" s="31">
        <v>16</v>
      </c>
      <c r="B222" s="313" t="s">
        <v>39</v>
      </c>
      <c r="C222" s="87"/>
      <c r="D222" s="87"/>
      <c r="E222" s="87" t="s">
        <v>391</v>
      </c>
      <c r="F222" s="87" t="s">
        <v>392</v>
      </c>
      <c r="G222" s="87"/>
      <c r="H222" s="31"/>
    </row>
    <row r="223" spans="1:9" ht="15" x14ac:dyDescent="0.2">
      <c r="B223" s="313"/>
      <c r="C223" s="87">
        <v>315</v>
      </c>
      <c r="D223" s="88">
        <f>(((($D$219*$H$6-$D$219)/100)*$G223)+$D$219)+($F$220+$F$221)</f>
        <v>2690</v>
      </c>
      <c r="E223" s="88"/>
      <c r="F223" s="88">
        <f>(((($D$219*$H$6-$D$219)/100)*$H223)+$D$219)+($F$220+$F$221)</f>
        <v>2690</v>
      </c>
      <c r="G223" s="88"/>
      <c r="H223" s="43"/>
    </row>
    <row r="225" spans="1:8" ht="15" x14ac:dyDescent="0.2">
      <c r="B225" s="31"/>
      <c r="C225" s="33"/>
      <c r="D225" s="47" t="s">
        <v>384</v>
      </c>
      <c r="E225" s="47" t="s">
        <v>385</v>
      </c>
      <c r="F225" s="48" t="s">
        <v>386</v>
      </c>
      <c r="G225" s="63"/>
      <c r="H225" s="31"/>
    </row>
    <row r="226" spans="1:8" x14ac:dyDescent="0.2">
      <c r="B226" s="50" t="s">
        <v>388</v>
      </c>
      <c r="C226" s="51"/>
      <c r="D226" s="66">
        <f>'[2]2 все модули и цены'!E60</f>
        <v>1770</v>
      </c>
      <c r="E226" s="31"/>
      <c r="F226" s="52"/>
      <c r="G226" s="53"/>
      <c r="H226" s="31"/>
    </row>
    <row r="227" spans="1:8" x14ac:dyDescent="0.2">
      <c r="B227" s="50" t="s">
        <v>463</v>
      </c>
      <c r="C227" s="51"/>
      <c r="D227" s="51">
        <f>'[2]комплекты фурнитуры'!Q19</f>
        <v>840</v>
      </c>
      <c r="E227" s="66">
        <v>1</v>
      </c>
      <c r="F227" s="52">
        <f>D227*E227</f>
        <v>840</v>
      </c>
      <c r="G227" s="53"/>
      <c r="H227" s="31"/>
    </row>
    <row r="228" spans="1:8" x14ac:dyDescent="0.2">
      <c r="B228" s="50" t="s">
        <v>464</v>
      </c>
      <c r="C228" s="140"/>
      <c r="D228" s="51">
        <f>'[2]комплекты фурнитуры'!Q86</f>
        <v>40</v>
      </c>
      <c r="E228" s="66">
        <v>2</v>
      </c>
      <c r="F228" s="52">
        <f>D228*E228</f>
        <v>80</v>
      </c>
      <c r="G228" s="53"/>
      <c r="H228" s="31"/>
    </row>
    <row r="229" spans="1:8" x14ac:dyDescent="0.2">
      <c r="B229" s="50" t="s">
        <v>436</v>
      </c>
      <c r="C229" s="51"/>
      <c r="D229" s="51">
        <f>'[2]комплекты фурнитуры'!Q68</f>
        <v>500</v>
      </c>
      <c r="E229" s="66">
        <v>2</v>
      </c>
      <c r="F229" s="52">
        <f>D229*E229</f>
        <v>1000</v>
      </c>
      <c r="G229" s="53"/>
      <c r="H229" s="31"/>
    </row>
    <row r="230" spans="1:8" x14ac:dyDescent="0.2">
      <c r="B230" s="50" t="s">
        <v>403</v>
      </c>
      <c r="C230" s="51"/>
      <c r="D230" s="51">
        <f>'[2]комплекты фурнитуры'!Q69</f>
        <v>130</v>
      </c>
      <c r="E230" s="66">
        <v>2</v>
      </c>
      <c r="F230" s="52">
        <f>D230*E230</f>
        <v>260</v>
      </c>
      <c r="G230" s="53"/>
      <c r="H230" s="31"/>
    </row>
    <row r="231" spans="1:8" x14ac:dyDescent="0.2">
      <c r="A231" s="31">
        <v>17</v>
      </c>
      <c r="B231" s="313" t="s">
        <v>40</v>
      </c>
      <c r="C231" s="87"/>
      <c r="D231" s="87"/>
      <c r="E231" s="87" t="s">
        <v>391</v>
      </c>
      <c r="F231" s="87" t="s">
        <v>392</v>
      </c>
      <c r="G231" s="87"/>
      <c r="H231" s="31"/>
    </row>
    <row r="232" spans="1:8" x14ac:dyDescent="0.2">
      <c r="B232" s="313"/>
      <c r="C232" s="87">
        <v>720</v>
      </c>
      <c r="D232" s="128"/>
      <c r="E232" s="88">
        <f>(((($D$226*$H$3-$D$226)/100)*$G232)+$D$226)+($F$227+$F$228+$F$229)</f>
        <v>3690</v>
      </c>
      <c r="F232" s="88">
        <f>(((($D$226*$H$3-$D$226)/100)*$G232)+$D$226)+($F$227+$F$228+$F$230)</f>
        <v>2950</v>
      </c>
      <c r="G232" s="87"/>
      <c r="H232" s="31"/>
    </row>
    <row r="234" spans="1:8" ht="15" x14ac:dyDescent="0.2">
      <c r="B234" s="82"/>
      <c r="C234" s="47"/>
      <c r="D234" s="47" t="s">
        <v>384</v>
      </c>
      <c r="E234" s="47" t="s">
        <v>385</v>
      </c>
      <c r="F234" s="48" t="s">
        <v>386</v>
      </c>
      <c r="G234" s="96"/>
    </row>
    <row r="235" spans="1:8" x14ac:dyDescent="0.2">
      <c r="B235" s="50" t="s">
        <v>388</v>
      </c>
      <c r="C235" s="51"/>
      <c r="D235" s="66">
        <f>'[2]2 все модули и цены'!E52</f>
        <v>1510</v>
      </c>
      <c r="E235" s="82"/>
      <c r="F235" s="52"/>
      <c r="G235" s="53"/>
    </row>
    <row r="236" spans="1:8" x14ac:dyDescent="0.2">
      <c r="B236" s="50" t="s">
        <v>389</v>
      </c>
      <c r="C236" s="51"/>
      <c r="D236" s="51">
        <f>'[2]комплекты фурнитуры'!Q10</f>
        <v>540</v>
      </c>
      <c r="E236" s="66">
        <v>1</v>
      </c>
      <c r="F236" s="52">
        <f t="shared" ref="F236:F246" si="16">D236*E236</f>
        <v>540</v>
      </c>
      <c r="G236" s="53"/>
    </row>
    <row r="237" spans="1:8" x14ac:dyDescent="0.2">
      <c r="B237" s="54" t="s">
        <v>439</v>
      </c>
      <c r="C237" s="51"/>
      <c r="D237" s="51">
        <f>'[2]комплекты фурнитуры'!Q79</f>
        <v>210</v>
      </c>
      <c r="E237" s="66">
        <v>1</v>
      </c>
      <c r="F237" s="52">
        <f t="shared" si="16"/>
        <v>210</v>
      </c>
      <c r="G237" s="53"/>
    </row>
    <row r="238" spans="1:8" x14ac:dyDescent="0.2">
      <c r="B238" s="54" t="s">
        <v>440</v>
      </c>
      <c r="C238" s="51"/>
      <c r="D238" s="51">
        <f>'[2]комплекты фурнитуры'!Q80</f>
        <v>20</v>
      </c>
      <c r="E238" s="66">
        <v>1</v>
      </c>
      <c r="F238" s="52">
        <f t="shared" si="16"/>
        <v>20</v>
      </c>
      <c r="G238" s="53"/>
    </row>
    <row r="239" spans="1:8" x14ac:dyDescent="0.2">
      <c r="B239" s="50" t="s">
        <v>436</v>
      </c>
      <c r="C239" s="51"/>
      <c r="D239" s="51">
        <f>'[2]комплекты фурнитуры'!Q68</f>
        <v>500</v>
      </c>
      <c r="E239" s="66">
        <v>2</v>
      </c>
      <c r="F239" s="52">
        <f t="shared" si="16"/>
        <v>1000</v>
      </c>
      <c r="G239" s="53"/>
    </row>
    <row r="240" spans="1:8" x14ac:dyDescent="0.2">
      <c r="B240" s="50" t="s">
        <v>403</v>
      </c>
      <c r="C240" s="51"/>
      <c r="D240" s="51">
        <f>'[2]комплекты фурнитуры'!Q69</f>
        <v>130</v>
      </c>
      <c r="E240" s="66">
        <v>2</v>
      </c>
      <c r="F240" s="52">
        <f t="shared" si="16"/>
        <v>260</v>
      </c>
      <c r="G240" s="53"/>
    </row>
    <row r="241" spans="1:7" x14ac:dyDescent="0.2">
      <c r="B241" s="50" t="s">
        <v>465</v>
      </c>
      <c r="C241" s="51"/>
      <c r="D241" s="51">
        <f>'[2]комплекты фурнитуры'!Q88*0.268</f>
        <v>297.48</v>
      </c>
      <c r="E241" s="66">
        <v>1</v>
      </c>
      <c r="F241" s="52">
        <f t="shared" si="16"/>
        <v>297.48</v>
      </c>
      <c r="G241" s="53"/>
    </row>
    <row r="242" spans="1:7" x14ac:dyDescent="0.2">
      <c r="B242" s="50" t="s">
        <v>466</v>
      </c>
      <c r="C242" s="51"/>
      <c r="D242" s="51">
        <f>'[2]комплекты фурнитуры'!Q88*0.318</f>
        <v>352.98</v>
      </c>
      <c r="E242" s="66">
        <v>1</v>
      </c>
      <c r="F242" s="52">
        <f t="shared" si="16"/>
        <v>352.98</v>
      </c>
      <c r="G242" s="53"/>
    </row>
    <row r="243" spans="1:7" x14ac:dyDescent="0.2">
      <c r="B243" s="50" t="s">
        <v>467</v>
      </c>
      <c r="C243" s="51"/>
      <c r="D243" s="51">
        <f>'[2]комплекты фурнитуры'!Q88*0.368</f>
        <v>408.48</v>
      </c>
      <c r="E243" s="66">
        <v>1</v>
      </c>
      <c r="F243" s="52">
        <f t="shared" si="16"/>
        <v>408.48</v>
      </c>
      <c r="G243" s="53"/>
    </row>
    <row r="244" spans="1:7" x14ac:dyDescent="0.2">
      <c r="B244" s="50" t="s">
        <v>468</v>
      </c>
      <c r="C244" s="51"/>
      <c r="D244" s="51">
        <f>'[2]комплекты фурнитуры'!Q88*0.418</f>
        <v>463.97999999999996</v>
      </c>
      <c r="E244" s="66">
        <v>1</v>
      </c>
      <c r="F244" s="52">
        <f t="shared" si="16"/>
        <v>463.97999999999996</v>
      </c>
      <c r="G244" s="53"/>
    </row>
    <row r="245" spans="1:7" x14ac:dyDescent="0.2">
      <c r="B245" s="50" t="s">
        <v>469</v>
      </c>
      <c r="C245" s="51"/>
      <c r="D245" s="51">
        <f>'[2]комплекты фурнитуры'!Q88*0.468</f>
        <v>519.48</v>
      </c>
      <c r="E245" s="66">
        <v>1</v>
      </c>
      <c r="F245" s="52">
        <f t="shared" si="16"/>
        <v>519.48</v>
      </c>
      <c r="G245" s="53"/>
    </row>
    <row r="246" spans="1:7" x14ac:dyDescent="0.2">
      <c r="B246" s="50" t="s">
        <v>470</v>
      </c>
      <c r="C246" s="82"/>
      <c r="D246" s="51">
        <f>'[2]комплекты фурнитуры'!Q88*0.568</f>
        <v>630.4799999999999</v>
      </c>
      <c r="E246" s="66">
        <v>1</v>
      </c>
      <c r="F246" s="52">
        <f t="shared" si="16"/>
        <v>630.4799999999999</v>
      </c>
      <c r="G246" s="53"/>
    </row>
    <row r="247" spans="1:7" x14ac:dyDescent="0.2">
      <c r="A247" s="31">
        <v>18</v>
      </c>
      <c r="B247" s="313" t="s">
        <v>139</v>
      </c>
      <c r="C247" s="87"/>
      <c r="D247" s="87"/>
      <c r="E247" s="87" t="s">
        <v>391</v>
      </c>
      <c r="F247" s="87" t="s">
        <v>392</v>
      </c>
      <c r="G247" s="86"/>
    </row>
    <row r="248" spans="1:7" ht="15" x14ac:dyDescent="0.2">
      <c r="B248" s="313"/>
      <c r="C248" s="87">
        <v>300</v>
      </c>
      <c r="D248" s="87"/>
      <c r="E248" s="88">
        <f>(((($D$235*$H$4-$D$235)/100)*$G248)+$D$235)+($F$236+$F$237+$F$238+$F$239+$F$241)</f>
        <v>3577.48</v>
      </c>
      <c r="F248" s="88">
        <f>(((($D$235*$H$4-$D$235)/100)*$G248)+$D$235)+($F$236+$F$237+$F$238+$F$240+$F$241)</f>
        <v>2837.48</v>
      </c>
      <c r="G248" s="89">
        <v>0</v>
      </c>
    </row>
    <row r="249" spans="1:7" ht="15" x14ac:dyDescent="0.2">
      <c r="B249" s="313"/>
      <c r="C249" s="87">
        <v>350</v>
      </c>
      <c r="D249" s="87"/>
      <c r="E249" s="88">
        <f>(((($D$235*$H$4-$D$235)/100)*$G249)+$D$235)+($F$236+$F$237+$F$238+$F$239+$F$242)</f>
        <v>3682.0549999999998</v>
      </c>
      <c r="F249" s="88">
        <f>(((($D$235*$H$4-$D$235)/100)*$G249)+$D$235)+($F$236+$F$237+$F$238+$F$240+$F$242)</f>
        <v>2942.0549999999998</v>
      </c>
      <c r="G249" s="89">
        <v>50</v>
      </c>
    </row>
    <row r="250" spans="1:7" ht="15" x14ac:dyDescent="0.2">
      <c r="B250" s="313"/>
      <c r="C250" s="87">
        <v>400</v>
      </c>
      <c r="D250" s="87"/>
      <c r="E250" s="88">
        <f>(((($D$235*$H$4-$D$235)/100)*$G250)+$D$235)+($F$236+$F$237+$F$238+$F$239+$F$243)</f>
        <v>3786.63</v>
      </c>
      <c r="F250" s="88">
        <f>(((($D$235*$H$4-$D$235)/100)*$G250)+$D$235)+($F$236+$F$237+$F$238+$F$240+$F$243)</f>
        <v>3046.63</v>
      </c>
      <c r="G250" s="89">
        <v>100</v>
      </c>
    </row>
    <row r="251" spans="1:7" ht="15" x14ac:dyDescent="0.2">
      <c r="B251" s="313"/>
      <c r="C251" s="87">
        <v>450</v>
      </c>
      <c r="D251" s="87"/>
      <c r="E251" s="88">
        <f>(((($D$235*$H$4-$D$235)/100)*$G251)+$D$235)+($F$236+$F$237+$F$238+$F$239+$F$244)</f>
        <v>3891.2049999999999</v>
      </c>
      <c r="F251" s="88">
        <f>(((($D$235*$H$4-$D$235)/100)*$G251)+$D$235)+($F$236+$F$237+$F$238+$F$240+$F$244)</f>
        <v>3151.2049999999999</v>
      </c>
      <c r="G251" s="89">
        <v>150</v>
      </c>
    </row>
    <row r="252" spans="1:7" ht="15" x14ac:dyDescent="0.2">
      <c r="B252" s="313"/>
      <c r="C252" s="87">
        <v>500</v>
      </c>
      <c r="D252" s="87"/>
      <c r="E252" s="88">
        <f>(((($D$235*$H$4-$D$235)/100)*$G252)+$D$235)+($F$236+$F$237+$F$238+$F$239+$F$245)</f>
        <v>3995.7799999999997</v>
      </c>
      <c r="F252" s="88">
        <f>(((($D$235*$H$4-$D$235)/100)*$G252)+$D$235)+($F$236+$F$237+$F$238+$F$240+$F$245)</f>
        <v>3255.7799999999997</v>
      </c>
      <c r="G252" s="89">
        <v>200</v>
      </c>
    </row>
    <row r="253" spans="1:7" ht="15" x14ac:dyDescent="0.2">
      <c r="B253" s="313"/>
      <c r="C253" s="87">
        <v>600</v>
      </c>
      <c r="D253" s="87"/>
      <c r="E253" s="88">
        <f>(((($D$235*$H$4-$D$235)/100)*$G253)+$D$235)+($F$236+$F$237+$F$238+$F$239+$F$246)</f>
        <v>4204.9299999999994</v>
      </c>
      <c r="F253" s="88">
        <f>(((($D$235*$H$4-$D$235)/100)*$G253)+$D$235)+($F$236+$F$237+$F$238+$F$240+$F$246)</f>
        <v>3464.9299999999994</v>
      </c>
      <c r="G253" s="89">
        <v>300</v>
      </c>
    </row>
    <row r="255" spans="1:7" ht="15" x14ac:dyDescent="0.2">
      <c r="B255" s="82"/>
      <c r="C255" s="47"/>
      <c r="D255" s="47" t="s">
        <v>384</v>
      </c>
      <c r="E255" s="47" t="s">
        <v>385</v>
      </c>
      <c r="F255" s="48" t="s">
        <v>386</v>
      </c>
      <c r="G255" s="96"/>
    </row>
    <row r="256" spans="1:7" x14ac:dyDescent="0.2">
      <c r="B256" s="50" t="s">
        <v>388</v>
      </c>
      <c r="C256" s="51"/>
      <c r="D256" s="66">
        <f>'[2]2 все модули и цены'!E53</f>
        <v>1510</v>
      </c>
      <c r="E256" s="82"/>
      <c r="F256" s="52"/>
      <c r="G256" s="53"/>
    </row>
    <row r="257" spans="1:7" x14ac:dyDescent="0.2">
      <c r="B257" s="50" t="s">
        <v>389</v>
      </c>
      <c r="C257" s="51"/>
      <c r="D257" s="51">
        <f>'[2]комплекты фурнитуры'!Q10</f>
        <v>540</v>
      </c>
      <c r="E257" s="66">
        <v>1</v>
      </c>
      <c r="F257" s="52">
        <f t="shared" ref="F257:F265" si="17">D257*E257</f>
        <v>540</v>
      </c>
      <c r="G257" s="53"/>
    </row>
    <row r="258" spans="1:7" x14ac:dyDescent="0.2">
      <c r="B258" s="54" t="s">
        <v>439</v>
      </c>
      <c r="C258" s="51"/>
      <c r="D258" s="51">
        <f>'[2]комплекты фурнитуры'!Q79</f>
        <v>210</v>
      </c>
      <c r="E258" s="66">
        <v>1</v>
      </c>
      <c r="F258" s="52">
        <f t="shared" si="17"/>
        <v>210</v>
      </c>
      <c r="G258" s="53"/>
    </row>
    <row r="259" spans="1:7" x14ac:dyDescent="0.2">
      <c r="B259" s="54" t="s">
        <v>440</v>
      </c>
      <c r="C259" s="51"/>
      <c r="D259" s="51">
        <f>'[2]комплекты фурнитуры'!Q80</f>
        <v>20</v>
      </c>
      <c r="E259" s="66">
        <v>1</v>
      </c>
      <c r="F259" s="52">
        <f t="shared" si="17"/>
        <v>20</v>
      </c>
      <c r="G259" s="53"/>
    </row>
    <row r="260" spans="1:7" x14ac:dyDescent="0.2">
      <c r="B260" s="50" t="s">
        <v>436</v>
      </c>
      <c r="C260" s="51"/>
      <c r="D260" s="51">
        <f>'[2]комплекты фурнитуры'!Q68</f>
        <v>500</v>
      </c>
      <c r="E260" s="66">
        <v>4</v>
      </c>
      <c r="F260" s="52">
        <f t="shared" si="17"/>
        <v>2000</v>
      </c>
      <c r="G260" s="53"/>
    </row>
    <row r="261" spans="1:7" x14ac:dyDescent="0.2">
      <c r="B261" s="50" t="s">
        <v>403</v>
      </c>
      <c r="C261" s="51"/>
      <c r="D261" s="51">
        <f>'[2]комплекты фурнитуры'!Q69</f>
        <v>130</v>
      </c>
      <c r="E261" s="66">
        <v>4</v>
      </c>
      <c r="F261" s="52">
        <f t="shared" si="17"/>
        <v>520</v>
      </c>
      <c r="G261" s="53"/>
    </row>
    <row r="262" spans="1:7" x14ac:dyDescent="0.2">
      <c r="B262" s="50" t="s">
        <v>470</v>
      </c>
      <c r="C262" s="51"/>
      <c r="D262" s="51">
        <f>'[2]комплекты фурнитуры'!Q88*0.568</f>
        <v>630.4799999999999</v>
      </c>
      <c r="E262" s="66">
        <v>1</v>
      </c>
      <c r="F262" s="52">
        <f t="shared" si="17"/>
        <v>630.4799999999999</v>
      </c>
      <c r="G262" s="53"/>
    </row>
    <row r="263" spans="1:7" x14ac:dyDescent="0.2">
      <c r="B263" s="50" t="s">
        <v>471</v>
      </c>
      <c r="C263" s="51"/>
      <c r="D263" s="51">
        <f>'[2]комплекты фурнитуры'!Q88*0.668</f>
        <v>741.48</v>
      </c>
      <c r="E263" s="66">
        <v>1</v>
      </c>
      <c r="F263" s="52">
        <f t="shared" si="17"/>
        <v>741.48</v>
      </c>
      <c r="G263" s="53"/>
    </row>
    <row r="264" spans="1:7" x14ac:dyDescent="0.2">
      <c r="B264" s="50" t="s">
        <v>472</v>
      </c>
      <c r="C264" s="51"/>
      <c r="D264" s="51">
        <f>'[2]комплекты фурнитуры'!Q88*0.768</f>
        <v>852.48</v>
      </c>
      <c r="E264" s="66">
        <v>1</v>
      </c>
      <c r="F264" s="52">
        <f t="shared" si="17"/>
        <v>852.48</v>
      </c>
      <c r="G264" s="53"/>
    </row>
    <row r="265" spans="1:7" x14ac:dyDescent="0.2">
      <c r="B265" s="50" t="s">
        <v>473</v>
      </c>
      <c r="C265" s="51"/>
      <c r="D265" s="51">
        <f>'[2]комплекты фурнитуры'!Q88*0.868</f>
        <v>963.48</v>
      </c>
      <c r="E265" s="66">
        <v>1</v>
      </c>
      <c r="F265" s="52">
        <f t="shared" si="17"/>
        <v>963.48</v>
      </c>
      <c r="G265" s="53"/>
    </row>
    <row r="266" spans="1:7" x14ac:dyDescent="0.2">
      <c r="A266" s="31">
        <v>19</v>
      </c>
      <c r="B266" s="313" t="s">
        <v>41</v>
      </c>
      <c r="C266" s="87"/>
      <c r="D266" s="87"/>
      <c r="E266" s="87" t="s">
        <v>391</v>
      </c>
      <c r="F266" s="87" t="s">
        <v>392</v>
      </c>
      <c r="G266" s="86"/>
    </row>
    <row r="267" spans="1:7" ht="15" x14ac:dyDescent="0.2">
      <c r="B267" s="313"/>
      <c r="C267" s="87">
        <v>600</v>
      </c>
      <c r="D267" s="87"/>
      <c r="E267" s="88">
        <f>(((($D$256*$H$4-$D$256)/100)*$G267)+$D$256)+($F$257+$F$258+$F$259+$F$260+$F$262)</f>
        <v>5204.9299999999994</v>
      </c>
      <c r="F267" s="88">
        <f>(((($D$256*$H$4-$D$256)/100)*$G267)+$D$256)+($F$257+$F$258+$F$259+$F$261+$F$262)</f>
        <v>3724.9299999999994</v>
      </c>
      <c r="G267" s="89">
        <v>300</v>
      </c>
    </row>
    <row r="268" spans="1:7" ht="15" x14ac:dyDescent="0.2">
      <c r="B268" s="313"/>
      <c r="C268" s="87">
        <v>700</v>
      </c>
      <c r="D268" s="87"/>
      <c r="E268" s="88">
        <f>(((($D$256*$H$4-$D$256)/100)*$G268)+$D$256)+($F$257+$F$258+$F$259+$F$260+$F$263)</f>
        <v>5414.08</v>
      </c>
      <c r="F268" s="88">
        <f>(((($D$256*$H$4-$D$256)/100)*$G268)+$D$256)+($F$257+$F$258+$F$259+$F$261+$F$263)</f>
        <v>3934.0799999999995</v>
      </c>
      <c r="G268" s="89">
        <v>400</v>
      </c>
    </row>
    <row r="269" spans="1:7" ht="15" x14ac:dyDescent="0.2">
      <c r="B269" s="313"/>
      <c r="C269" s="87">
        <v>800</v>
      </c>
      <c r="D269" s="87"/>
      <c r="E269" s="88">
        <f>(((($D$256*$H$4-$D$256)/100)*$G269)+$D$256)+($F$257+$F$258+$F$259+$F$260+$F$264)</f>
        <v>5623.23</v>
      </c>
      <c r="F269" s="88">
        <f>(((($D$256*$H$4-$D$256)/100)*$G269)+$D$256)+($F$257+$F$258+$F$259+$F$261+$F$264)</f>
        <v>4143.2299999999996</v>
      </c>
      <c r="G269" s="89">
        <v>500</v>
      </c>
    </row>
    <row r="270" spans="1:7" ht="15" x14ac:dyDescent="0.2">
      <c r="B270" s="313"/>
      <c r="C270" s="87">
        <v>900</v>
      </c>
      <c r="D270" s="87"/>
      <c r="E270" s="88">
        <f>(((($D$256*$H$4-$D$256)/100)*$G270)+$D$256)+($F$257+$F$258+$F$259+$F$260+$F$265)</f>
        <v>5832.3799999999992</v>
      </c>
      <c r="F270" s="88">
        <f>(((($D$256*$H$4-$D$256)/100)*$G270)+$D$256)+($F$257+$F$258+$F$259+$F$261+$F$265)</f>
        <v>4352.3799999999992</v>
      </c>
      <c r="G270" s="89">
        <v>600</v>
      </c>
    </row>
    <row r="272" spans="1:7" ht="15" x14ac:dyDescent="0.2">
      <c r="B272" s="82"/>
      <c r="C272" s="47"/>
      <c r="D272" s="47" t="s">
        <v>384</v>
      </c>
      <c r="E272" s="47" t="s">
        <v>385</v>
      </c>
      <c r="F272" s="48" t="s">
        <v>386</v>
      </c>
      <c r="G272" s="96"/>
    </row>
    <row r="273" spans="1:7" x14ac:dyDescent="0.2">
      <c r="B273" s="50" t="s">
        <v>388</v>
      </c>
      <c r="C273" s="51"/>
      <c r="D273" s="66">
        <f>'[2]2 все модули и цены'!E54</f>
        <v>1510</v>
      </c>
      <c r="E273" s="82"/>
      <c r="F273" s="52"/>
      <c r="G273" s="53"/>
    </row>
    <row r="274" spans="1:7" x14ac:dyDescent="0.2">
      <c r="B274" s="50" t="s">
        <v>389</v>
      </c>
      <c r="C274" s="51"/>
      <c r="D274" s="51">
        <f>'[2]комплекты фурнитуры'!Q10</f>
        <v>540</v>
      </c>
      <c r="E274" s="66">
        <v>1</v>
      </c>
      <c r="F274" s="52">
        <f t="shared" ref="F274:F284" si="18">D274*E274</f>
        <v>540</v>
      </c>
      <c r="G274" s="53"/>
    </row>
    <row r="275" spans="1:7" x14ac:dyDescent="0.2">
      <c r="B275" s="54" t="s">
        <v>439</v>
      </c>
      <c r="C275" s="51"/>
      <c r="D275" s="51">
        <f>'[2]комплекты фурнитуры'!Q79</f>
        <v>210</v>
      </c>
      <c r="E275" s="66">
        <v>1</v>
      </c>
      <c r="F275" s="52">
        <f t="shared" si="18"/>
        <v>210</v>
      </c>
      <c r="G275" s="53"/>
    </row>
    <row r="276" spans="1:7" x14ac:dyDescent="0.2">
      <c r="B276" s="54" t="s">
        <v>440</v>
      </c>
      <c r="C276" s="51"/>
      <c r="D276" s="51">
        <f>'[2]комплекты фурнитуры'!Q80</f>
        <v>20</v>
      </c>
      <c r="E276" s="66">
        <v>1</v>
      </c>
      <c r="F276" s="52">
        <f t="shared" si="18"/>
        <v>20</v>
      </c>
      <c r="G276" s="53"/>
    </row>
    <row r="277" spans="1:7" x14ac:dyDescent="0.2">
      <c r="B277" s="50" t="s">
        <v>474</v>
      </c>
      <c r="C277" s="51"/>
      <c r="D277" s="51">
        <f>'[2]комплекты фурнитуры'!Q75</f>
        <v>13990</v>
      </c>
      <c r="E277" s="66">
        <v>1</v>
      </c>
      <c r="F277" s="52">
        <f t="shared" si="18"/>
        <v>13990</v>
      </c>
      <c r="G277" s="53"/>
    </row>
    <row r="278" spans="1:7" x14ac:dyDescent="0.2">
      <c r="B278" s="50" t="s">
        <v>403</v>
      </c>
      <c r="C278" s="51"/>
      <c r="D278" s="51"/>
      <c r="E278" s="66">
        <v>4</v>
      </c>
      <c r="F278" s="52">
        <f t="shared" si="18"/>
        <v>0</v>
      </c>
      <c r="G278" s="53"/>
    </row>
    <row r="279" spans="1:7" x14ac:dyDescent="0.2">
      <c r="B279" s="50" t="s">
        <v>467</v>
      </c>
      <c r="C279" s="51"/>
      <c r="D279" s="51">
        <f>'[2]комплекты фурнитуры'!Q88*0.368</f>
        <v>408.48</v>
      </c>
      <c r="E279" s="66">
        <v>1</v>
      </c>
      <c r="F279" s="52">
        <f t="shared" si="18"/>
        <v>408.48</v>
      </c>
      <c r="G279" s="53"/>
    </row>
    <row r="280" spans="1:7" x14ac:dyDescent="0.2">
      <c r="B280" s="50" t="s">
        <v>469</v>
      </c>
      <c r="C280" s="51"/>
      <c r="D280" s="51">
        <f>'[2]комплекты фурнитуры'!Q88*0.468</f>
        <v>519.48</v>
      </c>
      <c r="E280" s="66">
        <v>1</v>
      </c>
      <c r="F280" s="52">
        <f t="shared" si="18"/>
        <v>519.48</v>
      </c>
      <c r="G280" s="53"/>
    </row>
    <row r="281" spans="1:7" x14ac:dyDescent="0.2">
      <c r="B281" s="50" t="s">
        <v>470</v>
      </c>
      <c r="C281" s="51"/>
      <c r="D281" s="51">
        <f>'[2]комплекты фурнитуры'!Q88*0.568</f>
        <v>630.4799999999999</v>
      </c>
      <c r="E281" s="66">
        <v>1</v>
      </c>
      <c r="F281" s="52">
        <f t="shared" si="18"/>
        <v>630.4799999999999</v>
      </c>
      <c r="G281" s="53"/>
    </row>
    <row r="282" spans="1:7" x14ac:dyDescent="0.2">
      <c r="B282" s="50" t="s">
        <v>471</v>
      </c>
      <c r="C282" s="51"/>
      <c r="D282" s="51">
        <f>'[2]комплекты фурнитуры'!Q88*0.668</f>
        <v>741.48</v>
      </c>
      <c r="E282" s="66">
        <v>1</v>
      </c>
      <c r="F282" s="52">
        <f t="shared" si="18"/>
        <v>741.48</v>
      </c>
      <c r="G282" s="53"/>
    </row>
    <row r="283" spans="1:7" x14ac:dyDescent="0.2">
      <c r="B283" s="50" t="s">
        <v>472</v>
      </c>
      <c r="C283" s="51"/>
      <c r="D283" s="51">
        <f>'[2]комплекты фурнитуры'!Q88*0.768</f>
        <v>852.48</v>
      </c>
      <c r="E283" s="66">
        <v>1</v>
      </c>
      <c r="F283" s="52">
        <f t="shared" si="18"/>
        <v>852.48</v>
      </c>
      <c r="G283" s="53"/>
    </row>
    <row r="284" spans="1:7" x14ac:dyDescent="0.2">
      <c r="B284" s="50" t="s">
        <v>473</v>
      </c>
      <c r="C284" s="51"/>
      <c r="D284" s="51">
        <f>'[2]комплекты фурнитуры'!Q88*0.868</f>
        <v>963.48</v>
      </c>
      <c r="E284" s="66">
        <v>1</v>
      </c>
      <c r="F284" s="52">
        <f t="shared" si="18"/>
        <v>963.48</v>
      </c>
      <c r="G284" s="53"/>
    </row>
    <row r="285" spans="1:7" x14ac:dyDescent="0.2">
      <c r="A285" s="31">
        <v>20</v>
      </c>
      <c r="B285" s="313" t="s">
        <v>42</v>
      </c>
      <c r="C285" s="87"/>
      <c r="D285" s="87"/>
      <c r="E285" s="87" t="s">
        <v>391</v>
      </c>
      <c r="F285" s="87" t="s">
        <v>392</v>
      </c>
      <c r="G285" s="86"/>
    </row>
    <row r="286" spans="1:7" ht="15" x14ac:dyDescent="0.2">
      <c r="B286" s="313"/>
      <c r="C286" s="87">
        <v>400</v>
      </c>
      <c r="D286" s="87"/>
      <c r="E286" s="88">
        <f>(((($D$273*$H$4-$D$273)/100)*$G286)+$D$273)+($F$274+$F$275+$F$276+$F$277+$F$279)</f>
        <v>16776.63</v>
      </c>
      <c r="F286" s="88"/>
      <c r="G286" s="89">
        <v>100</v>
      </c>
    </row>
    <row r="287" spans="1:7" ht="15" x14ac:dyDescent="0.2">
      <c r="B287" s="313"/>
      <c r="C287" s="87">
        <v>450</v>
      </c>
      <c r="D287" s="87"/>
      <c r="E287" s="88">
        <f>(((($D$273*$H$4-$D$273)/100)*$G287)+$D$273)+($F$274+$F$275+$F$276+$F$277+$F$280)</f>
        <v>16936.704999999998</v>
      </c>
      <c r="F287" s="88"/>
      <c r="G287" s="89">
        <v>150</v>
      </c>
    </row>
    <row r="288" spans="1:7" ht="15" x14ac:dyDescent="0.2">
      <c r="B288" s="313"/>
      <c r="C288" s="87">
        <v>500</v>
      </c>
      <c r="D288" s="87"/>
      <c r="E288" s="88">
        <f>(((($D$273*$H$4-$D$273)/100)*$G288)+$D$273)+($F$274+$F$275+$F$276+$F$277+$F$280)</f>
        <v>16985.78</v>
      </c>
      <c r="F288" s="88"/>
      <c r="G288" s="89">
        <v>200</v>
      </c>
    </row>
    <row r="289" spans="2:7" ht="15" x14ac:dyDescent="0.2">
      <c r="B289" s="313"/>
      <c r="C289" s="87">
        <v>600</v>
      </c>
      <c r="D289" s="87"/>
      <c r="E289" s="88">
        <f>(((($D$273*$H$4-$D$273)/100)*$G289)+$D$273)+($F$274+$F$275+$F$276+$F$277+$F$281)</f>
        <v>17194.93</v>
      </c>
      <c r="F289" s="88"/>
      <c r="G289" s="89">
        <v>300</v>
      </c>
    </row>
    <row r="290" spans="2:7" ht="15" x14ac:dyDescent="0.2">
      <c r="B290" s="313"/>
      <c r="C290" s="87">
        <v>700</v>
      </c>
      <c r="D290" s="87"/>
      <c r="E290" s="88">
        <f>(((($D$273*$H$4-$D$273)/100)*$G290)+$D$273)+($F$274+$F$275+$F$276+$F$277+$F$282)</f>
        <v>17698.53</v>
      </c>
      <c r="F290" s="88"/>
      <c r="G290" s="89">
        <v>700</v>
      </c>
    </row>
    <row r="291" spans="2:7" ht="15" x14ac:dyDescent="0.2">
      <c r="B291" s="313"/>
      <c r="C291" s="87">
        <v>800</v>
      </c>
      <c r="D291" s="87"/>
      <c r="E291" s="88">
        <f>(((($D$273*$H$4-$D$273)/100)*$G291)+$D$273)+($F$274+$F$275+$F$276+$F$277+$F$283)</f>
        <v>17613.23</v>
      </c>
      <c r="F291" s="88"/>
      <c r="G291" s="89">
        <v>500</v>
      </c>
    </row>
    <row r="292" spans="2:7" ht="15" x14ac:dyDescent="0.2">
      <c r="B292" s="313"/>
      <c r="C292" s="87">
        <v>900</v>
      </c>
      <c r="D292" s="87"/>
      <c r="E292" s="88">
        <f>(((($D$273*$H$4-$D$273)/100)*$G292)+$D$273)+($F$274+$F$275+$F$276+$F$277+$F$284)</f>
        <v>17822.379999999997</v>
      </c>
      <c r="F292" s="88"/>
      <c r="G292" s="89">
        <v>600</v>
      </c>
    </row>
    <row r="294" spans="2:7" ht="15" x14ac:dyDescent="0.2">
      <c r="B294" s="82"/>
      <c r="C294" s="47"/>
      <c r="D294" s="47" t="s">
        <v>384</v>
      </c>
      <c r="E294" s="47" t="s">
        <v>385</v>
      </c>
      <c r="F294" s="48" t="s">
        <v>386</v>
      </c>
      <c r="G294" s="96"/>
    </row>
    <row r="295" spans="2:7" x14ac:dyDescent="0.2">
      <c r="B295" s="50" t="s">
        <v>388</v>
      </c>
      <c r="C295" s="51"/>
      <c r="D295" s="66">
        <f>'[2]2 все модули и цены'!E62</f>
        <v>2580</v>
      </c>
      <c r="E295" s="82"/>
      <c r="F295" s="52"/>
      <c r="G295" s="53"/>
    </row>
    <row r="296" spans="2:7" x14ac:dyDescent="0.2">
      <c r="B296" s="50" t="s">
        <v>448</v>
      </c>
      <c r="C296" s="51"/>
      <c r="D296" s="51">
        <f>'[2]комплекты фурнитуры'!Q22</f>
        <v>1130</v>
      </c>
      <c r="E296" s="66">
        <v>1</v>
      </c>
      <c r="F296" s="52">
        <f t="shared" ref="F296:F309" si="19">D296*E296</f>
        <v>1130</v>
      </c>
      <c r="G296" s="53"/>
    </row>
    <row r="297" spans="2:7" x14ac:dyDescent="0.2">
      <c r="B297" s="54" t="s">
        <v>439</v>
      </c>
      <c r="C297" s="51"/>
      <c r="D297" s="51">
        <f>'[2]комплекты фурнитуры'!Q79</f>
        <v>210</v>
      </c>
      <c r="E297" s="66">
        <v>1</v>
      </c>
      <c r="F297" s="52">
        <f t="shared" si="19"/>
        <v>210</v>
      </c>
      <c r="G297" s="53"/>
    </row>
    <row r="298" spans="2:7" x14ac:dyDescent="0.2">
      <c r="B298" s="54" t="s">
        <v>440</v>
      </c>
      <c r="C298" s="51"/>
      <c r="D298" s="51">
        <f>'[2]комплекты фурнитуры'!Q80</f>
        <v>20</v>
      </c>
      <c r="E298" s="66">
        <v>1</v>
      </c>
      <c r="F298" s="52">
        <f t="shared" si="19"/>
        <v>20</v>
      </c>
      <c r="G298" s="53"/>
    </row>
    <row r="299" spans="2:7" x14ac:dyDescent="0.2">
      <c r="B299" s="54" t="s">
        <v>413</v>
      </c>
      <c r="C299" s="51"/>
      <c r="D299" s="51">
        <f>'[2]комплекты фурнитуры'!Q85</f>
        <v>30</v>
      </c>
      <c r="E299" s="66">
        <v>1</v>
      </c>
      <c r="F299" s="52">
        <f t="shared" si="19"/>
        <v>30</v>
      </c>
      <c r="G299" s="53"/>
    </row>
    <row r="300" spans="2:7" x14ac:dyDescent="0.2">
      <c r="B300" s="54" t="s">
        <v>449</v>
      </c>
      <c r="C300" s="51"/>
      <c r="D300" s="51">
        <f>'[2]комплекты фурнитуры'!Q97</f>
        <v>20</v>
      </c>
      <c r="E300" s="66">
        <v>1</v>
      </c>
      <c r="F300" s="52">
        <f t="shared" si="19"/>
        <v>20</v>
      </c>
      <c r="G300" s="53"/>
    </row>
    <row r="301" spans="2:7" x14ac:dyDescent="0.2">
      <c r="B301" s="50" t="s">
        <v>434</v>
      </c>
      <c r="C301" s="51"/>
      <c r="D301" s="51">
        <f>'[2]комплекты фурнитуры'!Q62</f>
        <v>1300</v>
      </c>
      <c r="E301" s="66">
        <v>2</v>
      </c>
      <c r="F301" s="52">
        <f t="shared" si="19"/>
        <v>2600</v>
      </c>
      <c r="G301" s="53"/>
    </row>
    <row r="302" spans="2:7" x14ac:dyDescent="0.2">
      <c r="B302" s="50" t="s">
        <v>412</v>
      </c>
      <c r="C302" s="51"/>
      <c r="D302" s="51">
        <f>'[2]комплекты фурнитуры'!Q64</f>
        <v>480</v>
      </c>
      <c r="E302" s="66">
        <v>2</v>
      </c>
      <c r="F302" s="52">
        <f t="shared" si="19"/>
        <v>960</v>
      </c>
      <c r="G302" s="53"/>
    </row>
    <row r="303" spans="2:7" x14ac:dyDescent="0.2">
      <c r="B303" s="50" t="s">
        <v>475</v>
      </c>
      <c r="C303" s="51"/>
      <c r="D303" s="51">
        <f>'[2]комплекты фурнитуры'!Q88*0.191</f>
        <v>212.01</v>
      </c>
      <c r="E303" s="66">
        <v>1</v>
      </c>
      <c r="F303" s="52">
        <f t="shared" si="19"/>
        <v>212.01</v>
      </c>
      <c r="G303" s="53"/>
    </row>
    <row r="304" spans="2:7" x14ac:dyDescent="0.2">
      <c r="B304" s="50" t="s">
        <v>476</v>
      </c>
      <c r="C304" s="51"/>
      <c r="D304" s="51">
        <f>'[2]комплекты фурнитуры'!Q88*0.241</f>
        <v>267.51</v>
      </c>
      <c r="E304" s="66">
        <v>1</v>
      </c>
      <c r="F304" s="52">
        <f t="shared" si="19"/>
        <v>267.51</v>
      </c>
      <c r="G304" s="53"/>
    </row>
    <row r="305" spans="1:7" x14ac:dyDescent="0.2">
      <c r="B305" s="50" t="s">
        <v>477</v>
      </c>
      <c r="C305" s="51"/>
      <c r="D305" s="51">
        <f>'[2]комплекты фурнитуры'!Q88*0.291</f>
        <v>323.01</v>
      </c>
      <c r="E305" s="66">
        <v>1</v>
      </c>
      <c r="F305" s="52">
        <f t="shared" si="19"/>
        <v>323.01</v>
      </c>
      <c r="G305" s="53"/>
    </row>
    <row r="306" spans="1:7" x14ac:dyDescent="0.2">
      <c r="B306" s="50" t="s">
        <v>478</v>
      </c>
      <c r="C306" s="51"/>
      <c r="D306" s="51">
        <f>'[2]комплекты фурнитуры'!Q88*0.341</f>
        <v>378.51000000000005</v>
      </c>
      <c r="E306" s="66">
        <v>1</v>
      </c>
      <c r="F306" s="52">
        <f t="shared" si="19"/>
        <v>378.51000000000005</v>
      </c>
      <c r="G306" s="53"/>
    </row>
    <row r="307" spans="1:7" x14ac:dyDescent="0.2">
      <c r="B307" s="50" t="s">
        <v>479</v>
      </c>
      <c r="C307" s="51"/>
      <c r="D307" s="51">
        <f>'[2]комплекты фурнитуры'!Q88*0.391</f>
        <v>434.01</v>
      </c>
      <c r="E307" s="66">
        <v>1</v>
      </c>
      <c r="F307" s="52">
        <f t="shared" si="19"/>
        <v>434.01</v>
      </c>
      <c r="G307" s="53"/>
    </row>
    <row r="308" spans="1:7" x14ac:dyDescent="0.2">
      <c r="B308" s="50" t="s">
        <v>480</v>
      </c>
      <c r="C308" s="51"/>
      <c r="D308" s="51">
        <f>'[2]комплекты фурнитуры'!Q88*0.441</f>
        <v>489.51</v>
      </c>
      <c r="E308" s="66">
        <v>1</v>
      </c>
      <c r="F308" s="52">
        <f t="shared" si="19"/>
        <v>489.51</v>
      </c>
      <c r="G308" s="53"/>
    </row>
    <row r="309" spans="1:7" x14ac:dyDescent="0.2">
      <c r="B309" s="50" t="s">
        <v>481</v>
      </c>
      <c r="C309" s="51"/>
      <c r="D309" s="51">
        <f>'[2]комплекты фурнитуры'!Q88*0.491</f>
        <v>545.01</v>
      </c>
      <c r="E309" s="66">
        <v>1</v>
      </c>
      <c r="F309" s="52">
        <f t="shared" si="19"/>
        <v>545.01</v>
      </c>
      <c r="G309" s="53"/>
    </row>
    <row r="310" spans="1:7" x14ac:dyDescent="0.2">
      <c r="A310" s="31">
        <v>21</v>
      </c>
      <c r="B310" s="313" t="s">
        <v>43</v>
      </c>
      <c r="C310" s="87"/>
      <c r="D310" s="87"/>
      <c r="E310" s="87" t="s">
        <v>391</v>
      </c>
      <c r="F310" s="87" t="s">
        <v>392</v>
      </c>
      <c r="G310" s="86"/>
    </row>
    <row r="311" spans="1:7" ht="15" x14ac:dyDescent="0.2">
      <c r="B311" s="313"/>
      <c r="C311" s="87">
        <v>600</v>
      </c>
      <c r="D311" s="87"/>
      <c r="E311" s="88">
        <f>(((($D$295*$H$4-$D$295)/100)*$G311)+$D$295)+($F$296+$F$297+$F$298+$F$299+$F$300+$F$301+$F$303)</f>
        <v>6802.01</v>
      </c>
      <c r="F311" s="88">
        <f>(((($D$295*$H$4-$D$295)/100)*$G311)+$D$295)+($F$296+$F$297+$F$298+$F$299+$F$300+$F$302+$F$303)</f>
        <v>5162.01</v>
      </c>
      <c r="G311" s="89">
        <v>0</v>
      </c>
    </row>
    <row r="312" spans="1:7" ht="15" x14ac:dyDescent="0.2">
      <c r="B312" s="313"/>
      <c r="C312" s="87">
        <v>650</v>
      </c>
      <c r="D312" s="87"/>
      <c r="E312" s="88">
        <f>(((($D$295*$H$4-$D$295)/100)*$G312)+$D$295)+($F$296+$F$297+$F$298+$F$299+$F$300+$F$301+$F$304)</f>
        <v>6941.3600000000006</v>
      </c>
      <c r="F312" s="88">
        <f>(((($D$295*$H$4-$D$295)/100)*$G312)+$D$295)+($F$296+$F$297+$F$298+$F$299+$F$300+$F$302+$F$304)</f>
        <v>5301.3600000000006</v>
      </c>
      <c r="G312" s="89">
        <v>50</v>
      </c>
    </row>
    <row r="313" spans="1:7" ht="15" x14ac:dyDescent="0.2">
      <c r="B313" s="313"/>
      <c r="C313" s="87">
        <v>700</v>
      </c>
      <c r="D313" s="87"/>
      <c r="E313" s="88">
        <f>(((($D$295*$H$4-$D$295)/100)*$G313)+$D$295)+($F$296+$F$297+$F$298+$F$299+$F$300+$F$301+$F$305)</f>
        <v>7080.71</v>
      </c>
      <c r="F313" s="88">
        <f>(((($D$295*$H$4-$D$295)/100)*$G313)+$D$295)+($F$296+$F$297+$F$298+$F$299+$F$300+$F$302+$F$305)</f>
        <v>5440.71</v>
      </c>
      <c r="G313" s="89">
        <v>100</v>
      </c>
    </row>
    <row r="314" spans="1:7" ht="15" x14ac:dyDescent="0.2">
      <c r="B314" s="313"/>
      <c r="C314" s="87">
        <v>750</v>
      </c>
      <c r="D314" s="87"/>
      <c r="E314" s="88">
        <f>(((($D$295*$H$4-$D$295)/100)*$G314)+$D$295)+($F$296+$F$297+$F$298+$F$299+$F$300+$F$301+$F$306)</f>
        <v>7220.0599999999995</v>
      </c>
      <c r="F314" s="88">
        <f>(((($D$295*$H$4-$D$295)/100)*$G314)+$D$295)+($F$296+$F$297+$F$298+$F$299+$F$300+$F$302+$F$306)</f>
        <v>5580.0599999999995</v>
      </c>
      <c r="G314" s="89">
        <v>150</v>
      </c>
    </row>
    <row r="315" spans="1:7" ht="15" x14ac:dyDescent="0.2">
      <c r="B315" s="313"/>
      <c r="C315" s="87">
        <v>800</v>
      </c>
      <c r="D315" s="87"/>
      <c r="E315" s="88">
        <f>(((($D$295*$H$4-$D$295)/100)*$G315)+$D$295)+($F$296+$F$297+$F$298+$F$299+$F$300+$F$301+$F$307)</f>
        <v>7359.41</v>
      </c>
      <c r="F315" s="88">
        <f>(((($D$295*$H$4-$D$295)/100)*$G315)+$D$295)+($F$296+$F$297+$F$298+$F$299+$F$300+$F$302+$F$307)</f>
        <v>5719.41</v>
      </c>
      <c r="G315" s="89">
        <v>200</v>
      </c>
    </row>
    <row r="316" spans="1:7" ht="15" x14ac:dyDescent="0.2">
      <c r="B316" s="313"/>
      <c r="C316" s="87">
        <v>850</v>
      </c>
      <c r="D316" s="87"/>
      <c r="E316" s="88">
        <f>(((($D$295*$H$4-$D$295)/100)*$G316)+$D$295)+($F$296+$F$297+$F$298+$F$299+$F$300+$F$301+$F$308)</f>
        <v>7498.76</v>
      </c>
      <c r="F316" s="88">
        <f>(((($D$295*$H$4-$D$295)/100)*$G316)+$D$295)+($F$296+$F$297+$F$298+$F$299+$F$300+$F$302+$F$308)</f>
        <v>5858.76</v>
      </c>
      <c r="G316" s="89">
        <v>250</v>
      </c>
    </row>
    <row r="317" spans="1:7" ht="15" x14ac:dyDescent="0.2">
      <c r="B317" s="313"/>
      <c r="C317" s="87">
        <v>900</v>
      </c>
      <c r="D317" s="87"/>
      <c r="E317" s="88">
        <f>(((($D$295*$H$4-$D$295)/100)*$G317)+$D$295)+($F$296+$F$297+$F$298+$F$299+$F$300+$F$301+$F$309)</f>
        <v>7638.11</v>
      </c>
      <c r="F317" s="88">
        <f>(((($D$295*$H$4-$D$295)/100)*$G317)+$D$295)+($F$296+$F$297+$F$298+$F$299+$F$300+$F$302+$F$309)</f>
        <v>5998.11</v>
      </c>
      <c r="G317" s="89">
        <v>300</v>
      </c>
    </row>
    <row r="319" spans="1:7" ht="15" x14ac:dyDescent="0.2">
      <c r="B319" s="82"/>
      <c r="C319" s="47"/>
      <c r="D319" s="47" t="s">
        <v>384</v>
      </c>
      <c r="E319" s="47" t="s">
        <v>385</v>
      </c>
      <c r="F319" s="48" t="s">
        <v>386</v>
      </c>
      <c r="G319" s="96"/>
    </row>
    <row r="320" spans="1:7" x14ac:dyDescent="0.2">
      <c r="B320" s="50" t="s">
        <v>388</v>
      </c>
      <c r="C320" s="51"/>
      <c r="D320" s="66">
        <f>'[2]2 все модули и цены'!E37</f>
        <v>1640</v>
      </c>
      <c r="E320" s="82"/>
      <c r="F320" s="52"/>
      <c r="G320" s="53"/>
    </row>
    <row r="321" spans="1:8" x14ac:dyDescent="0.2">
      <c r="B321" s="50" t="s">
        <v>438</v>
      </c>
      <c r="C321" s="51"/>
      <c r="D321" s="51">
        <f>'[2]комплекты фурнитуры'!Q25</f>
        <v>590</v>
      </c>
      <c r="E321" s="66">
        <v>1</v>
      </c>
      <c r="F321" s="52">
        <f>D321*E321</f>
        <v>590</v>
      </c>
      <c r="G321" s="53"/>
    </row>
    <row r="322" spans="1:8" x14ac:dyDescent="0.2">
      <c r="A322" s="31">
        <v>22</v>
      </c>
      <c r="B322" s="313" t="s">
        <v>31</v>
      </c>
      <c r="C322" s="87"/>
      <c r="D322" s="87"/>
      <c r="E322" s="87" t="s">
        <v>391</v>
      </c>
      <c r="F322" s="87" t="s">
        <v>392</v>
      </c>
      <c r="G322" s="86"/>
    </row>
    <row r="323" spans="1:8" ht="15" x14ac:dyDescent="0.2">
      <c r="B323" s="313"/>
      <c r="C323" s="87">
        <v>50</v>
      </c>
      <c r="D323" s="87"/>
      <c r="E323" s="88">
        <f>$D$320-((($D$320*$H$4-$D$320)/100)*$G323)+$F$321</f>
        <v>2176.6999999999998</v>
      </c>
      <c r="F323" s="88"/>
      <c r="G323" s="89">
        <v>50</v>
      </c>
    </row>
    <row r="325" spans="1:8" ht="15" x14ac:dyDescent="0.2">
      <c r="B325" s="82"/>
      <c r="C325" s="47"/>
      <c r="D325" s="47" t="s">
        <v>384</v>
      </c>
      <c r="E325" s="47" t="s">
        <v>385</v>
      </c>
      <c r="F325" s="48" t="s">
        <v>386</v>
      </c>
      <c r="G325" s="96"/>
    </row>
    <row r="326" spans="1:8" x14ac:dyDescent="0.2">
      <c r="B326" s="50" t="s">
        <v>388</v>
      </c>
      <c r="C326" s="51"/>
      <c r="D326" s="66">
        <f>'[2]2 все модули и цены'!E66</f>
        <v>1840</v>
      </c>
      <c r="E326" s="82"/>
      <c r="F326" s="52"/>
      <c r="G326" s="53"/>
    </row>
    <row r="327" spans="1:8" x14ac:dyDescent="0.2">
      <c r="B327" s="50" t="s">
        <v>417</v>
      </c>
      <c r="C327" s="51"/>
      <c r="D327" s="51">
        <f>'[2]комплекты фурнитуры'!Q16</f>
        <v>940</v>
      </c>
      <c r="E327" s="66">
        <v>1</v>
      </c>
      <c r="F327" s="52">
        <f>D327*E327</f>
        <v>940</v>
      </c>
      <c r="G327" s="53"/>
    </row>
    <row r="328" spans="1:8" x14ac:dyDescent="0.2">
      <c r="B328" s="50" t="s">
        <v>431</v>
      </c>
      <c r="C328" s="51"/>
      <c r="D328" s="51">
        <f>'[2]комплекты фурнитуры'!Q60</f>
        <v>1560</v>
      </c>
      <c r="E328" s="66">
        <v>2</v>
      </c>
      <c r="F328" s="52">
        <f>D328*E328</f>
        <v>3120</v>
      </c>
      <c r="G328" s="53"/>
    </row>
    <row r="329" spans="1:8" x14ac:dyDescent="0.2">
      <c r="B329" s="50" t="s">
        <v>462</v>
      </c>
      <c r="C329" s="51"/>
      <c r="D329" s="51">
        <f>'[2]комплекты фурнитуры'!Q86</f>
        <v>40</v>
      </c>
      <c r="E329" s="66">
        <v>2</v>
      </c>
      <c r="F329" s="52">
        <f>D329*E329</f>
        <v>80</v>
      </c>
      <c r="G329" s="53"/>
    </row>
    <row r="330" spans="1:8" x14ac:dyDescent="0.2">
      <c r="B330" s="50" t="s">
        <v>419</v>
      </c>
      <c r="C330" s="51"/>
      <c r="D330" s="51">
        <f>'[2]комплекты фурнитуры'!Q61</f>
        <v>190</v>
      </c>
      <c r="E330" s="66">
        <v>2</v>
      </c>
      <c r="F330" s="52">
        <f>D330*E330</f>
        <v>380</v>
      </c>
      <c r="G330" s="53"/>
      <c r="H330" s="99" t="s">
        <v>482</v>
      </c>
    </row>
    <row r="331" spans="1:8" x14ac:dyDescent="0.2">
      <c r="A331" s="31">
        <v>23</v>
      </c>
      <c r="B331" s="313" t="s">
        <v>44</v>
      </c>
      <c r="C331" s="87"/>
      <c r="D331" s="87"/>
      <c r="E331" s="87" t="s">
        <v>391</v>
      </c>
      <c r="F331" s="87" t="s">
        <v>392</v>
      </c>
      <c r="G331" s="86"/>
      <c r="H331" s="129"/>
    </row>
    <row r="332" spans="1:8" ht="15" x14ac:dyDescent="0.2">
      <c r="B332" s="313"/>
      <c r="C332" s="87">
        <v>210</v>
      </c>
      <c r="D332" s="87"/>
      <c r="E332" s="88">
        <f>$D$326-((($D$326*$H$3-$D$326)/100)*$H332)+($F$327+$F$328+$F$329)</f>
        <v>5626.7199999999993</v>
      </c>
      <c r="F332" s="88">
        <f>$D$326-((($D$326*$H$3-$D$326)/100)*$H332)+($F$327+$F$330+$F$329)</f>
        <v>2886.72</v>
      </c>
      <c r="G332" s="89">
        <v>0</v>
      </c>
      <c r="H332" s="89">
        <v>240</v>
      </c>
    </row>
  </sheetData>
  <mergeCells count="23">
    <mergeCell ref="B285:B292"/>
    <mergeCell ref="B310:B317"/>
    <mergeCell ref="B322:B323"/>
    <mergeCell ref="B331:B332"/>
    <mergeCell ref="B201:B203"/>
    <mergeCell ref="B213:B215"/>
    <mergeCell ref="B222:B223"/>
    <mergeCell ref="B231:B232"/>
    <mergeCell ref="B247:B253"/>
    <mergeCell ref="B266:B270"/>
    <mergeCell ref="B188:B191"/>
    <mergeCell ref="B15:B23"/>
    <mergeCell ref="B33:B39"/>
    <mergeCell ref="B62:B69"/>
    <mergeCell ref="B79:B80"/>
    <mergeCell ref="B88:B91"/>
    <mergeCell ref="B101:B104"/>
    <mergeCell ref="B119:B126"/>
    <mergeCell ref="B135:B137"/>
    <mergeCell ref="B146:B150"/>
    <mergeCell ref="B160:B161"/>
    <mergeCell ref="B174:B176"/>
    <mergeCell ref="B58:C58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4EA0FE-F84D-4231-8664-2FDFF58480A0}">
  <sheetPr codeName="Лист13">
    <tabColor rgb="FF92D050"/>
  </sheetPr>
  <dimension ref="A2:M363"/>
  <sheetViews>
    <sheetView zoomScale="130" zoomScaleNormal="130" workbookViewId="0">
      <selection activeCell="G5" sqref="G5"/>
    </sheetView>
  </sheetViews>
  <sheetFormatPr defaultRowHeight="12.75" x14ac:dyDescent="0.2"/>
  <cols>
    <col min="1" max="1" width="9.140625" style="31"/>
    <col min="2" max="2" width="11.5703125" style="31" customWidth="1"/>
    <col min="3" max="3" width="32.7109375" style="33" customWidth="1"/>
    <col min="4" max="4" width="20.7109375" style="33" customWidth="1"/>
    <col min="5" max="5" width="12.140625" style="31" bestFit="1" customWidth="1"/>
    <col min="6" max="6" width="24.85546875" style="31" customWidth="1"/>
    <col min="7" max="7" width="18.42578125" style="31" bestFit="1" customWidth="1"/>
    <col min="8" max="8" width="12" style="31" bestFit="1" customWidth="1"/>
    <col min="9" max="9" width="12.85546875" style="31" bestFit="1" customWidth="1"/>
    <col min="10" max="10" width="10.7109375" style="31" bestFit="1" customWidth="1"/>
    <col min="11" max="11" width="10.28515625" style="31" bestFit="1" customWidth="1"/>
    <col min="12" max="12" width="14.140625" style="31" bestFit="1" customWidth="1"/>
    <col min="13" max="13" width="9.5703125" style="31" bestFit="1" customWidth="1"/>
    <col min="14" max="14" width="10.85546875" style="31" customWidth="1"/>
    <col min="15" max="16384" width="9.140625" style="31"/>
  </cols>
  <sheetData>
    <row r="2" spans="1:11" x14ac:dyDescent="0.2">
      <c r="C2" s="33" t="s">
        <v>368</v>
      </c>
      <c r="E2" s="31" t="s">
        <v>369</v>
      </c>
      <c r="F2" s="35" t="s">
        <v>370</v>
      </c>
      <c r="G2" s="35" t="s">
        <v>371</v>
      </c>
      <c r="H2" s="35" t="s">
        <v>372</v>
      </c>
    </row>
    <row r="3" spans="1:11" x14ac:dyDescent="0.2">
      <c r="C3" s="33" t="s">
        <v>373</v>
      </c>
      <c r="E3" s="31" t="s">
        <v>374</v>
      </c>
      <c r="F3" s="36" t="s">
        <v>375</v>
      </c>
      <c r="G3" s="37">
        <v>0.08</v>
      </c>
      <c r="H3" s="33">
        <v>1.08</v>
      </c>
    </row>
    <row r="4" spans="1:11" x14ac:dyDescent="0.2">
      <c r="C4" s="33" t="s">
        <v>376</v>
      </c>
      <c r="E4" s="31" t="s">
        <v>377</v>
      </c>
      <c r="F4" s="38" t="s">
        <v>378</v>
      </c>
      <c r="G4" s="39">
        <v>6.5000000000000002E-2</v>
      </c>
      <c r="H4" s="33">
        <v>1.0649999999999999</v>
      </c>
    </row>
    <row r="5" spans="1:11" x14ac:dyDescent="0.2">
      <c r="F5" s="38" t="s">
        <v>379</v>
      </c>
      <c r="G5" s="40">
        <v>0.17911771919160485</v>
      </c>
      <c r="H5" s="33">
        <v>1.18</v>
      </c>
    </row>
    <row r="6" spans="1:11" ht="15" x14ac:dyDescent="0.2">
      <c r="C6" s="33" t="s">
        <v>380</v>
      </c>
      <c r="E6" s="31" t="s">
        <v>381</v>
      </c>
      <c r="F6" s="41" t="s">
        <v>382</v>
      </c>
      <c r="G6" s="42">
        <v>0.03</v>
      </c>
      <c r="H6" s="43">
        <v>1.03</v>
      </c>
    </row>
    <row r="7" spans="1:11" x14ac:dyDescent="0.2">
      <c r="F7" s="41" t="s">
        <v>383</v>
      </c>
      <c r="G7" s="40">
        <v>0.15718608559050146</v>
      </c>
      <c r="H7" s="33">
        <v>1.1599999999999999</v>
      </c>
    </row>
    <row r="8" spans="1:11" ht="15" x14ac:dyDescent="0.25">
      <c r="F8" s="44"/>
      <c r="G8" s="45"/>
      <c r="K8" s="46"/>
    </row>
    <row r="9" spans="1:11" x14ac:dyDescent="0.2">
      <c r="D9" s="47" t="s">
        <v>384</v>
      </c>
      <c r="E9" s="47" t="s">
        <v>385</v>
      </c>
      <c r="F9" s="48" t="s">
        <v>386</v>
      </c>
      <c r="G9" s="45"/>
      <c r="I9" s="49" t="s">
        <v>387</v>
      </c>
    </row>
    <row r="10" spans="1:11" x14ac:dyDescent="0.2">
      <c r="B10" s="50" t="s">
        <v>388</v>
      </c>
      <c r="C10" s="51"/>
      <c r="D10" s="51">
        <f>'[2]2 все модули и цены'!E7</f>
        <v>2060</v>
      </c>
      <c r="E10" s="51"/>
      <c r="F10" s="52"/>
      <c r="G10" s="53"/>
    </row>
    <row r="11" spans="1:11" x14ac:dyDescent="0.2">
      <c r="B11" s="50" t="s">
        <v>389</v>
      </c>
      <c r="C11" s="51"/>
      <c r="D11" s="51">
        <f>'[2]комплекты фурнитуры'!Q10</f>
        <v>540</v>
      </c>
      <c r="E11" s="51">
        <v>1</v>
      </c>
      <c r="F11" s="52">
        <f>D11*E11</f>
        <v>540</v>
      </c>
      <c r="G11" s="53"/>
    </row>
    <row r="12" spans="1:11" x14ac:dyDescent="0.2">
      <c r="B12" s="54" t="s">
        <v>390</v>
      </c>
      <c r="C12" s="51"/>
      <c r="D12" s="51">
        <f>'[2]комплекты фурнитуры'!Q27</f>
        <v>270</v>
      </c>
      <c r="E12" s="51">
        <v>2</v>
      </c>
      <c r="F12" s="52">
        <f>D12*E12</f>
        <v>540</v>
      </c>
      <c r="G12" s="53"/>
    </row>
    <row r="13" spans="1:11" x14ac:dyDescent="0.2">
      <c r="C13" s="33" t="s">
        <v>174</v>
      </c>
      <c r="E13" s="33" t="s">
        <v>391</v>
      </c>
      <c r="F13" s="33" t="s">
        <v>392</v>
      </c>
      <c r="G13" s="31" t="s">
        <v>393</v>
      </c>
      <c r="J13" s="31">
        <v>359.31</v>
      </c>
      <c r="K13" s="31">
        <f>J13/400</f>
        <v>0.89827500000000005</v>
      </c>
    </row>
    <row r="14" spans="1:11" ht="15" x14ac:dyDescent="0.25">
      <c r="A14" s="31">
        <v>1</v>
      </c>
      <c r="B14" s="317" t="s">
        <v>3</v>
      </c>
      <c r="C14" s="55" t="s">
        <v>394</v>
      </c>
      <c r="D14" s="56"/>
      <c r="E14" s="56">
        <f>$D$10+$F$11+$F$12</f>
        <v>3140</v>
      </c>
      <c r="F14" s="56">
        <f>$D$10+$F$11+$F$12</f>
        <v>3140</v>
      </c>
      <c r="G14" s="57"/>
      <c r="H14" s="58"/>
      <c r="I14" s="59"/>
      <c r="J14" s="43"/>
      <c r="K14" s="43"/>
    </row>
    <row r="15" spans="1:11" ht="15" x14ac:dyDescent="0.2">
      <c r="B15" s="317"/>
      <c r="C15" s="55" t="s">
        <v>395</v>
      </c>
      <c r="D15" s="56"/>
      <c r="E15" s="60">
        <f t="shared" ref="E15:F20" si="0">(((($D$10*$H$4-$D$10)/100)*$G15)+$D$10)+($F$11+$F$12)</f>
        <v>3273.9</v>
      </c>
      <c r="F15" s="60">
        <f t="shared" si="0"/>
        <v>3273.9</v>
      </c>
      <c r="G15" s="61">
        <v>100</v>
      </c>
      <c r="H15" s="62"/>
      <c r="I15" s="59"/>
    </row>
    <row r="16" spans="1:11" ht="15" x14ac:dyDescent="0.2">
      <c r="B16" s="317"/>
      <c r="C16" s="55" t="s">
        <v>396</v>
      </c>
      <c r="D16" s="56"/>
      <c r="E16" s="60">
        <f t="shared" si="0"/>
        <v>3407.8</v>
      </c>
      <c r="F16" s="60">
        <f t="shared" si="0"/>
        <v>3407.8</v>
      </c>
      <c r="G16" s="61">
        <v>200</v>
      </c>
      <c r="H16" s="62"/>
      <c r="I16" s="59"/>
    </row>
    <row r="17" spans="1:9" ht="15" x14ac:dyDescent="0.2">
      <c r="B17" s="317"/>
      <c r="C17" s="55" t="s">
        <v>397</v>
      </c>
      <c r="D17" s="56"/>
      <c r="E17" s="60">
        <f t="shared" si="0"/>
        <v>3541.7000000000003</v>
      </c>
      <c r="F17" s="60">
        <f t="shared" si="0"/>
        <v>3541.7000000000003</v>
      </c>
      <c r="G17" s="61">
        <v>300</v>
      </c>
      <c r="H17" s="62"/>
      <c r="I17" s="59"/>
    </row>
    <row r="18" spans="1:9" ht="15" x14ac:dyDescent="0.2">
      <c r="B18" s="317"/>
      <c r="C18" s="55" t="s">
        <v>398</v>
      </c>
      <c r="D18" s="56"/>
      <c r="E18" s="60">
        <f t="shared" si="0"/>
        <v>3675.6000000000004</v>
      </c>
      <c r="F18" s="60">
        <f t="shared" si="0"/>
        <v>3675.6000000000004</v>
      </c>
      <c r="G18" s="61">
        <v>400</v>
      </c>
      <c r="H18" s="62"/>
      <c r="I18" s="59"/>
    </row>
    <row r="19" spans="1:9" ht="15" x14ac:dyDescent="0.2">
      <c r="B19" s="317"/>
      <c r="C19" s="55" t="s">
        <v>399</v>
      </c>
      <c r="D19" s="56"/>
      <c r="E19" s="60">
        <f t="shared" si="0"/>
        <v>3809.5000000000005</v>
      </c>
      <c r="F19" s="60">
        <f t="shared" si="0"/>
        <v>3809.5000000000005</v>
      </c>
      <c r="G19" s="61">
        <v>500</v>
      </c>
      <c r="H19" s="62"/>
      <c r="I19" s="59"/>
    </row>
    <row r="20" spans="1:9" ht="15" x14ac:dyDescent="0.2">
      <c r="B20" s="317"/>
      <c r="C20" s="55" t="s">
        <v>400</v>
      </c>
      <c r="D20" s="56"/>
      <c r="E20" s="60">
        <f t="shared" si="0"/>
        <v>3943.4000000000005</v>
      </c>
      <c r="F20" s="60">
        <f t="shared" si="0"/>
        <v>3943.4000000000005</v>
      </c>
      <c r="G20" s="61">
        <v>600</v>
      </c>
      <c r="H20" s="62"/>
      <c r="I20" s="59"/>
    </row>
    <row r="21" spans="1:9" ht="15" x14ac:dyDescent="0.25">
      <c r="B21" s="32"/>
      <c r="F21" s="59"/>
      <c r="G21" s="63"/>
      <c r="H21" s="64"/>
      <c r="I21" s="65"/>
    </row>
    <row r="22" spans="1:9" ht="15" x14ac:dyDescent="0.25">
      <c r="D22" s="47" t="s">
        <v>384</v>
      </c>
      <c r="E22" s="47" t="s">
        <v>385</v>
      </c>
      <c r="F22" s="48" t="s">
        <v>386</v>
      </c>
      <c r="G22" s="63"/>
      <c r="H22" s="64"/>
      <c r="I22" s="65"/>
    </row>
    <row r="23" spans="1:9" ht="15" x14ac:dyDescent="0.25">
      <c r="B23" s="50" t="s">
        <v>388</v>
      </c>
      <c r="C23" s="51"/>
      <c r="D23" s="66">
        <f>'[2]2 все модули и цены'!E8</f>
        <v>2060</v>
      </c>
      <c r="F23" s="52"/>
      <c r="G23" s="53"/>
      <c r="H23" s="64"/>
      <c r="I23" s="65"/>
    </row>
    <row r="24" spans="1:9" x14ac:dyDescent="0.2">
      <c r="B24" s="50" t="s">
        <v>389</v>
      </c>
      <c r="C24" s="51"/>
      <c r="D24" s="51">
        <f>D11</f>
        <v>540</v>
      </c>
      <c r="E24" s="66">
        <v>1</v>
      </c>
      <c r="F24" s="52">
        <f>D24*E24</f>
        <v>540</v>
      </c>
      <c r="G24" s="53"/>
    </row>
    <row r="25" spans="1:9" x14ac:dyDescent="0.2">
      <c r="B25" s="50" t="s">
        <v>401</v>
      </c>
      <c r="C25" s="51"/>
      <c r="D25" s="51">
        <f>D12</f>
        <v>270</v>
      </c>
      <c r="E25" s="66">
        <v>2</v>
      </c>
      <c r="F25" s="52">
        <f>D25*E25</f>
        <v>540</v>
      </c>
      <c r="G25" s="53"/>
    </row>
    <row r="26" spans="1:9" ht="72" x14ac:dyDescent="0.2">
      <c r="B26" s="255" t="s">
        <v>402</v>
      </c>
      <c r="C26" s="51"/>
      <c r="D26" s="51">
        <f>'[2]комплекты фурнитуры'!Q68</f>
        <v>500</v>
      </c>
      <c r="E26" s="66">
        <v>2</v>
      </c>
      <c r="F26" s="52">
        <f>D26*E26</f>
        <v>1000</v>
      </c>
      <c r="G26" s="53"/>
    </row>
    <row r="27" spans="1:9" x14ac:dyDescent="0.2">
      <c r="B27" s="50" t="s">
        <v>403</v>
      </c>
      <c r="C27" s="51"/>
      <c r="D27" s="51">
        <f>'[2]комплекты фурнитуры'!Q69</f>
        <v>130</v>
      </c>
      <c r="E27" s="66">
        <v>2</v>
      </c>
      <c r="F27" s="52">
        <f>D27*E27</f>
        <v>260</v>
      </c>
      <c r="G27" s="53"/>
    </row>
    <row r="29" spans="1:9" x14ac:dyDescent="0.2">
      <c r="A29" s="31">
        <v>2</v>
      </c>
      <c r="B29" s="317" t="s">
        <v>0</v>
      </c>
      <c r="C29" s="55"/>
      <c r="D29" s="55"/>
      <c r="E29" s="55" t="s">
        <v>391</v>
      </c>
      <c r="F29" s="55" t="s">
        <v>392</v>
      </c>
      <c r="G29" s="67"/>
    </row>
    <row r="30" spans="1:9" ht="15" x14ac:dyDescent="0.25">
      <c r="B30" s="317"/>
      <c r="C30" s="55" t="s">
        <v>394</v>
      </c>
      <c r="D30" s="55"/>
      <c r="E30" s="56">
        <f>$D$23+$F$24+$F$25+$F$26</f>
        <v>4140</v>
      </c>
      <c r="F30" s="56">
        <f>$D$23+$F$24+$F$25+F27</f>
        <v>3400</v>
      </c>
      <c r="G30" s="57"/>
      <c r="H30" s="65"/>
      <c r="I30" s="59"/>
    </row>
    <row r="31" spans="1:9" ht="15" x14ac:dyDescent="0.25">
      <c r="B31" s="317"/>
      <c r="C31" s="55">
        <v>350</v>
      </c>
      <c r="D31" s="55"/>
      <c r="E31" s="56">
        <f>(((($D$23*$H$4-$D$23)/100)*$G31)+$D$23)+($F$24+$F$25+$F$26)</f>
        <v>4206.95</v>
      </c>
      <c r="F31" s="56">
        <f>(((($D$23*$H$4-$D$23)/100)*$G31)+$D$23)+($F$24+$F$25+$F$27)</f>
        <v>3466.95</v>
      </c>
      <c r="G31" s="57">
        <v>50</v>
      </c>
      <c r="H31" s="65"/>
      <c r="I31" s="59"/>
    </row>
    <row r="32" spans="1:9" ht="15" x14ac:dyDescent="0.25">
      <c r="B32" s="317"/>
      <c r="C32" s="55" t="s">
        <v>395</v>
      </c>
      <c r="D32" s="55"/>
      <c r="E32" s="56">
        <f>(((($D$23*$H$4-$D$23)/100)*$G32)+$D$23)+($F$24+$F$25+$F$26)</f>
        <v>4273.8999999999996</v>
      </c>
      <c r="F32" s="56">
        <f>(((($D$23*$H$4-$D$23)/100)*$G32)+$D$23)+($F$24+$F$25+$F$27)</f>
        <v>3533.9</v>
      </c>
      <c r="G32" s="61">
        <v>100</v>
      </c>
      <c r="H32" s="64"/>
      <c r="I32" s="65"/>
    </row>
    <row r="33" spans="1:9" ht="15" x14ac:dyDescent="0.25">
      <c r="B33" s="317"/>
      <c r="C33" s="55">
        <v>450</v>
      </c>
      <c r="D33" s="55"/>
      <c r="E33" s="56">
        <f>(((($D$23*$H$4-$D$23)/100)*$G33)+$D$23)+($F$24+$F$25+$F$26)</f>
        <v>4340.8500000000004</v>
      </c>
      <c r="F33" s="56">
        <f>(((($D$23*$H$4-$D$23)/100)*$G33)+$D$23)+($F$24+$F$25+$F$27)</f>
        <v>3600.8500000000004</v>
      </c>
      <c r="G33" s="61">
        <v>150</v>
      </c>
      <c r="H33" s="64"/>
      <c r="I33" s="65"/>
    </row>
    <row r="34" spans="1:9" ht="15" x14ac:dyDescent="0.25">
      <c r="B34" s="317"/>
      <c r="C34" s="55" t="s">
        <v>396</v>
      </c>
      <c r="D34" s="55"/>
      <c r="E34" s="56">
        <f>(((($D$23*$H$4-$D$23)/100)*$G34)+$D$23)+($F$24+$F$25+$F$26)</f>
        <v>4407.8</v>
      </c>
      <c r="F34" s="56">
        <f>(((($D$23*$H$4-$D$23)/100)*$G34)+$D$23)+($F$24+$F$25+$F$27)</f>
        <v>3667.8</v>
      </c>
      <c r="G34" s="61">
        <v>200</v>
      </c>
      <c r="H34" s="64"/>
      <c r="I34" s="65"/>
    </row>
    <row r="35" spans="1:9" ht="15" x14ac:dyDescent="0.25">
      <c r="B35" s="317"/>
      <c r="C35" s="55" t="s">
        <v>397</v>
      </c>
      <c r="D35" s="55"/>
      <c r="E35" s="56">
        <f>(((($D$23*$H$4-$D$23)/100)*$G35)+$D$23)+($F$24+$F$25+$F$26)</f>
        <v>4541.7000000000007</v>
      </c>
      <c r="F35" s="56">
        <f>(((($D$23*$H$4-$D$23)/100)*$G35)+$D$23)+($F$24+$F$25+$F$27)</f>
        <v>3801.7000000000003</v>
      </c>
      <c r="G35" s="61">
        <v>300</v>
      </c>
      <c r="H35" s="64"/>
      <c r="I35" s="65"/>
    </row>
    <row r="37" spans="1:9" ht="15" x14ac:dyDescent="0.2">
      <c r="D37" s="47" t="s">
        <v>384</v>
      </c>
      <c r="E37" s="47" t="s">
        <v>385</v>
      </c>
      <c r="F37" s="48" t="s">
        <v>386</v>
      </c>
      <c r="G37" s="63"/>
    </row>
    <row r="38" spans="1:9" x14ac:dyDescent="0.2">
      <c r="B38" s="50" t="s">
        <v>388</v>
      </c>
      <c r="C38" s="51"/>
      <c r="D38" s="66">
        <f>'[2]2 все модули и цены'!E9</f>
        <v>2060</v>
      </c>
      <c r="F38" s="52"/>
      <c r="G38" s="53"/>
    </row>
    <row r="39" spans="1:9" x14ac:dyDescent="0.2">
      <c r="B39" s="50" t="s">
        <v>389</v>
      </c>
      <c r="C39" s="51"/>
      <c r="D39" s="51">
        <f>'[2]комплекты фурнитуры'!Q10</f>
        <v>540</v>
      </c>
      <c r="E39" s="66">
        <v>1</v>
      </c>
      <c r="F39" s="52">
        <f>D39*E39</f>
        <v>540</v>
      </c>
      <c r="G39" s="53"/>
    </row>
    <row r="40" spans="1:9" x14ac:dyDescent="0.2">
      <c r="B40" s="50" t="s">
        <v>401</v>
      </c>
      <c r="C40" s="51"/>
      <c r="D40" s="51">
        <f>'[2]комплекты фурнитуры'!Q27</f>
        <v>270</v>
      </c>
      <c r="E40" s="66">
        <v>2</v>
      </c>
      <c r="F40" s="52">
        <f>D40*E40</f>
        <v>540</v>
      </c>
      <c r="G40" s="53"/>
    </row>
    <row r="41" spans="1:9" x14ac:dyDescent="0.2">
      <c r="B41" s="50" t="s">
        <v>402</v>
      </c>
      <c r="C41" s="51"/>
      <c r="D41" s="51">
        <f>'[2]комплекты фурнитуры'!Q68</f>
        <v>500</v>
      </c>
      <c r="E41" s="66">
        <v>4</v>
      </c>
      <c r="F41" s="52">
        <f>D41*E41</f>
        <v>2000</v>
      </c>
      <c r="G41" s="53"/>
    </row>
    <row r="42" spans="1:9" x14ac:dyDescent="0.2">
      <c r="B42" s="50" t="s">
        <v>403</v>
      </c>
      <c r="C42" s="51"/>
      <c r="D42" s="51">
        <f>'[2]комплекты фурнитуры'!Q69</f>
        <v>130</v>
      </c>
      <c r="E42" s="66">
        <v>4</v>
      </c>
      <c r="F42" s="52">
        <f>D42*E42</f>
        <v>520</v>
      </c>
      <c r="G42" s="53"/>
    </row>
    <row r="44" spans="1:9" x14ac:dyDescent="0.2">
      <c r="A44" s="31">
        <v>3</v>
      </c>
      <c r="B44" s="317" t="s">
        <v>11</v>
      </c>
      <c r="C44" s="55"/>
      <c r="D44" s="55"/>
      <c r="E44" s="55" t="s">
        <v>391</v>
      </c>
      <c r="F44" s="55" t="s">
        <v>392</v>
      </c>
      <c r="G44" s="67"/>
    </row>
    <row r="45" spans="1:9" ht="15" x14ac:dyDescent="0.2">
      <c r="B45" s="317"/>
      <c r="C45" s="55">
        <v>600</v>
      </c>
      <c r="D45" s="55"/>
      <c r="E45" s="56">
        <f>(((($D$38*$H$4-$D$38)/100)*$G45)+$D$38)+($F$39+$F$40+$F$41)</f>
        <v>5541.7000000000007</v>
      </c>
      <c r="F45" s="56">
        <f>(((($D$38*$H$4-$D$38)/100)*$G45)+$D$38)+($F$39+$F$40+$F$42)</f>
        <v>4061.7000000000003</v>
      </c>
      <c r="G45" s="57">
        <v>300</v>
      </c>
    </row>
    <row r="46" spans="1:9" ht="15" x14ac:dyDescent="0.2">
      <c r="B46" s="317"/>
      <c r="C46" s="55">
        <v>700</v>
      </c>
      <c r="D46" s="55"/>
      <c r="E46" s="56">
        <f>(((($D$38*$H$4-$D$38)/100)*$G46)+$D$38)+($F$39+$F$40+$F$41)</f>
        <v>5675.6</v>
      </c>
      <c r="F46" s="56">
        <f>(((($D$38*$H$4-$D$38)/100)*$G46)+$D$38)+($F$39+$F$40+$F$42)</f>
        <v>4195.6000000000004</v>
      </c>
      <c r="G46" s="57">
        <v>400</v>
      </c>
    </row>
    <row r="47" spans="1:9" ht="15" x14ac:dyDescent="0.2">
      <c r="B47" s="317"/>
      <c r="C47" s="55">
        <v>800</v>
      </c>
      <c r="D47" s="55"/>
      <c r="E47" s="56">
        <f>(((($D$38*$H$4-$D$38)/100)*$G47)+$D$38)+($F$39+$F$40+$F$41)</f>
        <v>5809.5</v>
      </c>
      <c r="F47" s="56">
        <f>(((($D$38*$H$4-$D$38)/100)*$G47)+$D$38)+($F$39+$F$40+$F$42)</f>
        <v>4329.5</v>
      </c>
      <c r="G47" s="61">
        <v>500</v>
      </c>
    </row>
    <row r="48" spans="1:9" ht="15" x14ac:dyDescent="0.2">
      <c r="B48" s="317"/>
      <c r="C48" s="55">
        <v>900</v>
      </c>
      <c r="D48" s="55"/>
      <c r="E48" s="56">
        <f>(((($D$38*$H$4-$D$38)/100)*$G48)+$D$38)+($F$39+$F$40+$F$41)</f>
        <v>5943.4000000000005</v>
      </c>
      <c r="F48" s="56">
        <f>(((($D$38*$H$4-$D$38)/100)*$G48)+$D$38)+($F$39+$F$40+$F$42)</f>
        <v>4463.4000000000005</v>
      </c>
      <c r="G48" s="61">
        <v>600</v>
      </c>
    </row>
    <row r="50" spans="1:7" ht="15" x14ac:dyDescent="0.2">
      <c r="D50" s="47" t="s">
        <v>384</v>
      </c>
      <c r="E50" s="47" t="s">
        <v>385</v>
      </c>
      <c r="F50" s="48" t="s">
        <v>386</v>
      </c>
      <c r="G50" s="63"/>
    </row>
    <row r="51" spans="1:7" x14ac:dyDescent="0.2">
      <c r="B51" s="50" t="s">
        <v>388</v>
      </c>
      <c r="C51" s="51"/>
      <c r="D51" s="66">
        <f>'[2]2 все модули и цены'!E12</f>
        <v>2060</v>
      </c>
      <c r="F51" s="52"/>
      <c r="G51" s="53"/>
    </row>
    <row r="52" spans="1:7" x14ac:dyDescent="0.2">
      <c r="B52" s="50" t="s">
        <v>389</v>
      </c>
      <c r="C52" s="51"/>
      <c r="D52" s="51">
        <f>'[2]комплекты фурнитуры'!Q10</f>
        <v>540</v>
      </c>
      <c r="E52" s="66">
        <v>1</v>
      </c>
      <c r="F52" s="52">
        <f t="shared" ref="F52:F57" si="1">D52*E52</f>
        <v>540</v>
      </c>
      <c r="G52" s="53"/>
    </row>
    <row r="53" spans="1:7" x14ac:dyDescent="0.2">
      <c r="B53" s="50" t="s">
        <v>401</v>
      </c>
      <c r="C53" s="51"/>
      <c r="D53" s="51">
        <f>'[2]комплекты фурнитуры'!Q27</f>
        <v>270</v>
      </c>
      <c r="E53" s="66">
        <v>2</v>
      </c>
      <c r="F53" s="52">
        <f t="shared" si="1"/>
        <v>540</v>
      </c>
      <c r="G53" s="53"/>
    </row>
    <row r="54" spans="1:7" ht="24" x14ac:dyDescent="0.2">
      <c r="B54" s="255" t="s">
        <v>404</v>
      </c>
      <c r="C54" s="51"/>
      <c r="D54" s="51">
        <f>'[2]комплекты фурнитуры'!Q48</f>
        <v>11560</v>
      </c>
      <c r="E54" s="66">
        <v>1</v>
      </c>
      <c r="F54" s="52">
        <f t="shared" si="1"/>
        <v>11560</v>
      </c>
      <c r="G54" s="53"/>
    </row>
    <row r="55" spans="1:7" x14ac:dyDescent="0.2">
      <c r="B55" s="256" t="s">
        <v>405</v>
      </c>
      <c r="C55" s="257"/>
      <c r="D55" s="257">
        <f>'[2]комплекты фурнитуры'!Q49</f>
        <v>11370</v>
      </c>
      <c r="E55" s="258">
        <v>1</v>
      </c>
      <c r="F55" s="259">
        <f t="shared" si="1"/>
        <v>11370</v>
      </c>
      <c r="G55" s="260"/>
    </row>
    <row r="56" spans="1:7" x14ac:dyDescent="0.2">
      <c r="B56" s="68" t="s">
        <v>406</v>
      </c>
      <c r="D56" s="51">
        <f>'[2]комплекты фурнитуры'!Q50</f>
        <v>11370</v>
      </c>
      <c r="E56" s="69">
        <v>1</v>
      </c>
      <c r="F56" s="52">
        <f t="shared" si="1"/>
        <v>11370</v>
      </c>
    </row>
    <row r="57" spans="1:7" x14ac:dyDescent="0.2">
      <c r="B57" s="68" t="s">
        <v>407</v>
      </c>
      <c r="D57" s="51">
        <f>'[2]комплекты фурнитуры'!Q91</f>
        <v>10</v>
      </c>
      <c r="E57" s="69">
        <v>2</v>
      </c>
      <c r="F57" s="52">
        <f t="shared" si="1"/>
        <v>20</v>
      </c>
    </row>
    <row r="58" spans="1:7" x14ac:dyDescent="0.2">
      <c r="A58" s="31">
        <v>4</v>
      </c>
      <c r="B58" s="317" t="s">
        <v>12</v>
      </c>
      <c r="C58" s="55"/>
      <c r="D58" s="55"/>
      <c r="E58" s="55" t="s">
        <v>391</v>
      </c>
      <c r="F58" s="55" t="s">
        <v>392</v>
      </c>
      <c r="G58" s="67"/>
    </row>
    <row r="59" spans="1:7" ht="15" x14ac:dyDescent="0.2">
      <c r="B59" s="317"/>
      <c r="C59" s="55">
        <v>150</v>
      </c>
      <c r="D59" s="55"/>
      <c r="E59" s="56">
        <f>$D$51-((($D$51*$H$4-$D$51)/100)*$G59)+($F$52+$D$53+$F$54)</f>
        <v>14229.15</v>
      </c>
      <c r="F59" s="56"/>
      <c r="G59" s="57">
        <v>150</v>
      </c>
    </row>
    <row r="60" spans="1:7" ht="15" x14ac:dyDescent="0.2">
      <c r="B60" s="317"/>
      <c r="C60" s="55">
        <v>300</v>
      </c>
      <c r="D60" s="55"/>
      <c r="E60" s="70" t="s">
        <v>408</v>
      </c>
      <c r="F60" s="56"/>
      <c r="G60" s="57">
        <v>0</v>
      </c>
    </row>
    <row r="61" spans="1:7" ht="15" x14ac:dyDescent="0.2">
      <c r="B61" s="317"/>
      <c r="C61" s="55">
        <v>450</v>
      </c>
      <c r="D61" s="55"/>
      <c r="E61" s="56">
        <f>(((($D$51*$H$4-$D$10)/100)*$G61)+$D$10)+($F$52+$F$53+$F$56+$F$57)</f>
        <v>14730.85</v>
      </c>
      <c r="F61" s="56"/>
      <c r="G61" s="61">
        <v>150</v>
      </c>
    </row>
    <row r="63" spans="1:7" ht="15" x14ac:dyDescent="0.2">
      <c r="D63" s="47" t="s">
        <v>384</v>
      </c>
      <c r="E63" s="47" t="s">
        <v>385</v>
      </c>
      <c r="F63" s="48" t="s">
        <v>386</v>
      </c>
      <c r="G63" s="63"/>
    </row>
    <row r="64" spans="1:7" x14ac:dyDescent="0.2">
      <c r="B64" s="50" t="s">
        <v>388</v>
      </c>
      <c r="C64" s="51"/>
      <c r="D64" s="66">
        <f>'[2]2 все модули и цены'!E16</f>
        <v>2100</v>
      </c>
      <c r="F64" s="52"/>
      <c r="G64" s="53"/>
    </row>
    <row r="65" spans="1:7" x14ac:dyDescent="0.2">
      <c r="B65" s="50" t="s">
        <v>409</v>
      </c>
      <c r="C65" s="51"/>
      <c r="D65" s="51">
        <f>'[2]комплекты фурнитуры'!Q11</f>
        <v>460</v>
      </c>
      <c r="E65" s="66">
        <v>1</v>
      </c>
      <c r="F65" s="52">
        <f>D65*E65</f>
        <v>460</v>
      </c>
      <c r="G65" s="53"/>
    </row>
    <row r="66" spans="1:7" x14ac:dyDescent="0.2">
      <c r="B66" s="50" t="s">
        <v>401</v>
      </c>
      <c r="C66" s="51"/>
      <c r="D66" s="51">
        <f>'[2]комплекты фурнитуры'!Q27</f>
        <v>270</v>
      </c>
      <c r="E66" s="66">
        <v>2</v>
      </c>
      <c r="F66" s="52">
        <f>D66*E66</f>
        <v>540</v>
      </c>
      <c r="G66" s="53"/>
    </row>
    <row r="67" spans="1:7" x14ac:dyDescent="0.2">
      <c r="B67" s="50" t="s">
        <v>402</v>
      </c>
      <c r="C67" s="51"/>
      <c r="D67" s="51">
        <f>'[2]комплекты фурнитуры'!Q68</f>
        <v>500</v>
      </c>
      <c r="E67" s="66">
        <v>2</v>
      </c>
      <c r="F67" s="52">
        <f>D67*E67</f>
        <v>1000</v>
      </c>
      <c r="G67" s="53"/>
    </row>
    <row r="68" spans="1:7" x14ac:dyDescent="0.2">
      <c r="B68" s="50" t="s">
        <v>403</v>
      </c>
      <c r="C68" s="51"/>
      <c r="D68" s="51">
        <f>'[2]комплекты фурнитуры'!Q69</f>
        <v>130</v>
      </c>
      <c r="E68" s="66">
        <v>2</v>
      </c>
      <c r="F68" s="52">
        <f>D68*E68</f>
        <v>260</v>
      </c>
      <c r="G68" s="53"/>
    </row>
    <row r="70" spans="1:7" x14ac:dyDescent="0.2">
      <c r="A70" s="31">
        <v>5</v>
      </c>
      <c r="B70" s="317" t="s">
        <v>13</v>
      </c>
      <c r="C70" s="55"/>
      <c r="D70" s="55"/>
      <c r="E70" s="55" t="s">
        <v>391</v>
      </c>
      <c r="F70" s="55" t="s">
        <v>392</v>
      </c>
      <c r="G70" s="67"/>
    </row>
    <row r="71" spans="1:7" ht="15" x14ac:dyDescent="0.2">
      <c r="B71" s="317"/>
      <c r="C71" s="55">
        <v>450</v>
      </c>
      <c r="D71" s="55"/>
      <c r="E71" s="56">
        <f>$D$64+($F$65+$F$66+$F$67)</f>
        <v>4100</v>
      </c>
      <c r="F71" s="56">
        <f>$D$64+($F$65+$F$66+$F$68)</f>
        <v>3360</v>
      </c>
      <c r="G71" s="57">
        <v>0</v>
      </c>
    </row>
    <row r="72" spans="1:7" ht="15" x14ac:dyDescent="0.2">
      <c r="B72" s="317"/>
      <c r="C72" s="55">
        <v>500</v>
      </c>
      <c r="D72" s="55"/>
      <c r="E72" s="56">
        <f>(((($D$64*$H$4-$D$64)/100)*$G72)+$D$64)+($F$65+$F$66+$F$67)</f>
        <v>4168.25</v>
      </c>
      <c r="F72" s="56">
        <f>(((($D$64*$H$4-$D$64)/100)*$G72)+$D$64)+($F$65+$F$66+$F$68)</f>
        <v>3428.25</v>
      </c>
      <c r="G72" s="57">
        <v>50</v>
      </c>
    </row>
    <row r="73" spans="1:7" ht="15" x14ac:dyDescent="0.2">
      <c r="B73" s="317"/>
      <c r="C73" s="55">
        <v>600</v>
      </c>
      <c r="D73" s="55"/>
      <c r="E73" s="56">
        <f>(((($D$64*$H$4-$D$64)/100)*$G73)+$D$64)+($F$65+$F$66+$F$67)</f>
        <v>4304.75</v>
      </c>
      <c r="F73" s="56">
        <f>(((($D$64*$H$4-$D$64)/100)*$G73)+$D$64)+($F$65+$F$66+$F$68)</f>
        <v>3564.75</v>
      </c>
      <c r="G73" s="61">
        <v>150</v>
      </c>
    </row>
    <row r="75" spans="1:7" ht="15" x14ac:dyDescent="0.2">
      <c r="D75" s="47" t="s">
        <v>384</v>
      </c>
      <c r="E75" s="47" t="s">
        <v>385</v>
      </c>
      <c r="F75" s="48" t="s">
        <v>386</v>
      </c>
      <c r="G75" s="63"/>
    </row>
    <row r="76" spans="1:7" x14ac:dyDescent="0.2">
      <c r="B76" s="50" t="s">
        <v>388</v>
      </c>
      <c r="C76" s="51"/>
      <c r="D76" s="66">
        <f>'[2]2 все модули и цены'!E17</f>
        <v>2100</v>
      </c>
      <c r="F76" s="52"/>
      <c r="G76" s="53"/>
    </row>
    <row r="77" spans="1:7" x14ac:dyDescent="0.2">
      <c r="B77" s="50" t="s">
        <v>409</v>
      </c>
      <c r="C77" s="51"/>
      <c r="D77" s="51">
        <f>'[2]комплекты фурнитуры'!Q11</f>
        <v>460</v>
      </c>
      <c r="E77" s="66">
        <v>1</v>
      </c>
      <c r="F77" s="52">
        <f>D77*E77</f>
        <v>460</v>
      </c>
      <c r="G77" s="53"/>
    </row>
    <row r="78" spans="1:7" x14ac:dyDescent="0.2">
      <c r="B78" s="50" t="s">
        <v>401</v>
      </c>
      <c r="C78" s="51"/>
      <c r="D78" s="51">
        <f>'[2]комплекты фурнитуры'!Q27</f>
        <v>270</v>
      </c>
      <c r="E78" s="66">
        <v>2</v>
      </c>
      <c r="F78" s="52">
        <f>D78*E78</f>
        <v>540</v>
      </c>
      <c r="G78" s="53"/>
    </row>
    <row r="79" spans="1:7" x14ac:dyDescent="0.2">
      <c r="B79" s="50" t="s">
        <v>402</v>
      </c>
      <c r="C79" s="51"/>
      <c r="D79" s="51">
        <f>'[2]комплекты фурнитуры'!Q68</f>
        <v>500</v>
      </c>
      <c r="E79" s="66">
        <v>4</v>
      </c>
      <c r="F79" s="52">
        <f>D79*E79</f>
        <v>2000</v>
      </c>
      <c r="G79" s="53"/>
    </row>
    <row r="80" spans="1:7" x14ac:dyDescent="0.2">
      <c r="B80" s="50" t="s">
        <v>403</v>
      </c>
      <c r="C80" s="51"/>
      <c r="D80" s="51">
        <f>'[2]комплекты фурнитуры'!Q69</f>
        <v>130</v>
      </c>
      <c r="E80" s="66">
        <v>4</v>
      </c>
      <c r="F80" s="52">
        <f>D80*E80</f>
        <v>520</v>
      </c>
      <c r="G80" s="53"/>
    </row>
    <row r="82" spans="1:7" x14ac:dyDescent="0.2">
      <c r="A82" s="31">
        <v>6</v>
      </c>
      <c r="B82" s="317" t="s">
        <v>14</v>
      </c>
      <c r="C82" s="55"/>
      <c r="D82" s="55"/>
      <c r="E82" s="55" t="s">
        <v>391</v>
      </c>
      <c r="F82" s="55" t="s">
        <v>392</v>
      </c>
      <c r="G82" s="67"/>
    </row>
    <row r="83" spans="1:7" ht="15" x14ac:dyDescent="0.2">
      <c r="B83" s="317"/>
      <c r="C83" s="55">
        <v>600</v>
      </c>
      <c r="D83" s="55"/>
      <c r="E83" s="56">
        <f>(((($D$76*$H$4-$D$76)/100)*$G83)+$D$76)+($F$77+$F$78+$F$79)</f>
        <v>5304.75</v>
      </c>
      <c r="F83" s="56">
        <f>(((($D$76*$H$4-$D$76)/100)*$G83)+$D$76)+($F$77+$F$78+$F$80)</f>
        <v>3824.75</v>
      </c>
      <c r="G83" s="57">
        <v>150</v>
      </c>
    </row>
    <row r="84" spans="1:7" ht="15" x14ac:dyDescent="0.2">
      <c r="B84" s="317"/>
      <c r="C84" s="55">
        <v>700</v>
      </c>
      <c r="D84" s="55"/>
      <c r="E84" s="56">
        <f>(((($D$76*$H$4-$D$64)/100)*$G84)+$D$64)+($F$77+$F$78+$F$79)</f>
        <v>5441.25</v>
      </c>
      <c r="F84" s="56">
        <f>(((($D$76*$H$4-$D$76)/100)*$G84)+$D$76)+($F$77+$F$78+$F$80)</f>
        <v>3961.25</v>
      </c>
      <c r="G84" s="57">
        <v>250</v>
      </c>
    </row>
    <row r="85" spans="1:7" ht="15" x14ac:dyDescent="0.2">
      <c r="B85" s="317"/>
      <c r="C85" s="55">
        <v>800</v>
      </c>
      <c r="D85" s="55"/>
      <c r="E85" s="56">
        <f>(((($D$76*$H$4-$D$64)/100)*$G85)+$D$64)+($F$77+$F$78+$F$79)</f>
        <v>5577.75</v>
      </c>
      <c r="F85" s="56">
        <f>(((($D$76*$H$4-$D$76)/100)*$G85)+$D$76)+($F$77+$F$78+$F$80)</f>
        <v>4097.75</v>
      </c>
      <c r="G85" s="57">
        <v>350</v>
      </c>
    </row>
    <row r="86" spans="1:7" ht="15" x14ac:dyDescent="0.2">
      <c r="B86" s="317"/>
      <c r="C86" s="55">
        <v>900</v>
      </c>
      <c r="D86" s="55"/>
      <c r="E86" s="56">
        <f>(((($D$76*$H$4-$D$64)/100)*$G86)+$D$64)+($F$77+$F$78+$F$79)</f>
        <v>5714.25</v>
      </c>
      <c r="F86" s="56">
        <f>(((($D$76*$H$4-$D$76)/100)*$G86)+$D$76)+($F$77+$F$78+$F$80)</f>
        <v>4234.25</v>
      </c>
      <c r="G86" s="61">
        <v>450</v>
      </c>
    </row>
    <row r="88" spans="1:7" ht="15" x14ac:dyDescent="0.2">
      <c r="D88" s="47" t="s">
        <v>384</v>
      </c>
      <c r="E88" s="47" t="s">
        <v>385</v>
      </c>
      <c r="F88" s="48" t="s">
        <v>386</v>
      </c>
      <c r="G88" s="63"/>
    </row>
    <row r="89" spans="1:7" x14ac:dyDescent="0.2">
      <c r="B89" s="50" t="s">
        <v>388</v>
      </c>
      <c r="C89" s="51"/>
      <c r="D89" s="66">
        <f>'[2]2 все модули и цены'!E18</f>
        <v>3070</v>
      </c>
      <c r="F89" s="52"/>
      <c r="G89" s="53"/>
    </row>
    <row r="90" spans="1:7" x14ac:dyDescent="0.2">
      <c r="B90" s="50" t="s">
        <v>410</v>
      </c>
      <c r="C90" s="51"/>
      <c r="D90" s="51">
        <f>'[2]комплекты фурнитуры'!Q13</f>
        <v>810</v>
      </c>
      <c r="E90" s="66">
        <v>1</v>
      </c>
      <c r="F90" s="52">
        <f>D90*E90</f>
        <v>810</v>
      </c>
      <c r="G90" s="53"/>
    </row>
    <row r="91" spans="1:7" x14ac:dyDescent="0.2">
      <c r="B91" s="50" t="s">
        <v>401</v>
      </c>
      <c r="C91" s="51"/>
      <c r="D91" s="51">
        <f>'[2]комплекты фурнитуры'!Q27</f>
        <v>270</v>
      </c>
      <c r="E91" s="66">
        <v>2</v>
      </c>
      <c r="F91" s="52">
        <f>D91*E91</f>
        <v>540</v>
      </c>
      <c r="G91" s="53"/>
    </row>
    <row r="92" spans="1:7" ht="60" x14ac:dyDescent="0.2">
      <c r="B92" s="261" t="s">
        <v>411</v>
      </c>
      <c r="C92" s="51"/>
      <c r="D92" s="51">
        <f>'[2]комплекты фурнитуры'!Q62</f>
        <v>1300</v>
      </c>
      <c r="E92" s="66">
        <v>2</v>
      </c>
      <c r="F92" s="52">
        <f>D92*E92</f>
        <v>2600</v>
      </c>
      <c r="G92" s="53"/>
    </row>
    <row r="93" spans="1:7" x14ac:dyDescent="0.2">
      <c r="B93" s="50" t="s">
        <v>412</v>
      </c>
      <c r="C93" s="51"/>
      <c r="D93" s="51">
        <f>'[2]комплекты фурнитуры'!Q64</f>
        <v>480</v>
      </c>
      <c r="E93" s="66">
        <v>2</v>
      </c>
      <c r="F93" s="52">
        <f>D93*E93</f>
        <v>960</v>
      </c>
      <c r="G93" s="53"/>
    </row>
    <row r="94" spans="1:7" x14ac:dyDescent="0.2">
      <c r="B94" s="50" t="s">
        <v>413</v>
      </c>
      <c r="C94" s="51"/>
      <c r="D94" s="51">
        <f>'[2]комплекты фурнитуры'!Q85</f>
        <v>30</v>
      </c>
      <c r="E94" s="66">
        <v>1</v>
      </c>
      <c r="F94" s="52">
        <f>D94*E94</f>
        <v>30</v>
      </c>
      <c r="G94" s="53"/>
    </row>
    <row r="95" spans="1:7" x14ac:dyDescent="0.2">
      <c r="A95" s="31">
        <v>7</v>
      </c>
      <c r="B95" s="318" t="s">
        <v>414</v>
      </c>
      <c r="C95" s="55"/>
      <c r="D95" s="55"/>
      <c r="E95" s="55" t="s">
        <v>391</v>
      </c>
      <c r="F95" s="55" t="s">
        <v>392</v>
      </c>
      <c r="G95" s="67"/>
    </row>
    <row r="96" spans="1:7" ht="15" x14ac:dyDescent="0.2">
      <c r="B96" s="318"/>
      <c r="C96" s="55">
        <v>850</v>
      </c>
      <c r="D96" s="55"/>
      <c r="E96" s="56">
        <f>(((($D$89*$H$4-$D$89)/100)*$G96)+$D$89)+($F$90+$F$91+$F$92+$F$94)</f>
        <v>7249.5499999999993</v>
      </c>
      <c r="F96" s="56">
        <f>(((($D$89*$H$4-$D$89)/100)*$G96)+$D$89)+($F$90+$F$91+$F$93+$F$94)</f>
        <v>5609.5499999999993</v>
      </c>
      <c r="G96" s="57">
        <v>100</v>
      </c>
    </row>
    <row r="97" spans="1:7" ht="15" x14ac:dyDescent="0.2">
      <c r="B97" s="318"/>
      <c r="C97" s="55">
        <v>950</v>
      </c>
      <c r="D97" s="55"/>
      <c r="E97" s="56">
        <f>(((($D$89*$H$4-$D$89)/100)*$G97)+$D$89)+($F$90+$F$91+$F$92+$F$94)</f>
        <v>7449.0999999999995</v>
      </c>
      <c r="F97" s="56">
        <f>(((($D$89*$H$4-$D$89)/100)*$G97)+$D$89)+($F$90+$F$91+$F$93+$F$94)</f>
        <v>5809.0999999999995</v>
      </c>
      <c r="G97" s="57">
        <v>200</v>
      </c>
    </row>
    <row r="99" spans="1:7" ht="15" x14ac:dyDescent="0.2">
      <c r="D99" s="47" t="s">
        <v>384</v>
      </c>
      <c r="E99" s="47" t="s">
        <v>385</v>
      </c>
      <c r="F99" s="48" t="s">
        <v>386</v>
      </c>
      <c r="G99" s="63"/>
    </row>
    <row r="100" spans="1:7" x14ac:dyDescent="0.2">
      <c r="B100" s="50" t="s">
        <v>388</v>
      </c>
      <c r="C100" s="51"/>
      <c r="D100" s="66">
        <f>'[2]2 все модули и цены'!E22</f>
        <v>2850</v>
      </c>
      <c r="F100" s="52"/>
      <c r="G100" s="53"/>
    </row>
    <row r="101" spans="1:7" x14ac:dyDescent="0.2">
      <c r="B101" s="50" t="s">
        <v>415</v>
      </c>
      <c r="C101" s="51"/>
      <c r="D101" s="51">
        <f>'[2]комплекты фурнитуры'!Q15</f>
        <v>740</v>
      </c>
      <c r="E101" s="66">
        <v>1</v>
      </c>
      <c r="F101" s="52">
        <f>D101*E101</f>
        <v>740</v>
      </c>
      <c r="G101" s="53"/>
    </row>
    <row r="102" spans="1:7" x14ac:dyDescent="0.2">
      <c r="B102" s="50" t="s">
        <v>401</v>
      </c>
      <c r="C102" s="51"/>
      <c r="D102" s="51">
        <f>'[2]комплекты фурнитуры'!Q27</f>
        <v>270</v>
      </c>
      <c r="E102" s="66">
        <v>2</v>
      </c>
      <c r="F102" s="52">
        <f>D102*E102</f>
        <v>540</v>
      </c>
      <c r="G102" s="53"/>
    </row>
    <row r="103" spans="1:7" x14ac:dyDescent="0.2">
      <c r="B103" s="71" t="s">
        <v>411</v>
      </c>
      <c r="C103" s="51"/>
      <c r="D103" s="51">
        <f>'[2]комплекты фурнитуры'!Q62</f>
        <v>1300</v>
      </c>
      <c r="E103" s="66">
        <v>2</v>
      </c>
      <c r="F103" s="52">
        <f>D103*E103</f>
        <v>2600</v>
      </c>
      <c r="G103" s="53"/>
    </row>
    <row r="104" spans="1:7" x14ac:dyDescent="0.2">
      <c r="B104" s="50" t="s">
        <v>412</v>
      </c>
      <c r="C104" s="51"/>
      <c r="D104" s="51">
        <f>'[2]комплекты фурнитуры'!Q64</f>
        <v>480</v>
      </c>
      <c r="E104" s="66">
        <v>2</v>
      </c>
      <c r="F104" s="52">
        <f>D104*E104</f>
        <v>960</v>
      </c>
      <c r="G104" s="53"/>
    </row>
    <row r="105" spans="1:7" x14ac:dyDescent="0.2">
      <c r="B105" s="50" t="s">
        <v>413</v>
      </c>
      <c r="C105" s="51"/>
      <c r="D105" s="51">
        <f>'[2]комплекты фурнитуры'!Q85</f>
        <v>30</v>
      </c>
      <c r="E105" s="66">
        <v>1</v>
      </c>
      <c r="F105" s="52">
        <f>D105*E105</f>
        <v>30</v>
      </c>
      <c r="G105" s="53"/>
    </row>
    <row r="106" spans="1:7" x14ac:dyDescent="0.2">
      <c r="A106" s="31">
        <v>8</v>
      </c>
      <c r="B106" s="318" t="s">
        <v>416</v>
      </c>
      <c r="C106" s="55"/>
      <c r="D106" s="55"/>
      <c r="E106" s="55" t="s">
        <v>391</v>
      </c>
      <c r="F106" s="55" t="s">
        <v>392</v>
      </c>
      <c r="G106" s="67"/>
    </row>
    <row r="107" spans="1:7" ht="15" x14ac:dyDescent="0.2">
      <c r="B107" s="318"/>
      <c r="C107" s="55">
        <v>850</v>
      </c>
      <c r="D107" s="55"/>
      <c r="E107" s="56">
        <f>(((($D$100*$H$4-$D$100)/100)*$G107)+$D$100)+($F$101+$F$102+$F$103+$F$105)</f>
        <v>6945.25</v>
      </c>
      <c r="F107" s="56">
        <f>(((($D$100*$H$4-$D$100)/100)*$G107)+$D$100)+($F$101+$F$102+$F$104+$F$105)</f>
        <v>5305.25</v>
      </c>
      <c r="G107" s="57">
        <v>100</v>
      </c>
    </row>
    <row r="108" spans="1:7" ht="15" x14ac:dyDescent="0.2">
      <c r="B108" s="318"/>
      <c r="C108" s="55">
        <v>950</v>
      </c>
      <c r="D108" s="55"/>
      <c r="E108" s="56">
        <f>(((($D$100*$H$4-$D$100)/100)*$G108)+$D$100)+($F$101+$F$102+$F$103+$F$105)</f>
        <v>7130.5</v>
      </c>
      <c r="F108" s="56">
        <f>(((($D$100*$H$4-$D$100)/100)*$G108)+$D$100)+($F$101+$F$102+$F$104+$F$105)</f>
        <v>5490.5</v>
      </c>
      <c r="G108" s="57">
        <v>200</v>
      </c>
    </row>
    <row r="110" spans="1:7" ht="15" x14ac:dyDescent="0.2">
      <c r="D110" s="47" t="s">
        <v>384</v>
      </c>
      <c r="E110" s="47" t="s">
        <v>385</v>
      </c>
      <c r="F110" s="48" t="s">
        <v>386</v>
      </c>
      <c r="G110" s="63"/>
    </row>
    <row r="111" spans="1:7" x14ac:dyDescent="0.2">
      <c r="B111" s="50" t="s">
        <v>388</v>
      </c>
      <c r="C111" s="51"/>
      <c r="D111" s="66">
        <f>'[2]2 все модули и цены'!E24</f>
        <v>2480</v>
      </c>
      <c r="F111" s="52"/>
      <c r="G111" s="53"/>
    </row>
    <row r="112" spans="1:7" x14ac:dyDescent="0.2">
      <c r="B112" s="50" t="s">
        <v>417</v>
      </c>
      <c r="C112" s="51"/>
      <c r="D112" s="51">
        <f>'[2]комплекты фурнитуры'!Q16</f>
        <v>940</v>
      </c>
      <c r="E112" s="66">
        <v>1</v>
      </c>
      <c r="F112" s="52">
        <f>D112*E112</f>
        <v>940</v>
      </c>
      <c r="G112" s="53"/>
    </row>
    <row r="113" spans="1:7" x14ac:dyDescent="0.2">
      <c r="B113" s="50" t="s">
        <v>401</v>
      </c>
      <c r="C113" s="51"/>
      <c r="D113" s="51">
        <f>'[2]комплекты фурнитуры'!Q27</f>
        <v>270</v>
      </c>
      <c r="E113" s="66">
        <v>3</v>
      </c>
      <c r="F113" s="52">
        <f>D113*E113</f>
        <v>810</v>
      </c>
      <c r="G113" s="53"/>
    </row>
    <row r="114" spans="1:7" x14ac:dyDescent="0.2">
      <c r="B114" s="50" t="s">
        <v>418</v>
      </c>
      <c r="C114" s="51"/>
      <c r="D114" s="51">
        <f>'[2]комплекты фурнитуры'!Q60</f>
        <v>1560</v>
      </c>
      <c r="E114" s="66">
        <v>2</v>
      </c>
      <c r="F114" s="52">
        <f>D114*E114</f>
        <v>3120</v>
      </c>
      <c r="G114" s="53"/>
    </row>
    <row r="115" spans="1:7" x14ac:dyDescent="0.2">
      <c r="B115" s="50" t="s">
        <v>419</v>
      </c>
      <c r="C115" s="51"/>
      <c r="D115" s="51">
        <f>'[2]комплекты фурнитуры'!Q61</f>
        <v>190</v>
      </c>
      <c r="E115" s="66">
        <v>2</v>
      </c>
      <c r="F115" s="52">
        <f>D115*E115</f>
        <v>380</v>
      </c>
      <c r="G115" s="53"/>
    </row>
    <row r="116" spans="1:7" x14ac:dyDescent="0.2">
      <c r="B116" s="50"/>
      <c r="C116" s="51"/>
      <c r="D116" s="51"/>
      <c r="E116" s="66"/>
      <c r="F116" s="52"/>
      <c r="G116" s="53"/>
    </row>
    <row r="117" spans="1:7" x14ac:dyDescent="0.2">
      <c r="A117" s="31">
        <v>9</v>
      </c>
      <c r="B117" s="317" t="s">
        <v>15</v>
      </c>
      <c r="C117" s="55"/>
      <c r="D117" s="55"/>
      <c r="E117" s="55" t="s">
        <v>391</v>
      </c>
      <c r="F117" s="55" t="s">
        <v>392</v>
      </c>
      <c r="G117" s="67"/>
    </row>
    <row r="118" spans="1:7" ht="15" x14ac:dyDescent="0.2">
      <c r="B118" s="317"/>
      <c r="C118" s="55">
        <v>700</v>
      </c>
      <c r="D118" s="55"/>
      <c r="E118" s="56">
        <f>(((($D$111*$H$4-$D$111)/100)*$G118)+$D$111)+($F$112+$F$113+$F$114)</f>
        <v>7350</v>
      </c>
      <c r="F118" s="56">
        <f>(((($D$111*$H$5-$D$111)/100)*$G118)+$D$111)+($F$112+$F$113+$F$115)</f>
        <v>4610</v>
      </c>
      <c r="G118" s="57"/>
    </row>
    <row r="119" spans="1:7" ht="15" x14ac:dyDescent="0.2">
      <c r="B119" s="317"/>
      <c r="C119" s="55">
        <v>800</v>
      </c>
      <c r="D119" s="55"/>
      <c r="E119" s="56">
        <f>(((($D$111*$H$5-$D$111)/100)*$G119)+$D$111)+($F$112+$F$113+$F$114)</f>
        <v>7796.4</v>
      </c>
      <c r="F119" s="56">
        <f>(((($D$111*$H$5-$D$111)/100)*$G119)+$D$111)+($F$112+$F$113+$F$115)</f>
        <v>5056.3999999999996</v>
      </c>
      <c r="G119" s="57">
        <v>100</v>
      </c>
    </row>
    <row r="120" spans="1:7" ht="15" x14ac:dyDescent="0.2">
      <c r="B120" s="317"/>
      <c r="C120" s="55">
        <v>900</v>
      </c>
      <c r="D120" s="55"/>
      <c r="E120" s="56">
        <f>(((($D$111*$H$5-$D$111)/100)*$G120)+$D$111)+($F$112+$F$113+$F$114)</f>
        <v>8242.7999999999993</v>
      </c>
      <c r="F120" s="56">
        <f>(((($D$111*$H$5-$D$111)/100)*$G120)+$D$111)+($F$112+$F$113+$F$115)</f>
        <v>5502.7999999999993</v>
      </c>
      <c r="G120" s="57">
        <v>200</v>
      </c>
    </row>
    <row r="122" spans="1:7" ht="15" x14ac:dyDescent="0.2">
      <c r="D122" s="47" t="s">
        <v>384</v>
      </c>
      <c r="E122" s="47" t="s">
        <v>385</v>
      </c>
      <c r="F122" s="48" t="s">
        <v>386</v>
      </c>
      <c r="G122" s="63"/>
    </row>
    <row r="123" spans="1:7" x14ac:dyDescent="0.2">
      <c r="B123" s="50" t="s">
        <v>388</v>
      </c>
      <c r="C123" s="51"/>
      <c r="D123" s="66">
        <f>'[2]2 все модули и цены'!E25</f>
        <v>2740</v>
      </c>
      <c r="F123" s="52"/>
      <c r="G123" s="53"/>
    </row>
    <row r="124" spans="1:7" x14ac:dyDescent="0.2">
      <c r="B124" s="50" t="s">
        <v>417</v>
      </c>
      <c r="C124" s="51"/>
      <c r="D124" s="51">
        <f>'[2]комплекты фурнитуры'!Q16</f>
        <v>940</v>
      </c>
      <c r="E124" s="66">
        <v>1</v>
      </c>
      <c r="F124" s="52">
        <f>D124*E124</f>
        <v>940</v>
      </c>
      <c r="G124" s="53"/>
    </row>
    <row r="125" spans="1:7" x14ac:dyDescent="0.2">
      <c r="B125" s="50" t="s">
        <v>401</v>
      </c>
      <c r="C125" s="51"/>
      <c r="D125" s="51">
        <f>'[2]комплекты фурнитуры'!Q27</f>
        <v>270</v>
      </c>
      <c r="E125" s="66">
        <v>3</v>
      </c>
      <c r="F125" s="52">
        <f>D125*E125</f>
        <v>810</v>
      </c>
      <c r="G125" s="53"/>
    </row>
    <row r="126" spans="1:7" ht="36" x14ac:dyDescent="0.2">
      <c r="B126" s="255" t="s">
        <v>418</v>
      </c>
      <c r="C126" s="51"/>
      <c r="D126" s="51">
        <f>'[2]комплекты фурнитуры'!Q60</f>
        <v>1560</v>
      </c>
      <c r="E126" s="66">
        <v>2</v>
      </c>
      <c r="F126" s="52">
        <f>D126*E126</f>
        <v>3120</v>
      </c>
      <c r="G126" s="53"/>
    </row>
    <row r="127" spans="1:7" x14ac:dyDescent="0.2">
      <c r="B127" s="50" t="s">
        <v>419</v>
      </c>
      <c r="C127" s="51"/>
      <c r="D127" s="51">
        <f>'[2]комплекты фурнитуры'!Q61</f>
        <v>190</v>
      </c>
      <c r="E127" s="66">
        <v>2</v>
      </c>
      <c r="F127" s="52">
        <f>D127*E127</f>
        <v>380</v>
      </c>
      <c r="G127" s="53"/>
    </row>
    <row r="128" spans="1:7" x14ac:dyDescent="0.2">
      <c r="B128" s="50"/>
      <c r="C128" s="51"/>
      <c r="D128" s="51"/>
      <c r="E128" s="66"/>
      <c r="F128" s="52"/>
      <c r="G128" s="53"/>
    </row>
    <row r="129" spans="1:8" x14ac:dyDescent="0.2">
      <c r="A129" s="31">
        <v>10</v>
      </c>
      <c r="B129" s="317" t="s">
        <v>16</v>
      </c>
      <c r="C129" s="55"/>
      <c r="D129" s="55"/>
      <c r="E129" s="55" t="s">
        <v>391</v>
      </c>
      <c r="F129" s="55" t="s">
        <v>392</v>
      </c>
      <c r="G129" s="67"/>
    </row>
    <row r="130" spans="1:8" ht="15" x14ac:dyDescent="0.2">
      <c r="B130" s="317"/>
      <c r="C130" s="55">
        <v>700</v>
      </c>
      <c r="D130" s="55"/>
      <c r="E130" s="56">
        <f>(((($D$123*$H$4-$D$123)/100)*$G130)+$D$123)+($F$124+$F$125+$F$126)</f>
        <v>7610</v>
      </c>
      <c r="F130" s="56">
        <f>(((($D$123*$H$5-$D$123)/100)*$G130)+$D$123)+($F$124+$F$125+$F$127)</f>
        <v>4870</v>
      </c>
      <c r="G130" s="57"/>
    </row>
    <row r="131" spans="1:8" ht="15" x14ac:dyDescent="0.2">
      <c r="B131" s="317"/>
      <c r="C131" s="55">
        <v>800</v>
      </c>
      <c r="D131" s="55"/>
      <c r="E131" s="56">
        <f>(((($D$123*$H$5-$D$123)/100)*$G131)+$D$123)+($F$124+$F$125+$F$126)</f>
        <v>8103.2</v>
      </c>
      <c r="F131" s="56">
        <f>(((($D$123*$H$5-$D$123)/100)*$G131)+$D$123)+($F$124+$F$125+$F$127)</f>
        <v>5363.2</v>
      </c>
      <c r="G131" s="57">
        <v>100</v>
      </c>
    </row>
    <row r="132" spans="1:8" ht="15" x14ac:dyDescent="0.2">
      <c r="B132" s="317"/>
      <c r="C132" s="55">
        <v>900</v>
      </c>
      <c r="D132" s="55"/>
      <c r="E132" s="56">
        <f>(((($D$123*$H$5-$D$123)/100)*$G132)+$D$123)+($F$124+$F$125+$F$126)</f>
        <v>8596.4</v>
      </c>
      <c r="F132" s="56">
        <f>(((($D$123*$H$5-$D$123)/100)*$G132)+$D$123)+($F$124+$F$125+$F$127)</f>
        <v>5856.4</v>
      </c>
      <c r="G132" s="57">
        <v>200</v>
      </c>
    </row>
    <row r="134" spans="1:8" ht="15" x14ac:dyDescent="0.2">
      <c r="D134" s="47" t="s">
        <v>384</v>
      </c>
      <c r="E134" s="47" t="s">
        <v>385</v>
      </c>
      <c r="F134" s="48" t="s">
        <v>386</v>
      </c>
      <c r="G134" s="63"/>
    </row>
    <row r="135" spans="1:8" x14ac:dyDescent="0.2">
      <c r="B135" s="50" t="s">
        <v>388</v>
      </c>
      <c r="C135" s="51"/>
      <c r="D135" s="66">
        <f>'[2]2 все модули и цены'!E26</f>
        <v>2300</v>
      </c>
      <c r="F135" s="52"/>
      <c r="G135" s="53"/>
    </row>
    <row r="136" spans="1:8" x14ac:dyDescent="0.2">
      <c r="B136" s="50" t="s">
        <v>389</v>
      </c>
      <c r="C136" s="51"/>
      <c r="D136" s="51">
        <f>'[2]комплекты фурнитуры'!Q10</f>
        <v>540</v>
      </c>
      <c r="E136" s="66">
        <v>1</v>
      </c>
      <c r="F136" s="52">
        <f t="shared" ref="F136:F143" si="2">D136*E136</f>
        <v>540</v>
      </c>
      <c r="G136" s="53"/>
    </row>
    <row r="137" spans="1:8" x14ac:dyDescent="0.2">
      <c r="B137" s="50" t="s">
        <v>401</v>
      </c>
      <c r="C137" s="51"/>
      <c r="D137" s="51">
        <f>'[2]комплекты фурнитуры'!Q27</f>
        <v>270</v>
      </c>
      <c r="E137" s="66">
        <v>2</v>
      </c>
      <c r="F137" s="52">
        <f t="shared" si="2"/>
        <v>540</v>
      </c>
      <c r="G137" s="53"/>
    </row>
    <row r="138" spans="1:8" x14ac:dyDescent="0.2">
      <c r="B138" s="50" t="s">
        <v>402</v>
      </c>
      <c r="C138" s="51"/>
      <c r="D138" s="51">
        <f>'[2]комплекты фурнитуры'!Q68</f>
        <v>500</v>
      </c>
      <c r="E138" s="66">
        <v>2</v>
      </c>
      <c r="F138" s="52">
        <f t="shared" si="2"/>
        <v>1000</v>
      </c>
      <c r="G138" s="53"/>
    </row>
    <row r="139" spans="1:8" x14ac:dyDescent="0.2">
      <c r="B139" s="50" t="s">
        <v>420</v>
      </c>
      <c r="C139" s="51"/>
      <c r="D139" s="51">
        <f>'[2]комплекты фурнитуры'!Q29</f>
        <v>4750</v>
      </c>
      <c r="E139" s="66">
        <v>1</v>
      </c>
      <c r="F139" s="52">
        <f t="shared" si="2"/>
        <v>4750</v>
      </c>
      <c r="G139" s="53"/>
    </row>
    <row r="140" spans="1:8" x14ac:dyDescent="0.2">
      <c r="B140" s="50" t="s">
        <v>403</v>
      </c>
      <c r="C140" s="51"/>
      <c r="D140" s="51">
        <f>'[2]комплекты фурнитуры'!Q69</f>
        <v>130</v>
      </c>
      <c r="E140" s="66">
        <v>2</v>
      </c>
      <c r="F140" s="52">
        <f t="shared" si="2"/>
        <v>260</v>
      </c>
      <c r="G140" s="53"/>
    </row>
    <row r="141" spans="1:8" x14ac:dyDescent="0.2">
      <c r="B141" s="50" t="s">
        <v>421</v>
      </c>
      <c r="C141" s="51"/>
      <c r="D141" s="51">
        <f>'[2]комплекты фурнитуры'!Q34</f>
        <v>370</v>
      </c>
      <c r="E141" s="66">
        <v>1</v>
      </c>
      <c r="F141" s="52">
        <f t="shared" si="2"/>
        <v>370</v>
      </c>
      <c r="G141" s="53"/>
    </row>
    <row r="142" spans="1:8" x14ac:dyDescent="0.2">
      <c r="B142" s="50" t="s">
        <v>422</v>
      </c>
      <c r="C142" s="51"/>
      <c r="D142" s="51">
        <f>'[2]комплекты фурнитуры'!Q35</f>
        <v>170</v>
      </c>
      <c r="E142" s="66">
        <v>1</v>
      </c>
      <c r="F142" s="52">
        <f t="shared" si="2"/>
        <v>170</v>
      </c>
      <c r="G142" s="53"/>
    </row>
    <row r="143" spans="1:8" x14ac:dyDescent="0.2">
      <c r="B143" s="68" t="s">
        <v>423</v>
      </c>
      <c r="C143" s="31"/>
      <c r="D143" s="51">
        <f>'[2]комплекты фурнитуры'!Q37</f>
        <v>4130</v>
      </c>
      <c r="E143" s="69">
        <v>1</v>
      </c>
      <c r="F143" s="52">
        <f t="shared" si="2"/>
        <v>4130</v>
      </c>
      <c r="G143" s="53"/>
    </row>
    <row r="144" spans="1:8" x14ac:dyDescent="0.2">
      <c r="A144" s="31">
        <v>11</v>
      </c>
      <c r="B144" s="317" t="s">
        <v>17</v>
      </c>
      <c r="C144" s="55"/>
      <c r="D144" s="55"/>
      <c r="E144" s="55" t="s">
        <v>391</v>
      </c>
      <c r="F144" s="55" t="s">
        <v>392</v>
      </c>
      <c r="G144" s="55" t="s">
        <v>424</v>
      </c>
      <c r="H144" s="67"/>
    </row>
    <row r="145" spans="2:8" ht="15" x14ac:dyDescent="0.2">
      <c r="B145" s="317"/>
      <c r="C145" s="55">
        <v>300</v>
      </c>
      <c r="D145" s="55"/>
      <c r="E145" s="56">
        <f t="shared" ref="E145:E150" si="3">(((($D$135*$H$4-$D$135)/100)*$H145)+$D$135)+($F$136+$F$137+$F$138+$F$139)</f>
        <v>9130</v>
      </c>
      <c r="F145" s="56">
        <f>(((($D$135*$H$5-$D$135)/100)*$H145)+$D$135)+($F$136+$F$137+$F$140+$F$141+$F$142)</f>
        <v>4180</v>
      </c>
      <c r="G145" s="56">
        <f t="shared" ref="G145:G150" si="4">(((($D$135*$H$5-$D$135)/100)*$H145)+$D$135)+($F$136+$F$137+$F$140+$F$143)</f>
        <v>7770</v>
      </c>
      <c r="H145" s="57"/>
    </row>
    <row r="146" spans="2:8" ht="15" x14ac:dyDescent="0.2">
      <c r="B146" s="317"/>
      <c r="C146" s="55">
        <v>350</v>
      </c>
      <c r="D146" s="55"/>
      <c r="E146" s="56">
        <f t="shared" si="3"/>
        <v>9204.75</v>
      </c>
      <c r="F146" s="56">
        <f>(((($D$135*$H$4-$D$135)/100)*$H146)+$D$135)+($F$136+$F$137+$F$140+$F$141+$F$142)</f>
        <v>4254.75</v>
      </c>
      <c r="G146" s="56">
        <f t="shared" si="4"/>
        <v>7977</v>
      </c>
      <c r="H146" s="57">
        <v>50</v>
      </c>
    </row>
    <row r="147" spans="2:8" ht="15" x14ac:dyDescent="0.2">
      <c r="B147" s="317"/>
      <c r="C147" s="55">
        <v>400</v>
      </c>
      <c r="D147" s="55"/>
      <c r="E147" s="56">
        <f t="shared" si="3"/>
        <v>9279.5</v>
      </c>
      <c r="F147" s="56">
        <f>(((($D$135*$H$4-$D$135)/100)*$H147)+$D$135)+($F$136+$F$137+$F$140+$F$141+$F$142)</f>
        <v>4329.5</v>
      </c>
      <c r="G147" s="56">
        <f t="shared" si="4"/>
        <v>8184</v>
      </c>
      <c r="H147" s="57">
        <v>100</v>
      </c>
    </row>
    <row r="148" spans="2:8" ht="15" x14ac:dyDescent="0.2">
      <c r="B148" s="317"/>
      <c r="C148" s="55">
        <v>450</v>
      </c>
      <c r="D148" s="55"/>
      <c r="E148" s="56">
        <f t="shared" si="3"/>
        <v>9354.25</v>
      </c>
      <c r="F148" s="56">
        <f>(((($D$135*$H$4-$D$135)/100)*$H148)+$D$135)+($F$136+$F$137+$F$140+$F$141+$F$142)</f>
        <v>4404.25</v>
      </c>
      <c r="G148" s="56">
        <f t="shared" si="4"/>
        <v>8391</v>
      </c>
      <c r="H148" s="57">
        <v>150</v>
      </c>
    </row>
    <row r="149" spans="2:8" ht="15" x14ac:dyDescent="0.2">
      <c r="B149" s="317"/>
      <c r="C149" s="55">
        <v>500</v>
      </c>
      <c r="D149" s="55"/>
      <c r="E149" s="56">
        <f t="shared" si="3"/>
        <v>9429</v>
      </c>
      <c r="F149" s="56">
        <f>(((($D$135*$H$4-$D$135)/100)*$H149)+$D$135)+($F$136+$F$137+$F$140+$F$141+$F$142)</f>
        <v>4479</v>
      </c>
      <c r="G149" s="56">
        <f t="shared" si="4"/>
        <v>8598</v>
      </c>
      <c r="H149" s="57">
        <v>200</v>
      </c>
    </row>
    <row r="150" spans="2:8" ht="15" x14ac:dyDescent="0.2">
      <c r="B150" s="317"/>
      <c r="C150" s="55">
        <v>600</v>
      </c>
      <c r="D150" s="55"/>
      <c r="E150" s="56">
        <f t="shared" si="3"/>
        <v>9578.5</v>
      </c>
      <c r="F150" s="56">
        <f>(((($D$135*$H$4-$D$135)/100)*$H150)+$D$135)+($F$136+$F$137+$F$140+$F$141+$F$142)</f>
        <v>4628.5</v>
      </c>
      <c r="G150" s="56">
        <f t="shared" si="4"/>
        <v>9012</v>
      </c>
      <c r="H150" s="57">
        <v>300</v>
      </c>
    </row>
    <row r="152" spans="2:8" ht="15" x14ac:dyDescent="0.2">
      <c r="D152" s="47" t="s">
        <v>384</v>
      </c>
      <c r="E152" s="47" t="s">
        <v>385</v>
      </c>
      <c r="F152" s="48" t="s">
        <v>386</v>
      </c>
      <c r="G152" s="63"/>
    </row>
    <row r="153" spans="2:8" x14ac:dyDescent="0.2">
      <c r="B153" s="50" t="s">
        <v>388</v>
      </c>
      <c r="C153" s="51"/>
      <c r="D153" s="66">
        <f>'[2]2 все модули и цены'!E27</f>
        <v>2300</v>
      </c>
      <c r="F153" s="52"/>
      <c r="G153" s="53"/>
    </row>
    <row r="154" spans="2:8" x14ac:dyDescent="0.2">
      <c r="B154" s="50" t="s">
        <v>389</v>
      </c>
      <c r="C154" s="51"/>
      <c r="D154" s="51">
        <f>'[2]комплекты фурнитуры'!Q10</f>
        <v>540</v>
      </c>
      <c r="E154" s="66">
        <v>1</v>
      </c>
      <c r="F154" s="52">
        <f t="shared" ref="F154:F161" si="5">D154*E154</f>
        <v>540</v>
      </c>
      <c r="G154" s="53"/>
    </row>
    <row r="155" spans="2:8" x14ac:dyDescent="0.2">
      <c r="B155" s="50" t="s">
        <v>401</v>
      </c>
      <c r="C155" s="51"/>
      <c r="D155" s="51">
        <f>'[2]комплекты фурнитуры'!Q27</f>
        <v>270</v>
      </c>
      <c r="E155" s="66">
        <v>2</v>
      </c>
      <c r="F155" s="52">
        <f t="shared" si="5"/>
        <v>540</v>
      </c>
      <c r="G155" s="53"/>
    </row>
    <row r="156" spans="2:8" x14ac:dyDescent="0.2">
      <c r="B156" s="50" t="s">
        <v>402</v>
      </c>
      <c r="C156" s="51"/>
      <c r="D156" s="51">
        <f>'[2]комплекты фурнитуры'!Q68</f>
        <v>500</v>
      </c>
      <c r="E156" s="66">
        <v>4</v>
      </c>
      <c r="F156" s="52">
        <f t="shared" si="5"/>
        <v>2000</v>
      </c>
      <c r="G156" s="53"/>
    </row>
    <row r="157" spans="2:8" x14ac:dyDescent="0.2">
      <c r="B157" s="50" t="s">
        <v>420</v>
      </c>
      <c r="C157" s="51"/>
      <c r="D157" s="51">
        <f>'[2]комплекты фурнитуры'!Q29</f>
        <v>4750</v>
      </c>
      <c r="E157" s="66">
        <v>1</v>
      </c>
      <c r="F157" s="52">
        <f t="shared" si="5"/>
        <v>4750</v>
      </c>
      <c r="G157" s="53"/>
    </row>
    <row r="158" spans="2:8" x14ac:dyDescent="0.2">
      <c r="B158" s="50" t="s">
        <v>403</v>
      </c>
      <c r="C158" s="51"/>
      <c r="D158" s="51">
        <f>'[2]комплекты фурнитуры'!Q69</f>
        <v>130</v>
      </c>
      <c r="E158" s="66">
        <v>4</v>
      </c>
      <c r="F158" s="52">
        <f t="shared" si="5"/>
        <v>520</v>
      </c>
      <c r="G158" s="53"/>
    </row>
    <row r="159" spans="2:8" x14ac:dyDescent="0.2">
      <c r="B159" s="50" t="s">
        <v>421</v>
      </c>
      <c r="C159" s="51"/>
      <c r="D159" s="51">
        <f>'[2]комплекты фурнитуры'!Q34</f>
        <v>370</v>
      </c>
      <c r="E159" s="66">
        <v>1</v>
      </c>
      <c r="F159" s="52">
        <f t="shared" si="5"/>
        <v>370</v>
      </c>
      <c r="G159" s="53"/>
    </row>
    <row r="160" spans="2:8" x14ac:dyDescent="0.2">
      <c r="B160" s="50" t="s">
        <v>422</v>
      </c>
      <c r="C160" s="51"/>
      <c r="D160" s="51">
        <f>'[2]комплекты фурнитуры'!Q35</f>
        <v>170</v>
      </c>
      <c r="E160" s="66">
        <v>1</v>
      </c>
      <c r="F160" s="52">
        <f t="shared" si="5"/>
        <v>170</v>
      </c>
      <c r="G160" s="53"/>
    </row>
    <row r="161" spans="1:8" x14ac:dyDescent="0.2">
      <c r="B161" s="68" t="s">
        <v>423</v>
      </c>
      <c r="C161" s="31"/>
      <c r="D161" s="51">
        <f>'[2]комплекты фурнитуры'!Q37</f>
        <v>4130</v>
      </c>
      <c r="E161" s="69">
        <v>1</v>
      </c>
      <c r="F161" s="52">
        <f t="shared" si="5"/>
        <v>4130</v>
      </c>
      <c r="G161" s="53"/>
    </row>
    <row r="162" spans="1:8" x14ac:dyDescent="0.2">
      <c r="A162" s="31">
        <v>12</v>
      </c>
      <c r="B162" s="317" t="s">
        <v>141</v>
      </c>
      <c r="C162" s="55"/>
      <c r="D162" s="55"/>
      <c r="E162" s="55" t="s">
        <v>391</v>
      </c>
      <c r="F162" s="55" t="s">
        <v>392</v>
      </c>
      <c r="G162" s="55"/>
      <c r="H162" s="67"/>
    </row>
    <row r="163" spans="1:8" ht="15" x14ac:dyDescent="0.2">
      <c r="B163" s="317"/>
      <c r="C163" s="55">
        <v>600</v>
      </c>
      <c r="D163" s="55"/>
      <c r="E163" s="56">
        <f>(((($D$153*$H$4-$D$153)/100)*$H163)+$D$153)+($F$154+$F$155+$F$156+$F$157)</f>
        <v>10578.5</v>
      </c>
      <c r="F163" s="56">
        <f>(((($D$153*$H$4-$D$153)/100)*$H163)+$D$153)+($F$154+$F$155+$F$158+$F$159+$F$160)</f>
        <v>4888.5</v>
      </c>
      <c r="G163" s="56"/>
      <c r="H163" s="57">
        <v>300</v>
      </c>
    </row>
    <row r="164" spans="1:8" ht="15" x14ac:dyDescent="0.2">
      <c r="B164" s="317"/>
      <c r="C164" s="55">
        <v>700</v>
      </c>
      <c r="D164" s="55"/>
      <c r="E164" s="56">
        <f>(((($D$153*$H$4-$D$153)/100)*$H164)+$D$153)+($F$154+$F$155+$F$156+$F$157)</f>
        <v>10728</v>
      </c>
      <c r="F164" s="56">
        <f>(((($D$153*$H$4-$D$153)/100)*$H164)+$D$153)+($F$154+$F$155+$F$158+$F$159+$F$160)</f>
        <v>5038</v>
      </c>
      <c r="G164" s="56"/>
      <c r="H164" s="57">
        <v>400</v>
      </c>
    </row>
    <row r="165" spans="1:8" ht="15" x14ac:dyDescent="0.2">
      <c r="B165" s="317"/>
      <c r="C165" s="55">
        <v>800</v>
      </c>
      <c r="D165" s="55"/>
      <c r="E165" s="56">
        <f>(((($D$153*$H$4-$D$153)/100)*$H165)+$D$153)+($F$154+$F$155+$F$156+$F$157)</f>
        <v>10877.5</v>
      </c>
      <c r="F165" s="56">
        <f>(((($D$153*$H$4-$D$153)/100)*$H165)+$D$153)+($F$154+$F$155+$F$158+$F$159+$F$160)</f>
        <v>5187.5</v>
      </c>
      <c r="G165" s="56"/>
      <c r="H165" s="57">
        <v>500</v>
      </c>
    </row>
    <row r="166" spans="1:8" ht="15" x14ac:dyDescent="0.2">
      <c r="B166" s="317"/>
      <c r="C166" s="55">
        <v>900</v>
      </c>
      <c r="D166" s="55"/>
      <c r="E166" s="56">
        <f>(((($D$153*$H$4-$D$153)/100)*$H166)+$D$153)+($F$154+$F$155+$F$156+$F$157)</f>
        <v>11027</v>
      </c>
      <c r="F166" s="56">
        <f>(((($D$153*$H$4-$D$153)/100)*$H166)+$D$153)+($F$154+$F$155+$F$158+$F$159+$F$160)</f>
        <v>5337</v>
      </c>
      <c r="G166" s="56"/>
      <c r="H166" s="57">
        <v>600</v>
      </c>
    </row>
    <row r="168" spans="1:8" ht="15" x14ac:dyDescent="0.2">
      <c r="D168" s="47" t="s">
        <v>384</v>
      </c>
      <c r="E168" s="47" t="s">
        <v>385</v>
      </c>
      <c r="F168" s="48" t="s">
        <v>386</v>
      </c>
      <c r="G168" s="63"/>
    </row>
    <row r="169" spans="1:8" x14ac:dyDescent="0.2">
      <c r="B169" s="50" t="s">
        <v>388</v>
      </c>
      <c r="C169" s="51"/>
      <c r="D169" s="66">
        <f>'[2]2 все модули и цены'!E28</f>
        <v>3030</v>
      </c>
      <c r="F169" s="52"/>
      <c r="G169" s="53"/>
    </row>
    <row r="170" spans="1:8" x14ac:dyDescent="0.2">
      <c r="B170" s="50" t="s">
        <v>389</v>
      </c>
      <c r="C170" s="51"/>
      <c r="D170" s="51">
        <f>'[2]комплекты фурнитуры'!Q10</f>
        <v>540</v>
      </c>
      <c r="E170" s="66">
        <v>1</v>
      </c>
      <c r="F170" s="52">
        <f t="shared" ref="F170:F175" si="6">D170*E170</f>
        <v>540</v>
      </c>
      <c r="G170" s="53"/>
    </row>
    <row r="171" spans="1:8" x14ac:dyDescent="0.2">
      <c r="B171" s="50" t="s">
        <v>401</v>
      </c>
      <c r="C171" s="51"/>
      <c r="D171" s="51">
        <f>'[2]комплекты фурнитуры'!Q27</f>
        <v>270</v>
      </c>
      <c r="E171" s="66">
        <v>2</v>
      </c>
      <c r="F171" s="52">
        <f t="shared" si="6"/>
        <v>540</v>
      </c>
      <c r="G171" s="53"/>
    </row>
    <row r="172" spans="1:8" x14ac:dyDescent="0.2">
      <c r="B172" s="50" t="s">
        <v>420</v>
      </c>
      <c r="C172" s="51"/>
      <c r="D172" s="51">
        <f>'[2]комплекты фурнитуры'!Q29</f>
        <v>4750</v>
      </c>
      <c r="E172" s="66">
        <v>4</v>
      </c>
      <c r="F172" s="52">
        <f t="shared" si="6"/>
        <v>19000</v>
      </c>
      <c r="G172" s="53"/>
    </row>
    <row r="173" spans="1:8" x14ac:dyDescent="0.2">
      <c r="B173" s="50" t="s">
        <v>421</v>
      </c>
      <c r="C173" s="51"/>
      <c r="D173" s="51">
        <f>'[2]комплекты фурнитуры'!Q34</f>
        <v>370</v>
      </c>
      <c r="E173" s="66">
        <v>4</v>
      </c>
      <c r="F173" s="52">
        <f t="shared" si="6"/>
        <v>1480</v>
      </c>
      <c r="G173" s="53"/>
    </row>
    <row r="174" spans="1:8" x14ac:dyDescent="0.2">
      <c r="B174" s="50" t="s">
        <v>422</v>
      </c>
      <c r="C174" s="51"/>
      <c r="D174" s="51">
        <f>'[2]комплекты фурнитуры'!Q35</f>
        <v>170</v>
      </c>
      <c r="E174" s="66">
        <v>4</v>
      </c>
      <c r="F174" s="52">
        <f t="shared" si="6"/>
        <v>680</v>
      </c>
      <c r="G174" s="53"/>
    </row>
    <row r="175" spans="1:8" x14ac:dyDescent="0.2">
      <c r="B175" s="68" t="s">
        <v>425</v>
      </c>
      <c r="C175" s="31"/>
      <c r="D175" s="51">
        <f>'[2]комплекты фурнитуры'!Q38</f>
        <v>6440</v>
      </c>
      <c r="E175" s="69">
        <v>4</v>
      </c>
      <c r="F175" s="52">
        <f t="shared" si="6"/>
        <v>25760</v>
      </c>
      <c r="G175" s="53"/>
    </row>
    <row r="176" spans="1:8" x14ac:dyDescent="0.2">
      <c r="A176" s="31">
        <v>13</v>
      </c>
      <c r="B176" s="317" t="s">
        <v>18</v>
      </c>
      <c r="C176" s="55"/>
      <c r="D176" s="55"/>
      <c r="E176" s="55" t="s">
        <v>391</v>
      </c>
      <c r="F176" s="55" t="s">
        <v>392</v>
      </c>
      <c r="G176" s="55" t="s">
        <v>424</v>
      </c>
      <c r="H176" s="67"/>
    </row>
    <row r="177" spans="2:8" ht="15" x14ac:dyDescent="0.2">
      <c r="B177" s="317"/>
      <c r="C177" s="55">
        <v>300</v>
      </c>
      <c r="D177" s="55"/>
      <c r="E177" s="56">
        <f t="shared" ref="E177:E182" si="7">(((($D$169*$H$4-$D$169)/100)*$H177)+$D$169)+($F$170+$F$171+$F$172)</f>
        <v>23110</v>
      </c>
      <c r="F177" s="56">
        <f t="shared" ref="F177:F182" si="8">(((($D$169*$H$4-$D$169)/100)*$H177)+$D$169)+($F$170+$F$171+$F$173+$F$174)</f>
        <v>6270</v>
      </c>
      <c r="G177" s="56">
        <f t="shared" ref="G177:G182" si="9">(((($D$169*$H$4-$D$169)/100)*$H177)+$D$169)+($F$170+$F$171+$F$175)</f>
        <v>29870</v>
      </c>
      <c r="H177" s="57"/>
    </row>
    <row r="178" spans="2:8" ht="15" x14ac:dyDescent="0.2">
      <c r="B178" s="317"/>
      <c r="C178" s="55">
        <v>350</v>
      </c>
      <c r="D178" s="55"/>
      <c r="E178" s="56">
        <f t="shared" si="7"/>
        <v>23208.474999999999</v>
      </c>
      <c r="F178" s="56">
        <f t="shared" si="8"/>
        <v>6368.4750000000004</v>
      </c>
      <c r="G178" s="56">
        <f t="shared" si="9"/>
        <v>29968.474999999999</v>
      </c>
      <c r="H178" s="57">
        <v>50</v>
      </c>
    </row>
    <row r="179" spans="2:8" ht="15" x14ac:dyDescent="0.2">
      <c r="B179" s="317"/>
      <c r="C179" s="55">
        <v>400</v>
      </c>
      <c r="D179" s="55"/>
      <c r="E179" s="56">
        <f t="shared" si="7"/>
        <v>23306.95</v>
      </c>
      <c r="F179" s="56">
        <f t="shared" si="8"/>
        <v>6466.95</v>
      </c>
      <c r="G179" s="56">
        <f t="shared" si="9"/>
        <v>30066.95</v>
      </c>
      <c r="H179" s="57">
        <v>100</v>
      </c>
    </row>
    <row r="180" spans="2:8" ht="15" x14ac:dyDescent="0.2">
      <c r="B180" s="317"/>
      <c r="C180" s="55">
        <v>450</v>
      </c>
      <c r="D180" s="55"/>
      <c r="E180" s="56">
        <f t="shared" si="7"/>
        <v>23405.424999999999</v>
      </c>
      <c r="F180" s="56">
        <f t="shared" si="8"/>
        <v>6565.4249999999993</v>
      </c>
      <c r="G180" s="56">
        <f t="shared" si="9"/>
        <v>30165.424999999999</v>
      </c>
      <c r="H180" s="57">
        <v>150</v>
      </c>
    </row>
    <row r="181" spans="2:8" ht="15" x14ac:dyDescent="0.2">
      <c r="B181" s="317"/>
      <c r="C181" s="55">
        <v>500</v>
      </c>
      <c r="D181" s="55"/>
      <c r="E181" s="56">
        <f t="shared" si="7"/>
        <v>23503.9</v>
      </c>
      <c r="F181" s="56">
        <f t="shared" si="8"/>
        <v>6663.9</v>
      </c>
      <c r="G181" s="56">
        <f t="shared" si="9"/>
        <v>30263.9</v>
      </c>
      <c r="H181" s="57">
        <v>200</v>
      </c>
    </row>
    <row r="182" spans="2:8" ht="15" x14ac:dyDescent="0.2">
      <c r="B182" s="317"/>
      <c r="C182" s="55">
        <v>600</v>
      </c>
      <c r="D182" s="55"/>
      <c r="E182" s="56">
        <f t="shared" si="7"/>
        <v>23700.85</v>
      </c>
      <c r="F182" s="56">
        <f t="shared" si="8"/>
        <v>6860.8499999999995</v>
      </c>
      <c r="G182" s="56">
        <f t="shared" si="9"/>
        <v>30460.85</v>
      </c>
      <c r="H182" s="57">
        <v>300</v>
      </c>
    </row>
    <row r="184" spans="2:8" ht="15" x14ac:dyDescent="0.2">
      <c r="D184" s="47" t="s">
        <v>384</v>
      </c>
      <c r="E184" s="47" t="s">
        <v>385</v>
      </c>
      <c r="F184" s="48" t="s">
        <v>386</v>
      </c>
      <c r="G184" s="63"/>
    </row>
    <row r="185" spans="2:8" x14ac:dyDescent="0.2">
      <c r="B185" s="50" t="s">
        <v>388</v>
      </c>
      <c r="C185" s="51"/>
      <c r="D185" s="66">
        <f>'[2]2 все модули и цены'!E29</f>
        <v>2700</v>
      </c>
      <c r="F185" s="52"/>
      <c r="G185" s="53"/>
    </row>
    <row r="186" spans="2:8" x14ac:dyDescent="0.2">
      <c r="B186" s="50" t="s">
        <v>389</v>
      </c>
      <c r="C186" s="51"/>
      <c r="D186" s="51">
        <f>'[2]комплекты фурнитуры'!Q10</f>
        <v>540</v>
      </c>
      <c r="E186" s="66">
        <v>1</v>
      </c>
      <c r="F186" s="52">
        <f t="shared" ref="F186:F194" si="10">D186*E186</f>
        <v>540</v>
      </c>
      <c r="G186" s="53"/>
    </row>
    <row r="187" spans="2:8" x14ac:dyDescent="0.2">
      <c r="B187" s="50" t="s">
        <v>401</v>
      </c>
      <c r="C187" s="51"/>
      <c r="D187" s="51">
        <f>'[2]комплекты фурнитуры'!Q27</f>
        <v>270</v>
      </c>
      <c r="E187" s="66">
        <v>2</v>
      </c>
      <c r="F187" s="52">
        <f t="shared" si="10"/>
        <v>540</v>
      </c>
      <c r="G187" s="53"/>
    </row>
    <row r="188" spans="2:8" x14ac:dyDescent="0.2">
      <c r="B188" s="50" t="s">
        <v>420</v>
      </c>
      <c r="C188" s="51"/>
      <c r="D188" s="51">
        <f>'[2]комплекты фурнитуры'!Q29</f>
        <v>4750</v>
      </c>
      <c r="E188" s="66">
        <v>2</v>
      </c>
      <c r="F188" s="52">
        <f t="shared" si="10"/>
        <v>9500</v>
      </c>
      <c r="G188" s="53"/>
    </row>
    <row r="189" spans="2:8" x14ac:dyDescent="0.2">
      <c r="B189" s="50" t="s">
        <v>426</v>
      </c>
      <c r="C189" s="51"/>
      <c r="D189" s="51">
        <f>'[2]комплекты фурнитуры'!Q30</f>
        <v>5810</v>
      </c>
      <c r="E189" s="66">
        <v>1</v>
      </c>
      <c r="F189" s="52">
        <f t="shared" si="10"/>
        <v>5810</v>
      </c>
      <c r="G189" s="53"/>
    </row>
    <row r="190" spans="2:8" x14ac:dyDescent="0.2">
      <c r="B190" s="50" t="s">
        <v>427</v>
      </c>
      <c r="C190" s="51"/>
      <c r="D190" s="51">
        <f>'[2]комплекты фурнитуры'!Q33</f>
        <v>940</v>
      </c>
      <c r="E190" s="66">
        <v>1</v>
      </c>
      <c r="F190" s="52">
        <f t="shared" si="10"/>
        <v>940</v>
      </c>
      <c r="G190" s="53"/>
    </row>
    <row r="191" spans="2:8" x14ac:dyDescent="0.2">
      <c r="B191" s="50" t="s">
        <v>421</v>
      </c>
      <c r="C191" s="51"/>
      <c r="D191" s="51">
        <f>'[2]комплекты фурнитуры'!Q34</f>
        <v>370</v>
      </c>
      <c r="E191" s="66">
        <v>2</v>
      </c>
      <c r="F191" s="52">
        <f t="shared" si="10"/>
        <v>740</v>
      </c>
      <c r="G191" s="53"/>
    </row>
    <row r="192" spans="2:8" x14ac:dyDescent="0.2">
      <c r="B192" s="50" t="s">
        <v>422</v>
      </c>
      <c r="C192" s="51"/>
      <c r="D192" s="51">
        <f>'[2]комплекты фурнитуры'!Q35</f>
        <v>170</v>
      </c>
      <c r="E192" s="66">
        <v>3</v>
      </c>
      <c r="F192" s="52">
        <f t="shared" si="10"/>
        <v>510</v>
      </c>
      <c r="G192" s="53"/>
    </row>
    <row r="193" spans="1:8" x14ac:dyDescent="0.2">
      <c r="B193" s="68" t="s">
        <v>428</v>
      </c>
      <c r="C193" s="51"/>
      <c r="D193" s="51">
        <f>'[2]комплекты фурнитуры'!Q39</f>
        <v>7970</v>
      </c>
      <c r="E193" s="66">
        <v>1</v>
      </c>
      <c r="F193" s="52">
        <f t="shared" si="10"/>
        <v>7970</v>
      </c>
      <c r="G193" s="53"/>
    </row>
    <row r="194" spans="1:8" x14ac:dyDescent="0.2">
      <c r="B194" s="68" t="s">
        <v>425</v>
      </c>
      <c r="C194" s="31"/>
      <c r="D194" s="51">
        <f>'[2]комплекты фурнитуры'!Q38</f>
        <v>6440</v>
      </c>
      <c r="E194" s="69">
        <v>2</v>
      </c>
      <c r="F194" s="52">
        <f t="shared" si="10"/>
        <v>12880</v>
      </c>
      <c r="G194" s="53"/>
    </row>
    <row r="195" spans="1:8" x14ac:dyDescent="0.2">
      <c r="A195" s="31">
        <v>14</v>
      </c>
      <c r="B195" s="317" t="s">
        <v>1</v>
      </c>
      <c r="C195" s="55"/>
      <c r="D195" s="55"/>
      <c r="E195" s="55" t="s">
        <v>391</v>
      </c>
      <c r="F195" s="55" t="s">
        <v>392</v>
      </c>
      <c r="G195" s="55" t="s">
        <v>424</v>
      </c>
      <c r="H195" s="67"/>
    </row>
    <row r="196" spans="1:8" ht="15" x14ac:dyDescent="0.2">
      <c r="B196" s="317"/>
      <c r="C196" s="55">
        <v>300</v>
      </c>
      <c r="D196" s="55"/>
      <c r="E196" s="56">
        <f t="shared" ref="E196:E201" si="11">(((($D$185*$H$4-$D$185)/100)*$H196)+$D$185)+($F$186+$F$187+$F$188+$F$189)</f>
        <v>19090</v>
      </c>
      <c r="F196" s="56">
        <f t="shared" ref="F196:F201" si="12">(((($D$185*$H$4-$D$185)/100)*$H196)+$D$185)+($F$186+$F$187+$F$190+$F$191+$F$192)</f>
        <v>5970</v>
      </c>
      <c r="G196" s="56">
        <f t="shared" ref="G196:G201" si="13">(((($D$185*$H$4-$D$185)/100)*$H196)+$D$185)+($F$186+$F$187+$F$193+$F$194)</f>
        <v>24630</v>
      </c>
      <c r="H196" s="57"/>
    </row>
    <row r="197" spans="1:8" ht="15" x14ac:dyDescent="0.2">
      <c r="B197" s="317"/>
      <c r="C197" s="55">
        <v>350</v>
      </c>
      <c r="D197" s="55"/>
      <c r="E197" s="56">
        <f t="shared" si="11"/>
        <v>19177.75</v>
      </c>
      <c r="F197" s="56">
        <f t="shared" si="12"/>
        <v>6057.75</v>
      </c>
      <c r="G197" s="56">
        <f t="shared" si="13"/>
        <v>24717.75</v>
      </c>
      <c r="H197" s="57">
        <v>50</v>
      </c>
    </row>
    <row r="198" spans="1:8" ht="15" x14ac:dyDescent="0.2">
      <c r="B198" s="317"/>
      <c r="C198" s="55">
        <v>400</v>
      </c>
      <c r="D198" s="55"/>
      <c r="E198" s="56">
        <f t="shared" si="11"/>
        <v>19265.5</v>
      </c>
      <c r="F198" s="56">
        <f t="shared" si="12"/>
        <v>6145.5</v>
      </c>
      <c r="G198" s="56">
        <f t="shared" si="13"/>
        <v>24805.5</v>
      </c>
      <c r="H198" s="57">
        <v>100</v>
      </c>
    </row>
    <row r="199" spans="1:8" ht="15" x14ac:dyDescent="0.2">
      <c r="B199" s="317"/>
      <c r="C199" s="55">
        <v>450</v>
      </c>
      <c r="D199" s="55"/>
      <c r="E199" s="56">
        <f t="shared" si="11"/>
        <v>19353.25</v>
      </c>
      <c r="F199" s="56">
        <f t="shared" si="12"/>
        <v>6233.25</v>
      </c>
      <c r="G199" s="56">
        <f t="shared" si="13"/>
        <v>24893.25</v>
      </c>
      <c r="H199" s="57">
        <v>150</v>
      </c>
    </row>
    <row r="200" spans="1:8" ht="15" x14ac:dyDescent="0.2">
      <c r="B200" s="317"/>
      <c r="C200" s="55">
        <v>500</v>
      </c>
      <c r="D200" s="55"/>
      <c r="E200" s="56">
        <f t="shared" si="11"/>
        <v>19441</v>
      </c>
      <c r="F200" s="56">
        <f t="shared" si="12"/>
        <v>6321</v>
      </c>
      <c r="G200" s="56">
        <f t="shared" si="13"/>
        <v>24981</v>
      </c>
      <c r="H200" s="57">
        <v>200</v>
      </c>
    </row>
    <row r="201" spans="1:8" ht="15" x14ac:dyDescent="0.2">
      <c r="B201" s="317"/>
      <c r="C201" s="55">
        <v>600</v>
      </c>
      <c r="D201" s="55"/>
      <c r="E201" s="56">
        <f t="shared" si="11"/>
        <v>19616.5</v>
      </c>
      <c r="F201" s="56">
        <f t="shared" si="12"/>
        <v>6496.5</v>
      </c>
      <c r="G201" s="56">
        <f t="shared" si="13"/>
        <v>25156.5</v>
      </c>
      <c r="H201" s="57">
        <v>300</v>
      </c>
    </row>
    <row r="203" spans="1:8" ht="15" x14ac:dyDescent="0.2">
      <c r="D203" s="47" t="s">
        <v>384</v>
      </c>
      <c r="E203" s="47" t="s">
        <v>385</v>
      </c>
      <c r="F203" s="48" t="s">
        <v>386</v>
      </c>
      <c r="G203" s="63"/>
    </row>
    <row r="204" spans="1:8" x14ac:dyDescent="0.2">
      <c r="B204" s="50" t="s">
        <v>388</v>
      </c>
      <c r="C204" s="51"/>
      <c r="D204" s="66">
        <f>'[2]2 все модули и цены'!E31</f>
        <v>2580</v>
      </c>
      <c r="F204" s="52"/>
      <c r="G204" s="53"/>
    </row>
    <row r="205" spans="1:8" x14ac:dyDescent="0.2">
      <c r="B205" s="50" t="s">
        <v>389</v>
      </c>
      <c r="C205" s="51"/>
      <c r="D205" s="51">
        <f>'[2]комплекты фурнитуры'!Q10</f>
        <v>540</v>
      </c>
      <c r="E205" s="66">
        <v>1</v>
      </c>
      <c r="F205" s="52">
        <f t="shared" ref="F205:F210" si="14">D205*E205</f>
        <v>540</v>
      </c>
      <c r="G205" s="53"/>
    </row>
    <row r="206" spans="1:8" x14ac:dyDescent="0.2">
      <c r="B206" s="50" t="s">
        <v>401</v>
      </c>
      <c r="C206" s="51"/>
      <c r="D206" s="51">
        <f>'[2]комплекты фурнитуры'!Q27</f>
        <v>270</v>
      </c>
      <c r="E206" s="66">
        <v>2</v>
      </c>
      <c r="F206" s="52">
        <f t="shared" si="14"/>
        <v>540</v>
      </c>
      <c r="G206" s="53"/>
    </row>
    <row r="207" spans="1:8" x14ac:dyDescent="0.2">
      <c r="B207" s="50" t="s">
        <v>426</v>
      </c>
      <c r="C207" s="51"/>
      <c r="D207" s="51">
        <f>'[2]комплекты фурнитуры'!Q30</f>
        <v>5810</v>
      </c>
      <c r="E207" s="66">
        <v>2</v>
      </c>
      <c r="F207" s="52">
        <f t="shared" si="14"/>
        <v>11620</v>
      </c>
      <c r="G207" s="53"/>
    </row>
    <row r="208" spans="1:8" x14ac:dyDescent="0.2">
      <c r="B208" s="50" t="s">
        <v>427</v>
      </c>
      <c r="C208" s="51"/>
      <c r="D208" s="51">
        <f>'[2]комплекты фурнитуры'!Q33</f>
        <v>940</v>
      </c>
      <c r="E208" s="66">
        <v>2</v>
      </c>
      <c r="F208" s="52">
        <f t="shared" si="14"/>
        <v>1880</v>
      </c>
      <c r="G208" s="53"/>
    </row>
    <row r="209" spans="1:8" x14ac:dyDescent="0.2">
      <c r="B209" s="50" t="s">
        <v>422</v>
      </c>
      <c r="C209" s="51"/>
      <c r="D209" s="51">
        <f>'[2]комплекты фурнитуры'!Q35</f>
        <v>170</v>
      </c>
      <c r="E209" s="66">
        <v>2</v>
      </c>
      <c r="F209" s="52">
        <f t="shared" si="14"/>
        <v>340</v>
      </c>
      <c r="G209" s="53"/>
    </row>
    <row r="210" spans="1:8" x14ac:dyDescent="0.2">
      <c r="B210" s="68" t="s">
        <v>428</v>
      </c>
      <c r="C210" s="51"/>
      <c r="D210" s="51">
        <f>'[2]комплекты фурнитуры'!Q39</f>
        <v>7970</v>
      </c>
      <c r="E210" s="66">
        <v>2</v>
      </c>
      <c r="F210" s="52">
        <f t="shared" si="14"/>
        <v>15940</v>
      </c>
      <c r="G210" s="53"/>
    </row>
    <row r="211" spans="1:8" x14ac:dyDescent="0.2">
      <c r="A211" s="31">
        <v>15</v>
      </c>
      <c r="B211" s="317" t="s">
        <v>19</v>
      </c>
      <c r="C211" s="55"/>
      <c r="D211" s="55"/>
      <c r="E211" s="55" t="s">
        <v>391</v>
      </c>
      <c r="F211" s="55" t="s">
        <v>392</v>
      </c>
      <c r="G211" s="55" t="s">
        <v>424</v>
      </c>
      <c r="H211" s="67"/>
    </row>
    <row r="212" spans="1:8" ht="15" x14ac:dyDescent="0.2">
      <c r="B212" s="317"/>
      <c r="C212" s="55">
        <v>300</v>
      </c>
      <c r="D212" s="55"/>
      <c r="E212" s="56">
        <f t="shared" ref="E212:E217" si="15">(((($D$204*$H$4-$D$204)/100)*$H212)+$D$204)+($F$205+$F$206+$F$207)</f>
        <v>15280</v>
      </c>
      <c r="F212" s="56">
        <f t="shared" ref="F212:F217" si="16">(((($D$204*$H$4-$D$204)/100)*$H212)+$D$204)+($F$205+$F$206+$F$208+$F$209)</f>
        <v>5880</v>
      </c>
      <c r="G212" s="56">
        <f t="shared" ref="G212:G217" si="17">(((($D$204*$H$4-$D$204)/100)*$H212)+$D$204)+($F$205+$F$206+$F$210)</f>
        <v>19600</v>
      </c>
      <c r="H212" s="57"/>
    </row>
    <row r="213" spans="1:8" ht="15" x14ac:dyDescent="0.2">
      <c r="B213" s="317"/>
      <c r="C213" s="55">
        <v>350</v>
      </c>
      <c r="D213" s="55"/>
      <c r="E213" s="56">
        <f t="shared" si="15"/>
        <v>15363.85</v>
      </c>
      <c r="F213" s="56">
        <f t="shared" si="16"/>
        <v>5963.85</v>
      </c>
      <c r="G213" s="56">
        <f t="shared" si="17"/>
        <v>19683.849999999999</v>
      </c>
      <c r="H213" s="57">
        <v>50</v>
      </c>
    </row>
    <row r="214" spans="1:8" ht="15" x14ac:dyDescent="0.2">
      <c r="B214" s="317"/>
      <c r="C214" s="55">
        <v>400</v>
      </c>
      <c r="D214" s="55"/>
      <c r="E214" s="56">
        <f t="shared" si="15"/>
        <v>15447.7</v>
      </c>
      <c r="F214" s="56">
        <f t="shared" si="16"/>
        <v>6047.7</v>
      </c>
      <c r="G214" s="56">
        <f t="shared" si="17"/>
        <v>19767.7</v>
      </c>
      <c r="H214" s="57">
        <v>100</v>
      </c>
    </row>
    <row r="215" spans="1:8" ht="15" x14ac:dyDescent="0.2">
      <c r="B215" s="317"/>
      <c r="C215" s="55">
        <v>450</v>
      </c>
      <c r="D215" s="55"/>
      <c r="E215" s="56">
        <f t="shared" si="15"/>
        <v>15531.55</v>
      </c>
      <c r="F215" s="56">
        <f t="shared" si="16"/>
        <v>6131.5499999999993</v>
      </c>
      <c r="G215" s="56">
        <f t="shared" si="17"/>
        <v>19851.55</v>
      </c>
      <c r="H215" s="57">
        <v>150</v>
      </c>
    </row>
    <row r="216" spans="1:8" ht="15" x14ac:dyDescent="0.2">
      <c r="B216" s="317"/>
      <c r="C216" s="55">
        <v>500</v>
      </c>
      <c r="D216" s="55"/>
      <c r="E216" s="56">
        <f t="shared" si="15"/>
        <v>15615.4</v>
      </c>
      <c r="F216" s="56">
        <f t="shared" si="16"/>
        <v>6215.4</v>
      </c>
      <c r="G216" s="56">
        <f t="shared" si="17"/>
        <v>19935.400000000001</v>
      </c>
      <c r="H216" s="57">
        <v>200</v>
      </c>
    </row>
    <row r="217" spans="1:8" ht="15" x14ac:dyDescent="0.2">
      <c r="B217" s="317"/>
      <c r="C217" s="55">
        <v>600</v>
      </c>
      <c r="D217" s="55"/>
      <c r="E217" s="56">
        <f t="shared" si="15"/>
        <v>15783.099999999999</v>
      </c>
      <c r="F217" s="56">
        <f t="shared" si="16"/>
        <v>6383.0999999999995</v>
      </c>
      <c r="G217" s="56">
        <f t="shared" si="17"/>
        <v>20103.099999999999</v>
      </c>
      <c r="H217" s="57">
        <v>300</v>
      </c>
    </row>
    <row r="219" spans="1:8" ht="15" x14ac:dyDescent="0.2">
      <c r="D219" s="47" t="s">
        <v>384</v>
      </c>
      <c r="E219" s="47" t="s">
        <v>385</v>
      </c>
      <c r="F219" s="48" t="s">
        <v>386</v>
      </c>
      <c r="G219" s="63"/>
    </row>
    <row r="220" spans="1:8" x14ac:dyDescent="0.2">
      <c r="B220" s="50" t="s">
        <v>388</v>
      </c>
      <c r="C220" s="51"/>
      <c r="D220" s="66">
        <f>'[2]2 все модули и цены'!E33</f>
        <v>2510</v>
      </c>
      <c r="F220" s="52"/>
      <c r="G220" s="53"/>
    </row>
    <row r="221" spans="1:8" x14ac:dyDescent="0.2">
      <c r="B221" s="50" t="s">
        <v>409</v>
      </c>
      <c r="C221" s="51"/>
      <c r="D221" s="51">
        <f>'[2]комплекты фурнитуры'!Q11</f>
        <v>460</v>
      </c>
      <c r="E221" s="66">
        <v>1</v>
      </c>
      <c r="F221" s="52">
        <f>D221*E221</f>
        <v>460</v>
      </c>
      <c r="G221" s="53"/>
    </row>
    <row r="222" spans="1:8" x14ac:dyDescent="0.2">
      <c r="B222" s="50" t="s">
        <v>401</v>
      </c>
      <c r="C222" s="51"/>
      <c r="D222" s="51">
        <f>'[2]комплекты фурнитуры'!Q27</f>
        <v>270</v>
      </c>
      <c r="E222" s="66">
        <v>2</v>
      </c>
      <c r="F222" s="52">
        <f>D222*E222</f>
        <v>540</v>
      </c>
      <c r="G222" s="53"/>
    </row>
    <row r="223" spans="1:8" x14ac:dyDescent="0.2">
      <c r="B223" s="50" t="s">
        <v>429</v>
      </c>
      <c r="C223" s="51"/>
      <c r="D223" s="51">
        <f>'[2]комплекты фурнитуры'!Q32</f>
        <v>480</v>
      </c>
      <c r="E223" s="66">
        <v>1</v>
      </c>
      <c r="F223" s="52">
        <f>D223*E223</f>
        <v>480</v>
      </c>
      <c r="G223" s="53"/>
    </row>
    <row r="224" spans="1:8" x14ac:dyDescent="0.2">
      <c r="B224" s="50" t="s">
        <v>422</v>
      </c>
      <c r="C224" s="51"/>
      <c r="D224" s="51">
        <f>'[2]комплекты фурнитуры'!Q35</f>
        <v>170</v>
      </c>
      <c r="E224" s="66">
        <v>1</v>
      </c>
      <c r="F224" s="52">
        <f>D224*E224</f>
        <v>170</v>
      </c>
      <c r="G224" s="53"/>
    </row>
    <row r="225" spans="1:8" x14ac:dyDescent="0.2">
      <c r="A225" s="31">
        <v>16</v>
      </c>
      <c r="B225" s="317" t="s">
        <v>20</v>
      </c>
      <c r="C225" s="55"/>
      <c r="D225" s="55"/>
      <c r="E225" s="55" t="s">
        <v>391</v>
      </c>
      <c r="F225" s="55" t="s">
        <v>392</v>
      </c>
      <c r="G225" s="55" t="s">
        <v>424</v>
      </c>
      <c r="H225" s="67"/>
    </row>
    <row r="226" spans="1:8" ht="15" x14ac:dyDescent="0.2">
      <c r="B226" s="317"/>
      <c r="C226" s="55">
        <v>450</v>
      </c>
      <c r="D226" s="55"/>
      <c r="E226" s="56"/>
      <c r="F226" s="56">
        <f>(((($D$220*$H$4-$D$220)/100)*$H226)+$D$220)+($F$221+$F$222+$F$223+$F$224)</f>
        <v>4160</v>
      </c>
      <c r="G226" s="56"/>
      <c r="H226" s="57"/>
    </row>
    <row r="227" spans="1:8" ht="15" x14ac:dyDescent="0.2">
      <c r="B227" s="317"/>
      <c r="C227" s="55">
        <v>600</v>
      </c>
      <c r="D227" s="55"/>
      <c r="E227" s="56"/>
      <c r="F227" s="56">
        <f>(((($D$220*$H$4-$D$220)/100)*$H227)+$D$220)+($F$221+$F$222+$F$223+$F$224)</f>
        <v>4404.7250000000004</v>
      </c>
      <c r="G227" s="56"/>
      <c r="H227" s="57">
        <v>150</v>
      </c>
    </row>
    <row r="229" spans="1:8" ht="15" x14ac:dyDescent="0.2">
      <c r="D229" s="47" t="s">
        <v>384</v>
      </c>
      <c r="E229" s="47" t="s">
        <v>385</v>
      </c>
      <c r="F229" s="48" t="s">
        <v>386</v>
      </c>
      <c r="G229" s="63"/>
    </row>
    <row r="230" spans="1:8" x14ac:dyDescent="0.2">
      <c r="B230" s="50" t="s">
        <v>388</v>
      </c>
      <c r="C230" s="51"/>
      <c r="D230" s="66">
        <f>'[2]2 все модули и цены'!E34</f>
        <v>2450</v>
      </c>
      <c r="F230" s="52"/>
      <c r="G230" s="53"/>
    </row>
    <row r="231" spans="1:8" x14ac:dyDescent="0.2">
      <c r="B231" s="50" t="s">
        <v>430</v>
      </c>
      <c r="C231" s="51"/>
      <c r="D231" s="51">
        <f>'[2]комплекты фурнитуры'!Q20</f>
        <v>740</v>
      </c>
      <c r="E231" s="66">
        <v>1</v>
      </c>
      <c r="F231" s="52">
        <f>D231*E231</f>
        <v>740</v>
      </c>
      <c r="G231" s="53"/>
    </row>
    <row r="232" spans="1:8" x14ac:dyDescent="0.2">
      <c r="B232" s="50" t="s">
        <v>401</v>
      </c>
      <c r="C232" s="51"/>
      <c r="D232" s="51">
        <f>'[2]комплекты фурнитуры'!Q27</f>
        <v>270</v>
      </c>
      <c r="E232" s="66">
        <v>2</v>
      </c>
      <c r="F232" s="52">
        <f>D232*E232</f>
        <v>540</v>
      </c>
      <c r="G232" s="53"/>
    </row>
    <row r="233" spans="1:8" x14ac:dyDescent="0.2">
      <c r="B233" s="50" t="s">
        <v>431</v>
      </c>
      <c r="C233" s="51"/>
      <c r="D233" s="51">
        <f>'[2]комплекты фурнитуры'!Q60</f>
        <v>1560</v>
      </c>
      <c r="E233" s="66">
        <v>2</v>
      </c>
      <c r="F233" s="52">
        <f>D233*E233</f>
        <v>3120</v>
      </c>
      <c r="G233" s="53"/>
    </row>
    <row r="234" spans="1:8" x14ac:dyDescent="0.2">
      <c r="B234" s="50" t="s">
        <v>419</v>
      </c>
      <c r="C234" s="51"/>
      <c r="D234" s="51">
        <f>'[2]комплекты фурнитуры'!Q61</f>
        <v>190</v>
      </c>
      <c r="E234" s="66">
        <v>2</v>
      </c>
      <c r="F234" s="52">
        <f>D234*E234</f>
        <v>380</v>
      </c>
      <c r="G234" s="53"/>
    </row>
    <row r="235" spans="1:8" x14ac:dyDescent="0.2">
      <c r="A235" s="31">
        <v>17</v>
      </c>
      <c r="B235" s="317" t="s">
        <v>21</v>
      </c>
      <c r="C235" s="55"/>
      <c r="D235" s="55"/>
      <c r="E235" s="55" t="s">
        <v>391</v>
      </c>
      <c r="F235" s="55" t="s">
        <v>392</v>
      </c>
      <c r="G235" s="55" t="s">
        <v>424</v>
      </c>
      <c r="H235" s="67"/>
    </row>
    <row r="236" spans="1:8" ht="15" x14ac:dyDescent="0.2">
      <c r="B236" s="317"/>
      <c r="C236" s="55">
        <v>445</v>
      </c>
      <c r="D236" s="56">
        <f>(((($D$230*$H$6-$D$230)/100)*$H236)+$D$230)+($F$231+$F$232+$F$233)</f>
        <v>6850</v>
      </c>
      <c r="E236" s="56"/>
      <c r="F236" s="56">
        <f>(((($D$230*$H$6-$D$230)/100)*$H236)+$D$230)+($F$231+$F$232+$F$234)</f>
        <v>4110</v>
      </c>
      <c r="G236" s="56"/>
      <c r="H236" s="57"/>
    </row>
    <row r="237" spans="1:8" ht="15" x14ac:dyDescent="0.2">
      <c r="B237" s="317"/>
      <c r="C237" s="55">
        <v>545</v>
      </c>
      <c r="D237" s="56">
        <f>(((($D$230*$H$6-$D$230)/100)*$H237)+$D$230)+($F$231+$F$232+$F$233)</f>
        <v>6923.5</v>
      </c>
      <c r="E237" s="56"/>
      <c r="F237" s="56">
        <f>(((($D$230*$H$6-$D$230)/100)*$H237)+$D$230)+($F$231+$F$232+$F$234)</f>
        <v>4183.5</v>
      </c>
      <c r="G237" s="56"/>
      <c r="H237" s="57">
        <v>100</v>
      </c>
    </row>
    <row r="239" spans="1:8" ht="15" x14ac:dyDescent="0.2">
      <c r="D239" s="47" t="s">
        <v>384</v>
      </c>
      <c r="E239" s="47" t="s">
        <v>385</v>
      </c>
      <c r="F239" s="48" t="s">
        <v>386</v>
      </c>
      <c r="G239" s="63"/>
    </row>
    <row r="240" spans="1:8" x14ac:dyDescent="0.2">
      <c r="B240" s="50" t="s">
        <v>388</v>
      </c>
      <c r="C240" s="51"/>
      <c r="D240" s="66">
        <f>'[2]2 все модули и цены'!E35</f>
        <v>2000</v>
      </c>
      <c r="F240" s="52"/>
      <c r="G240" s="53"/>
    </row>
    <row r="241" spans="1:8" x14ac:dyDescent="0.2">
      <c r="B241" s="50" t="s">
        <v>432</v>
      </c>
      <c r="C241" s="51"/>
      <c r="D241" s="51">
        <f>'[2]комплекты фурнитуры'!Q18</f>
        <v>650</v>
      </c>
      <c r="E241" s="66">
        <v>1</v>
      </c>
      <c r="F241" s="52">
        <f>D241*E241</f>
        <v>650</v>
      </c>
      <c r="G241" s="53"/>
    </row>
    <row r="242" spans="1:8" x14ac:dyDescent="0.2">
      <c r="B242" s="50" t="s">
        <v>401</v>
      </c>
      <c r="C242" s="51"/>
      <c r="D242" s="51">
        <f>'[2]комплекты фурнитуры'!Q27</f>
        <v>270</v>
      </c>
      <c r="E242" s="66">
        <v>2</v>
      </c>
      <c r="F242" s="52">
        <f>D242*E242</f>
        <v>540</v>
      </c>
      <c r="G242" s="53"/>
    </row>
    <row r="243" spans="1:8" x14ac:dyDescent="0.2">
      <c r="A243" s="31">
        <v>18</v>
      </c>
      <c r="B243" s="317" t="s">
        <v>22</v>
      </c>
      <c r="C243" s="55"/>
      <c r="D243" s="55"/>
      <c r="E243" s="55" t="s">
        <v>391</v>
      </c>
      <c r="F243" s="55" t="s">
        <v>392</v>
      </c>
      <c r="G243" s="55" t="s">
        <v>424</v>
      </c>
      <c r="H243" s="67"/>
    </row>
    <row r="244" spans="1:8" ht="15" x14ac:dyDescent="0.2">
      <c r="B244" s="317"/>
      <c r="C244" s="55">
        <v>460</v>
      </c>
      <c r="D244" s="56">
        <f>(((($D$240*$H$6-$D$240)/100)*$H244)+$D$240)+($F$241+$F$242)</f>
        <v>3190</v>
      </c>
      <c r="E244" s="56"/>
      <c r="F244" s="56">
        <f>(((($D$230*$H$6-$D$230)/100)*$H244)+$D$230)+($F$231+$F$232+$F$234)</f>
        <v>4110</v>
      </c>
      <c r="G244" s="56"/>
      <c r="H244" s="57"/>
    </row>
    <row r="245" spans="1:8" ht="15" x14ac:dyDescent="0.2">
      <c r="B245" s="317"/>
      <c r="C245" s="55">
        <v>560</v>
      </c>
      <c r="D245" s="56">
        <f>(((($D$240*$H$6-$D$240)/100)*$H245)+$D$240)+($F$241+$F$242)</f>
        <v>3250</v>
      </c>
      <c r="E245" s="56"/>
      <c r="F245" s="56">
        <f>(((($D$230*$H$6-$D$230)/100)*$H245)+$D$230)+($F$231+$F$232+$F$234)</f>
        <v>4183.5</v>
      </c>
      <c r="G245" s="56"/>
      <c r="H245" s="57">
        <v>100</v>
      </c>
    </row>
    <row r="247" spans="1:8" ht="15" x14ac:dyDescent="0.2">
      <c r="D247" s="47" t="s">
        <v>384</v>
      </c>
      <c r="E247" s="47" t="s">
        <v>385</v>
      </c>
      <c r="F247" s="48" t="s">
        <v>386</v>
      </c>
      <c r="G247" s="63"/>
    </row>
    <row r="248" spans="1:8" x14ac:dyDescent="0.2">
      <c r="B248" s="50" t="s">
        <v>388</v>
      </c>
      <c r="C248" s="51"/>
      <c r="D248" s="66">
        <f>'[2]2 все модули и цены'!E36</f>
        <v>2000</v>
      </c>
      <c r="F248" s="52"/>
      <c r="G248" s="53"/>
    </row>
    <row r="249" spans="1:8" x14ac:dyDescent="0.2">
      <c r="B249" s="50" t="s">
        <v>417</v>
      </c>
      <c r="C249" s="51"/>
      <c r="D249" s="51">
        <f>'[2]комплекты фурнитуры'!Q16</f>
        <v>940</v>
      </c>
      <c r="E249" s="66">
        <v>1</v>
      </c>
      <c r="F249" s="52">
        <f>D249*E249</f>
        <v>940</v>
      </c>
      <c r="G249" s="53"/>
    </row>
    <row r="250" spans="1:8" x14ac:dyDescent="0.2">
      <c r="B250" s="50" t="s">
        <v>401</v>
      </c>
      <c r="C250" s="51"/>
      <c r="D250" s="51">
        <f>'[2]комплекты фурнитуры'!Q27</f>
        <v>270</v>
      </c>
      <c r="E250" s="66">
        <v>2</v>
      </c>
      <c r="F250" s="52">
        <f>D250*E250</f>
        <v>540</v>
      </c>
      <c r="G250" s="53"/>
    </row>
    <row r="251" spans="1:8" x14ac:dyDescent="0.2">
      <c r="B251" s="50" t="s">
        <v>433</v>
      </c>
      <c r="C251" s="51"/>
      <c r="D251" s="51">
        <f>'[2]комплекты фурнитуры'!Q65</f>
        <v>200</v>
      </c>
      <c r="E251" s="66">
        <v>2</v>
      </c>
      <c r="F251" s="52">
        <f>D251*E251</f>
        <v>400</v>
      </c>
      <c r="G251" s="53"/>
    </row>
    <row r="252" spans="1:8" x14ac:dyDescent="0.2">
      <c r="B252" s="71" t="s">
        <v>434</v>
      </c>
      <c r="C252" s="51"/>
      <c r="D252" s="51">
        <f>'[2]комплекты фурнитуры'!Q62</f>
        <v>1300</v>
      </c>
      <c r="E252" s="66">
        <v>2</v>
      </c>
      <c r="F252" s="52">
        <f>D252*E252</f>
        <v>2600</v>
      </c>
      <c r="G252" s="53"/>
    </row>
    <row r="253" spans="1:8" x14ac:dyDescent="0.2">
      <c r="A253" s="31">
        <v>19</v>
      </c>
      <c r="B253" s="317" t="s">
        <v>23</v>
      </c>
      <c r="C253" s="55"/>
      <c r="D253" s="55"/>
      <c r="E253" s="55" t="s">
        <v>391</v>
      </c>
      <c r="F253" s="55" t="s">
        <v>392</v>
      </c>
      <c r="G253" s="55" t="s">
        <v>424</v>
      </c>
      <c r="H253" s="67"/>
    </row>
    <row r="254" spans="1:8" ht="15" x14ac:dyDescent="0.2">
      <c r="B254" s="317"/>
      <c r="C254" s="55">
        <v>460</v>
      </c>
      <c r="D254" s="56">
        <f>(((($D$248*$H$6-$D$248)/100)*$H254)+$D$248)+($F$249+$F$250+$F$252)</f>
        <v>6080</v>
      </c>
      <c r="E254" s="56"/>
      <c r="F254" s="56">
        <f>(((($D$248*$H$6-$D$248)/100)*$H254)+$D$248)+($F$249+$F$250+$F$251)</f>
        <v>3880</v>
      </c>
      <c r="G254" s="56"/>
      <c r="H254" s="57"/>
    </row>
    <row r="256" spans="1:8" ht="15" x14ac:dyDescent="0.2">
      <c r="D256" s="47" t="s">
        <v>384</v>
      </c>
      <c r="E256" s="47" t="s">
        <v>385</v>
      </c>
      <c r="F256" s="48" t="s">
        <v>386</v>
      </c>
      <c r="G256" s="63"/>
    </row>
    <row r="257" spans="1:13" x14ac:dyDescent="0.2">
      <c r="B257" s="50" t="s">
        <v>388</v>
      </c>
      <c r="C257" s="51"/>
      <c r="D257" s="66">
        <f>'[2]2 все модули и цены'!E10+M259</f>
        <v>2574.8000000000002</v>
      </c>
      <c r="F257" s="52"/>
      <c r="G257" s="53"/>
    </row>
    <row r="258" spans="1:13" x14ac:dyDescent="0.2">
      <c r="B258" s="50" t="s">
        <v>389</v>
      </c>
      <c r="C258" s="51"/>
      <c r="D258" s="51">
        <f>'[2]комплекты фурнитуры'!Q10</f>
        <v>540</v>
      </c>
      <c r="E258" s="66">
        <v>1</v>
      </c>
      <c r="F258" s="52">
        <f>D258*E258</f>
        <v>540</v>
      </c>
      <c r="G258" s="53"/>
    </row>
    <row r="259" spans="1:13" x14ac:dyDescent="0.2">
      <c r="B259" s="50" t="s">
        <v>401</v>
      </c>
      <c r="C259" s="51"/>
      <c r="D259" s="51">
        <f>'[2]комплекты фурнитуры'!Q27</f>
        <v>270</v>
      </c>
      <c r="E259" s="66">
        <v>2</v>
      </c>
      <c r="F259" s="52">
        <f>D259*E259</f>
        <v>540</v>
      </c>
      <c r="G259" s="53"/>
      <c r="J259" s="31">
        <f>2487.34/6*7/1.065</f>
        <v>2724.7856025039123</v>
      </c>
      <c r="K259" s="31">
        <f>J259/400</f>
        <v>6.8119640062597808</v>
      </c>
      <c r="L259" s="33" t="s">
        <v>435</v>
      </c>
      <c r="M259" s="31">
        <v>350</v>
      </c>
    </row>
    <row r="260" spans="1:13" x14ac:dyDescent="0.2">
      <c r="B260" s="50" t="s">
        <v>436</v>
      </c>
      <c r="C260" s="51"/>
      <c r="D260" s="51">
        <f>'[2]комплекты фурнитуры'!Q68</f>
        <v>500</v>
      </c>
      <c r="E260" s="66">
        <v>2</v>
      </c>
      <c r="F260" s="52">
        <f>D260*E260</f>
        <v>1000</v>
      </c>
      <c r="G260" s="53"/>
    </row>
    <row r="261" spans="1:13" x14ac:dyDescent="0.2">
      <c r="B261" s="50" t="s">
        <v>437</v>
      </c>
      <c r="C261" s="51"/>
      <c r="D261" s="51">
        <f>'[2]комплекты фурнитуры'!Q87</f>
        <v>390</v>
      </c>
      <c r="E261" s="66">
        <v>1</v>
      </c>
      <c r="F261" s="52">
        <f>D261*E261</f>
        <v>390</v>
      </c>
      <c r="G261" s="53"/>
    </row>
    <row r="262" spans="1:13" x14ac:dyDescent="0.2">
      <c r="A262" s="31">
        <v>20</v>
      </c>
      <c r="B262" s="317" t="s">
        <v>24</v>
      </c>
      <c r="C262" s="55"/>
      <c r="D262" s="55"/>
      <c r="E262" s="55" t="s">
        <v>391</v>
      </c>
      <c r="F262" s="55" t="s">
        <v>392</v>
      </c>
      <c r="G262" s="55" t="s">
        <v>424</v>
      </c>
      <c r="H262" s="67"/>
    </row>
    <row r="263" spans="1:13" ht="15" x14ac:dyDescent="0.25">
      <c r="B263" s="317"/>
      <c r="C263" s="55">
        <v>300</v>
      </c>
      <c r="D263" s="55"/>
      <c r="E263" s="56">
        <f t="shared" ref="E263:E268" si="18">(((($D$257*$H$4-$D$257)/100)*$H263)+$D$257)+($F$258+$F$259+$F$260+$F$261)</f>
        <v>5044.8</v>
      </c>
      <c r="F263" s="56"/>
      <c r="G263" s="56"/>
      <c r="H263" s="57"/>
      <c r="I263" s="72">
        <v>3950</v>
      </c>
      <c r="J263" s="59">
        <f t="shared" ref="J263:J268" si="19">E263-I263</f>
        <v>1094.8000000000002</v>
      </c>
      <c r="K263" s="59">
        <f t="shared" ref="K263:K268" si="20">$K$259*C263/10</f>
        <v>204.35892018779344</v>
      </c>
    </row>
    <row r="264" spans="1:13" ht="15" x14ac:dyDescent="0.25">
      <c r="B264" s="317"/>
      <c r="C264" s="55">
        <v>350</v>
      </c>
      <c r="D264" s="55"/>
      <c r="E264" s="56">
        <f t="shared" si="18"/>
        <v>5128.4809999999998</v>
      </c>
      <c r="F264" s="56"/>
      <c r="G264" s="56"/>
      <c r="H264" s="57">
        <v>50</v>
      </c>
      <c r="I264" s="72">
        <v>4012.0749999999998</v>
      </c>
      <c r="J264" s="59">
        <f t="shared" si="19"/>
        <v>1116.4059999999999</v>
      </c>
      <c r="K264" s="59">
        <f t="shared" si="20"/>
        <v>238.41874021909234</v>
      </c>
    </row>
    <row r="265" spans="1:13" ht="15" x14ac:dyDescent="0.25">
      <c r="B265" s="317"/>
      <c r="C265" s="55">
        <v>400</v>
      </c>
      <c r="D265" s="55"/>
      <c r="E265" s="56">
        <f t="shared" si="18"/>
        <v>5212.1620000000003</v>
      </c>
      <c r="F265" s="56"/>
      <c r="G265" s="56"/>
      <c r="H265" s="57">
        <v>100</v>
      </c>
      <c r="I265" s="72">
        <v>4074.1499999999996</v>
      </c>
      <c r="J265" s="59">
        <f t="shared" si="19"/>
        <v>1138.0120000000006</v>
      </c>
      <c r="K265" s="59">
        <f t="shared" si="20"/>
        <v>272.47856025039124</v>
      </c>
    </row>
    <row r="266" spans="1:13" ht="15" x14ac:dyDescent="0.25">
      <c r="B266" s="317"/>
      <c r="C266" s="55">
        <v>450</v>
      </c>
      <c r="D266" s="55"/>
      <c r="E266" s="56">
        <f t="shared" si="18"/>
        <v>5295.8430000000008</v>
      </c>
      <c r="F266" s="56"/>
      <c r="G266" s="56"/>
      <c r="H266" s="57">
        <v>150</v>
      </c>
      <c r="I266" s="72">
        <v>4136.2250000000004</v>
      </c>
      <c r="J266" s="59">
        <f t="shared" si="19"/>
        <v>1159.6180000000004</v>
      </c>
      <c r="K266" s="59">
        <f t="shared" si="20"/>
        <v>306.53838028169014</v>
      </c>
    </row>
    <row r="267" spans="1:13" ht="15" x14ac:dyDescent="0.25">
      <c r="B267" s="317"/>
      <c r="C267" s="55">
        <v>500</v>
      </c>
      <c r="D267" s="55"/>
      <c r="E267" s="56">
        <f t="shared" si="18"/>
        <v>5379.5240000000003</v>
      </c>
      <c r="F267" s="56"/>
      <c r="G267" s="56"/>
      <c r="H267" s="57">
        <v>200</v>
      </c>
      <c r="I267" s="72">
        <v>4198.2999999999993</v>
      </c>
      <c r="J267" s="59">
        <f t="shared" si="19"/>
        <v>1181.2240000000011</v>
      </c>
      <c r="K267" s="59">
        <f t="shared" si="20"/>
        <v>340.59820031298904</v>
      </c>
    </row>
    <row r="268" spans="1:13" ht="15" x14ac:dyDescent="0.25">
      <c r="B268" s="317"/>
      <c r="C268" s="55">
        <v>600</v>
      </c>
      <c r="D268" s="55"/>
      <c r="E268" s="56">
        <f t="shared" si="18"/>
        <v>5546.8860000000004</v>
      </c>
      <c r="F268" s="56"/>
      <c r="G268" s="56"/>
      <c r="H268" s="57">
        <v>300</v>
      </c>
      <c r="I268" s="72">
        <v>4322.45</v>
      </c>
      <c r="J268" s="59">
        <f t="shared" si="19"/>
        <v>1224.4360000000006</v>
      </c>
      <c r="K268" s="59">
        <f t="shared" si="20"/>
        <v>408.71784037558689</v>
      </c>
    </row>
    <row r="270" spans="1:13" ht="15" x14ac:dyDescent="0.2">
      <c r="D270" s="47" t="s">
        <v>384</v>
      </c>
      <c r="E270" s="47" t="s">
        <v>385</v>
      </c>
      <c r="F270" s="48" t="s">
        <v>386</v>
      </c>
      <c r="G270" s="271">
        <f>(((($D$257*$H$4-$D$257)/100)*$H268)+$D$257)</f>
        <v>3076.8860000000004</v>
      </c>
    </row>
    <row r="271" spans="1:13" x14ac:dyDescent="0.2">
      <c r="B271" s="50" t="s">
        <v>388</v>
      </c>
      <c r="C271" s="51"/>
      <c r="D271" s="66">
        <f>'[2]2 все модули и цены'!E11</f>
        <v>2224.8000000000002</v>
      </c>
      <c r="F271" s="52"/>
      <c r="G271" s="53"/>
    </row>
    <row r="272" spans="1:13" x14ac:dyDescent="0.2">
      <c r="B272" s="50" t="s">
        <v>389</v>
      </c>
      <c r="C272" s="51"/>
      <c r="D272" s="51">
        <f>'[2]комплекты фурнитуры'!Q10</f>
        <v>540</v>
      </c>
      <c r="E272" s="66">
        <v>1</v>
      </c>
      <c r="F272" s="52">
        <f>D272*E272</f>
        <v>540</v>
      </c>
      <c r="G272" s="53"/>
    </row>
    <row r="273" spans="1:13" x14ac:dyDescent="0.2">
      <c r="B273" s="50" t="s">
        <v>401</v>
      </c>
      <c r="C273" s="51"/>
      <c r="D273" s="51">
        <f>'[2]комплекты фурнитуры'!Q27</f>
        <v>270</v>
      </c>
      <c r="E273" s="66">
        <v>2</v>
      </c>
      <c r="F273" s="52">
        <f>D273*E273</f>
        <v>540</v>
      </c>
      <c r="G273" s="53"/>
    </row>
    <row r="274" spans="1:13" x14ac:dyDescent="0.2">
      <c r="B274" s="50" t="s">
        <v>436</v>
      </c>
      <c r="C274" s="51"/>
      <c r="D274" s="51">
        <f>'[2]комплекты фурнитуры'!Q68</f>
        <v>500</v>
      </c>
      <c r="E274" s="66">
        <v>4</v>
      </c>
      <c r="F274" s="52">
        <f>D274*E274</f>
        <v>2000</v>
      </c>
      <c r="G274" s="53"/>
    </row>
    <row r="275" spans="1:13" x14ac:dyDescent="0.2">
      <c r="B275" s="50" t="s">
        <v>437</v>
      </c>
      <c r="C275" s="51"/>
      <c r="D275" s="51">
        <f>'[2]комплекты фурнитуры'!Q87</f>
        <v>390</v>
      </c>
      <c r="E275" s="66">
        <v>1</v>
      </c>
      <c r="F275" s="52">
        <f>D275*E275</f>
        <v>390</v>
      </c>
      <c r="G275" s="53"/>
    </row>
    <row r="276" spans="1:13" x14ac:dyDescent="0.2">
      <c r="A276" s="31">
        <v>21</v>
      </c>
      <c r="B276" s="317" t="s">
        <v>25</v>
      </c>
      <c r="C276" s="55"/>
      <c r="D276" s="55"/>
      <c r="E276" s="55" t="s">
        <v>391</v>
      </c>
      <c r="F276" s="55" t="s">
        <v>392</v>
      </c>
      <c r="G276" s="55" t="s">
        <v>424</v>
      </c>
      <c r="H276" s="67"/>
    </row>
    <row r="277" spans="1:13" ht="15" x14ac:dyDescent="0.25">
      <c r="B277" s="317"/>
      <c r="C277" s="55">
        <v>600</v>
      </c>
      <c r="D277" s="55"/>
      <c r="E277" s="56">
        <f>(((($D$271*$H$4-$D$271)/100)*$H277)+$D$271)+($F$272+$F$273+$F$274+$F$275)</f>
        <v>6128.6360000000004</v>
      </c>
      <c r="F277" s="56"/>
      <c r="G277" s="56"/>
      <c r="H277" s="57">
        <v>300</v>
      </c>
      <c r="I277" s="73"/>
      <c r="J277" s="59"/>
      <c r="K277" s="59"/>
    </row>
    <row r="278" spans="1:13" ht="15" x14ac:dyDescent="0.25">
      <c r="B278" s="317"/>
      <c r="C278" s="55">
        <v>700</v>
      </c>
      <c r="D278" s="55"/>
      <c r="E278" s="56">
        <f>(((($D$271*$H$4-$D$271)/100)*$H278)+$D$271)+($F$272+$F$273+$F$274+$F$275)</f>
        <v>6273.2480000000005</v>
      </c>
      <c r="F278" s="56"/>
      <c r="G278" s="56"/>
      <c r="H278" s="57">
        <v>400</v>
      </c>
      <c r="I278" s="73"/>
      <c r="J278" s="59"/>
      <c r="K278" s="59"/>
    </row>
    <row r="279" spans="1:13" ht="15" x14ac:dyDescent="0.25">
      <c r="B279" s="317"/>
      <c r="C279" s="55">
        <v>800</v>
      </c>
      <c r="D279" s="55"/>
      <c r="E279" s="56">
        <f>(((($D$271*$H$4-$D$271)/100)*$H279)+$D$271)+($F$272+$F$273+$F$274+$F$275)</f>
        <v>6417.8600000000006</v>
      </c>
      <c r="F279" s="56"/>
      <c r="G279" s="56"/>
      <c r="H279" s="57">
        <v>500</v>
      </c>
      <c r="I279" s="73"/>
      <c r="J279" s="59"/>
      <c r="K279" s="59"/>
    </row>
    <row r="280" spans="1:13" ht="15" x14ac:dyDescent="0.25">
      <c r="B280" s="317"/>
      <c r="C280" s="55">
        <v>900</v>
      </c>
      <c r="D280" s="55"/>
      <c r="E280" s="56">
        <f>(((($D$271*$H$4-$D$271)/100)*$H280)+$D$271)+($F$272+$F$273+$F$274+$F$275)</f>
        <v>6562.4720000000007</v>
      </c>
      <c r="F280" s="56"/>
      <c r="G280" s="56"/>
      <c r="H280" s="57">
        <v>600</v>
      </c>
      <c r="I280" s="73"/>
      <c r="J280" s="59"/>
      <c r="K280" s="59"/>
    </row>
    <row r="281" spans="1:13" x14ac:dyDescent="0.2">
      <c r="J281" s="59"/>
      <c r="K281" s="59"/>
    </row>
    <row r="282" spans="1:13" ht="15" x14ac:dyDescent="0.2">
      <c r="D282" s="47" t="s">
        <v>384</v>
      </c>
      <c r="E282" s="47" t="s">
        <v>385</v>
      </c>
      <c r="F282" s="48" t="s">
        <v>386</v>
      </c>
      <c r="G282" s="63"/>
      <c r="J282" s="59"/>
      <c r="K282" s="59"/>
    </row>
    <row r="283" spans="1:13" x14ac:dyDescent="0.2">
      <c r="B283" s="50" t="s">
        <v>388</v>
      </c>
      <c r="C283" s="51"/>
      <c r="D283" s="66">
        <f>'[2]2 все модули и цены'!E32+M285</f>
        <v>3636.4</v>
      </c>
      <c r="F283" s="52"/>
      <c r="G283" s="53"/>
    </row>
    <row r="284" spans="1:13" x14ac:dyDescent="0.2">
      <c r="B284" s="50" t="s">
        <v>389</v>
      </c>
      <c r="C284" s="51"/>
      <c r="D284" s="51">
        <f>'[2]комплекты фурнитуры'!Q10</f>
        <v>540</v>
      </c>
      <c r="E284" s="66">
        <v>1</v>
      </c>
      <c r="F284" s="52">
        <f>D284*E284</f>
        <v>540</v>
      </c>
      <c r="G284" s="53"/>
    </row>
    <row r="285" spans="1:13" x14ac:dyDescent="0.2">
      <c r="B285" s="50" t="s">
        <v>401</v>
      </c>
      <c r="C285" s="51"/>
      <c r="D285" s="51">
        <f>'[2]комплекты фурнитуры'!Q27</f>
        <v>270</v>
      </c>
      <c r="E285" s="66">
        <v>2</v>
      </c>
      <c r="F285" s="52">
        <f>D285*E285</f>
        <v>540</v>
      </c>
      <c r="G285" s="53"/>
      <c r="J285" s="31">
        <f>6068.46/6*7/1.065</f>
        <v>6647.7652582159626</v>
      </c>
      <c r="K285" s="31">
        <f>J285/400</f>
        <v>16.619413145539905</v>
      </c>
      <c r="L285" s="33" t="s">
        <v>435</v>
      </c>
      <c r="M285" s="31">
        <v>850</v>
      </c>
    </row>
    <row r="286" spans="1:13" x14ac:dyDescent="0.2">
      <c r="B286" s="50" t="s">
        <v>426</v>
      </c>
      <c r="C286" s="51"/>
      <c r="D286" s="51">
        <f>'[2]комплекты фурнитуры'!Q30</f>
        <v>5810</v>
      </c>
      <c r="E286" s="66">
        <v>2</v>
      </c>
      <c r="F286" s="52">
        <f>D286*E286</f>
        <v>11620</v>
      </c>
      <c r="G286" s="53"/>
    </row>
    <row r="287" spans="1:13" x14ac:dyDescent="0.2">
      <c r="B287" s="50" t="s">
        <v>437</v>
      </c>
      <c r="C287" s="51"/>
      <c r="D287" s="51">
        <f>'[2]комплекты фурнитуры'!Q87</f>
        <v>390</v>
      </c>
      <c r="E287" s="66">
        <v>2</v>
      </c>
      <c r="F287" s="52">
        <f>D287*E287</f>
        <v>780</v>
      </c>
      <c r="G287" s="53"/>
    </row>
    <row r="288" spans="1:13" x14ac:dyDescent="0.2">
      <c r="A288" s="31">
        <v>22</v>
      </c>
      <c r="B288" s="317" t="s">
        <v>26</v>
      </c>
      <c r="C288" s="55"/>
      <c r="D288" s="55"/>
      <c r="E288" s="55" t="s">
        <v>391</v>
      </c>
      <c r="F288" s="55" t="s">
        <v>392</v>
      </c>
      <c r="G288" s="55" t="s">
        <v>424</v>
      </c>
      <c r="H288" s="67"/>
    </row>
    <row r="289" spans="1:11" ht="15" x14ac:dyDescent="0.25">
      <c r="B289" s="317"/>
      <c r="C289" s="55">
        <v>300</v>
      </c>
      <c r="D289" s="55"/>
      <c r="E289" s="56">
        <f t="shared" ref="E289:E294" si="21">(((($D$283*$H$4-$D$283)/100)*$H289)+$D$283)+($F$284+$F$285+$F$286+$F$287)</f>
        <v>17116.400000000001</v>
      </c>
      <c r="F289" s="56"/>
      <c r="G289" s="56"/>
      <c r="H289" s="57"/>
      <c r="I289" s="72">
        <v>14850</v>
      </c>
      <c r="J289" s="59">
        <f t="shared" ref="J289:J294" si="22">E289-I289</f>
        <v>2266.4000000000015</v>
      </c>
      <c r="K289" s="59">
        <f t="shared" ref="K289:K294" si="23">$K$285*C289/10</f>
        <v>498.58239436619715</v>
      </c>
    </row>
    <row r="290" spans="1:11" ht="15" x14ac:dyDescent="0.25">
      <c r="B290" s="317"/>
      <c r="C290" s="55">
        <v>350</v>
      </c>
      <c r="D290" s="55"/>
      <c r="E290" s="56">
        <f t="shared" si="21"/>
        <v>17234.582999999999</v>
      </c>
      <c r="F290" s="56"/>
      <c r="G290" s="56"/>
      <c r="H290" s="57">
        <v>50</v>
      </c>
      <c r="I290" s="72">
        <v>14927.674999999999</v>
      </c>
      <c r="J290" s="59">
        <f t="shared" si="22"/>
        <v>2306.9079999999994</v>
      </c>
      <c r="K290" s="59">
        <f t="shared" si="23"/>
        <v>581.67946009389675</v>
      </c>
    </row>
    <row r="291" spans="1:11" ht="15" x14ac:dyDescent="0.25">
      <c r="B291" s="317"/>
      <c r="C291" s="55">
        <v>400</v>
      </c>
      <c r="D291" s="55"/>
      <c r="E291" s="56">
        <f t="shared" si="21"/>
        <v>17352.766</v>
      </c>
      <c r="F291" s="56"/>
      <c r="G291" s="56"/>
      <c r="H291" s="57">
        <v>100</v>
      </c>
      <c r="I291" s="72">
        <v>15005.35</v>
      </c>
      <c r="J291" s="59">
        <f t="shared" si="22"/>
        <v>2347.4159999999993</v>
      </c>
      <c r="K291" s="59">
        <f t="shared" si="23"/>
        <v>664.77652582159612</v>
      </c>
    </row>
    <row r="292" spans="1:11" ht="15" x14ac:dyDescent="0.25">
      <c r="B292" s="317"/>
      <c r="C292" s="55">
        <v>450</v>
      </c>
      <c r="D292" s="55"/>
      <c r="E292" s="56">
        <f t="shared" si="21"/>
        <v>17470.949000000001</v>
      </c>
      <c r="F292" s="56"/>
      <c r="G292" s="56"/>
      <c r="H292" s="57">
        <v>150</v>
      </c>
      <c r="I292" s="72">
        <v>15083.025</v>
      </c>
      <c r="J292" s="59">
        <f t="shared" si="22"/>
        <v>2387.9240000000009</v>
      </c>
      <c r="K292" s="59">
        <f t="shared" si="23"/>
        <v>747.87359154929572</v>
      </c>
    </row>
    <row r="293" spans="1:11" ht="15" x14ac:dyDescent="0.25">
      <c r="B293" s="317"/>
      <c r="C293" s="55">
        <v>500</v>
      </c>
      <c r="D293" s="55"/>
      <c r="E293" s="56">
        <f t="shared" si="21"/>
        <v>17589.131999999998</v>
      </c>
      <c r="F293" s="56"/>
      <c r="G293" s="56"/>
      <c r="H293" s="57">
        <v>200</v>
      </c>
      <c r="I293" s="72">
        <v>15160.7</v>
      </c>
      <c r="J293" s="59">
        <f t="shared" si="22"/>
        <v>2428.4319999999971</v>
      </c>
      <c r="K293" s="59">
        <f t="shared" si="23"/>
        <v>830.97065727699521</v>
      </c>
    </row>
    <row r="294" spans="1:11" ht="15" x14ac:dyDescent="0.25">
      <c r="B294" s="317"/>
      <c r="C294" s="55">
        <v>600</v>
      </c>
      <c r="D294" s="55"/>
      <c r="E294" s="56">
        <f t="shared" si="21"/>
        <v>17825.498</v>
      </c>
      <c r="F294" s="56"/>
      <c r="G294" s="56"/>
      <c r="H294" s="57">
        <v>300</v>
      </c>
      <c r="I294" s="72">
        <v>15316.05</v>
      </c>
      <c r="J294" s="59">
        <f t="shared" si="22"/>
        <v>2509.4480000000003</v>
      </c>
      <c r="K294" s="59">
        <f t="shared" si="23"/>
        <v>997.1647887323943</v>
      </c>
    </row>
    <row r="296" spans="1:11" ht="15" x14ac:dyDescent="0.2">
      <c r="D296" s="47" t="s">
        <v>384</v>
      </c>
      <c r="E296" s="47" t="s">
        <v>385</v>
      </c>
      <c r="F296" s="48" t="s">
        <v>386</v>
      </c>
      <c r="G296" s="63"/>
    </row>
    <row r="297" spans="1:11" x14ac:dyDescent="0.2">
      <c r="B297" s="50" t="s">
        <v>388</v>
      </c>
      <c r="C297" s="51"/>
      <c r="D297" s="66">
        <f>'[2]2 все модули и цены'!E30</f>
        <v>2916</v>
      </c>
      <c r="F297" s="52"/>
      <c r="G297" s="53"/>
    </row>
    <row r="298" spans="1:11" x14ac:dyDescent="0.2">
      <c r="B298" s="50" t="s">
        <v>389</v>
      </c>
      <c r="C298" s="51"/>
      <c r="D298" s="51">
        <f>'[2]комплекты фурнитуры'!Q10</f>
        <v>540</v>
      </c>
      <c r="E298" s="66">
        <v>1</v>
      </c>
      <c r="F298" s="52">
        <f>D298*E298</f>
        <v>540</v>
      </c>
      <c r="G298" s="53"/>
    </row>
    <row r="299" spans="1:11" x14ac:dyDescent="0.2">
      <c r="B299" s="50" t="s">
        <v>401</v>
      </c>
      <c r="C299" s="51"/>
      <c r="D299" s="51">
        <f>'[2]комплекты фурнитуры'!Q27</f>
        <v>270</v>
      </c>
      <c r="E299" s="66">
        <v>2</v>
      </c>
      <c r="F299" s="52">
        <f>D299*E299</f>
        <v>540</v>
      </c>
      <c r="G299" s="53"/>
    </row>
    <row r="300" spans="1:11" x14ac:dyDescent="0.2">
      <c r="B300" s="50" t="s">
        <v>426</v>
      </c>
      <c r="C300" s="51"/>
      <c r="D300" s="51">
        <f>'[2]комплекты фурнитуры'!Q30</f>
        <v>5810</v>
      </c>
      <c r="E300" s="66">
        <v>1</v>
      </c>
      <c r="F300" s="52">
        <f>D300*E300</f>
        <v>5810</v>
      </c>
      <c r="G300" s="53"/>
    </row>
    <row r="301" spans="1:11" x14ac:dyDescent="0.2">
      <c r="B301" s="50" t="s">
        <v>437</v>
      </c>
      <c r="C301" s="51"/>
      <c r="D301" s="51">
        <f>'[2]комплекты фурнитуры'!Q87</f>
        <v>390</v>
      </c>
      <c r="E301" s="66">
        <v>2</v>
      </c>
      <c r="F301" s="52">
        <f>D301*E301</f>
        <v>780</v>
      </c>
      <c r="G301" s="53"/>
    </row>
    <row r="302" spans="1:11" x14ac:dyDescent="0.2">
      <c r="B302" s="50" t="s">
        <v>420</v>
      </c>
      <c r="C302" s="51"/>
      <c r="D302" s="51">
        <f>'[2]комплекты фурнитуры'!Q29</f>
        <v>4750</v>
      </c>
      <c r="E302" s="66">
        <v>2</v>
      </c>
      <c r="F302" s="52">
        <f>D302*E302</f>
        <v>9500</v>
      </c>
      <c r="G302" s="53"/>
    </row>
    <row r="303" spans="1:11" x14ac:dyDescent="0.2">
      <c r="A303" s="31">
        <v>23</v>
      </c>
      <c r="B303" s="317" t="s">
        <v>27</v>
      </c>
      <c r="C303" s="55"/>
      <c r="D303" s="55"/>
      <c r="E303" s="55" t="s">
        <v>391</v>
      </c>
      <c r="F303" s="55" t="s">
        <v>392</v>
      </c>
      <c r="G303" s="55" t="s">
        <v>424</v>
      </c>
      <c r="H303" s="67"/>
    </row>
    <row r="304" spans="1:11" ht="15" x14ac:dyDescent="0.2">
      <c r="B304" s="317"/>
      <c r="C304" s="55">
        <v>300</v>
      </c>
      <c r="D304" s="55"/>
      <c r="E304" s="56">
        <f t="shared" ref="E304:E309" si="24">(((($D$297*$H$4-$D$297)/100)*$H304)+$D$297)+($F$298+$F$299+$F$300+$F$301+$F$302)</f>
        <v>20086</v>
      </c>
      <c r="F304" s="56"/>
      <c r="G304" s="56"/>
      <c r="H304" s="57"/>
    </row>
    <row r="305" spans="1:8" ht="15" x14ac:dyDescent="0.2">
      <c r="B305" s="317"/>
      <c r="C305" s="55">
        <v>350</v>
      </c>
      <c r="D305" s="55"/>
      <c r="E305" s="56">
        <f t="shared" si="24"/>
        <v>20180.77</v>
      </c>
      <c r="F305" s="56"/>
      <c r="G305" s="56"/>
      <c r="H305" s="57">
        <v>50</v>
      </c>
    </row>
    <row r="306" spans="1:8" ht="15" x14ac:dyDescent="0.2">
      <c r="B306" s="317"/>
      <c r="C306" s="55">
        <v>400</v>
      </c>
      <c r="D306" s="55"/>
      <c r="E306" s="56">
        <f t="shared" si="24"/>
        <v>20275.54</v>
      </c>
      <c r="F306" s="56"/>
      <c r="G306" s="56"/>
      <c r="H306" s="57">
        <v>100</v>
      </c>
    </row>
    <row r="307" spans="1:8" ht="15" x14ac:dyDescent="0.2">
      <c r="B307" s="317"/>
      <c r="C307" s="55">
        <v>450</v>
      </c>
      <c r="D307" s="55"/>
      <c r="E307" s="56">
        <f t="shared" si="24"/>
        <v>20370.310000000001</v>
      </c>
      <c r="F307" s="56"/>
      <c r="G307" s="56"/>
      <c r="H307" s="57">
        <v>150</v>
      </c>
    </row>
    <row r="308" spans="1:8" ht="15" x14ac:dyDescent="0.2">
      <c r="B308" s="317"/>
      <c r="C308" s="55">
        <v>500</v>
      </c>
      <c r="D308" s="55"/>
      <c r="E308" s="56">
        <f t="shared" si="24"/>
        <v>20465.080000000002</v>
      </c>
      <c r="F308" s="56"/>
      <c r="G308" s="56"/>
      <c r="H308" s="57">
        <v>200</v>
      </c>
    </row>
    <row r="309" spans="1:8" ht="15" x14ac:dyDescent="0.2">
      <c r="B309" s="317"/>
      <c r="C309" s="55">
        <v>600</v>
      </c>
      <c r="D309" s="55"/>
      <c r="E309" s="56">
        <f t="shared" si="24"/>
        <v>20654.62</v>
      </c>
      <c r="F309" s="56"/>
      <c r="G309" s="56"/>
      <c r="H309" s="57">
        <v>300</v>
      </c>
    </row>
    <row r="311" spans="1:8" ht="15" x14ac:dyDescent="0.2">
      <c r="D311" s="47" t="s">
        <v>384</v>
      </c>
      <c r="E311" s="47" t="s">
        <v>385</v>
      </c>
      <c r="F311" s="48" t="s">
        <v>386</v>
      </c>
      <c r="G311" s="63"/>
    </row>
    <row r="312" spans="1:8" x14ac:dyDescent="0.2">
      <c r="B312" s="50" t="s">
        <v>388</v>
      </c>
      <c r="C312" s="51"/>
      <c r="D312" s="66">
        <f>'[2]2 все модули и цены'!E13</f>
        <v>2224.8000000000002</v>
      </c>
      <c r="F312" s="52"/>
      <c r="G312" s="53"/>
    </row>
    <row r="313" spans="1:8" x14ac:dyDescent="0.2">
      <c r="B313" s="50" t="s">
        <v>389</v>
      </c>
      <c r="C313" s="51"/>
      <c r="D313" s="51">
        <f>'[2]комплекты фурнитуры'!Q10</f>
        <v>540</v>
      </c>
      <c r="E313" s="66">
        <v>1</v>
      </c>
      <c r="F313" s="52">
        <f t="shared" ref="F313:F319" si="25">D313*E313</f>
        <v>540</v>
      </c>
      <c r="G313" s="53"/>
    </row>
    <row r="314" spans="1:8" x14ac:dyDescent="0.2">
      <c r="B314" s="50" t="s">
        <v>401</v>
      </c>
      <c r="C314" s="51"/>
      <c r="D314" s="51">
        <f>'[2]комплекты фурнитуры'!Q27</f>
        <v>270</v>
      </c>
      <c r="E314" s="66">
        <v>2</v>
      </c>
      <c r="F314" s="52">
        <f t="shared" si="25"/>
        <v>540</v>
      </c>
      <c r="G314" s="53"/>
    </row>
    <row r="315" spans="1:8" x14ac:dyDescent="0.2">
      <c r="B315" s="50" t="s">
        <v>404</v>
      </c>
      <c r="C315" s="51"/>
      <c r="D315" s="51">
        <f>'[2]комплекты фурнитуры'!Q48</f>
        <v>11560</v>
      </c>
      <c r="E315" s="66">
        <v>1</v>
      </c>
      <c r="F315" s="52">
        <f t="shared" si="25"/>
        <v>11560</v>
      </c>
      <c r="G315" s="53"/>
    </row>
    <row r="316" spans="1:8" x14ac:dyDescent="0.2">
      <c r="B316" s="50" t="s">
        <v>405</v>
      </c>
      <c r="C316" s="51"/>
      <c r="D316" s="51">
        <f>'[2]комплекты фурнитуры'!Q50</f>
        <v>11370</v>
      </c>
      <c r="E316" s="66">
        <v>1</v>
      </c>
      <c r="F316" s="52">
        <f t="shared" si="25"/>
        <v>11370</v>
      </c>
      <c r="G316" s="53"/>
    </row>
    <row r="317" spans="1:8" x14ac:dyDescent="0.2">
      <c r="B317" s="68" t="s">
        <v>406</v>
      </c>
      <c r="D317" s="51">
        <f>'[2]комплекты фурнитуры'!Q50</f>
        <v>11370</v>
      </c>
      <c r="E317" s="69">
        <v>1</v>
      </c>
      <c r="F317" s="52">
        <f t="shared" si="25"/>
        <v>11370</v>
      </c>
    </row>
    <row r="318" spans="1:8" x14ac:dyDescent="0.2">
      <c r="B318" s="68" t="s">
        <v>437</v>
      </c>
      <c r="D318" s="51">
        <f>'[2]комплекты фурнитуры'!Q87</f>
        <v>390</v>
      </c>
      <c r="E318" s="69">
        <v>1</v>
      </c>
      <c r="F318" s="52">
        <f t="shared" si="25"/>
        <v>390</v>
      </c>
    </row>
    <row r="319" spans="1:8" x14ac:dyDescent="0.2">
      <c r="B319" s="68" t="s">
        <v>407</v>
      </c>
      <c r="D319" s="51">
        <f>'[2]комплекты фурнитуры'!Q91</f>
        <v>10</v>
      </c>
      <c r="E319" s="69">
        <v>2</v>
      </c>
      <c r="F319" s="52">
        <f t="shared" si="25"/>
        <v>20</v>
      </c>
    </row>
    <row r="320" spans="1:8" x14ac:dyDescent="0.2">
      <c r="A320" s="31">
        <v>24</v>
      </c>
      <c r="B320" s="317" t="s">
        <v>28</v>
      </c>
      <c r="C320" s="55"/>
      <c r="D320" s="55"/>
      <c r="E320" s="55" t="s">
        <v>391</v>
      </c>
      <c r="F320" s="55" t="s">
        <v>392</v>
      </c>
      <c r="G320" s="67"/>
    </row>
    <row r="321" spans="1:7" ht="15" x14ac:dyDescent="0.2">
      <c r="B321" s="317"/>
      <c r="C321" s="55">
        <v>150</v>
      </c>
      <c r="D321" s="55"/>
      <c r="E321" s="56">
        <f>$D$312-((($D$312*$H$4-$D$312)/100)*$G321)+($F$313+$D$314+$F$315+$F$318)</f>
        <v>14767.882</v>
      </c>
      <c r="F321" s="56"/>
      <c r="G321" s="57">
        <v>150</v>
      </c>
    </row>
    <row r="322" spans="1:7" ht="15" x14ac:dyDescent="0.2">
      <c r="B322" s="317"/>
      <c r="C322" s="55">
        <v>300</v>
      </c>
      <c r="D322" s="55"/>
      <c r="E322" s="56">
        <f>$D$312-((($D$312*$H$4-$D$312)/100)*$G322)+($F$313+$F$314+$F$316+$F$318+D319)</f>
        <v>15074.8</v>
      </c>
      <c r="F322" s="56"/>
      <c r="G322" s="57">
        <v>0</v>
      </c>
    </row>
    <row r="323" spans="1:7" ht="15" x14ac:dyDescent="0.2">
      <c r="B323" s="317"/>
      <c r="C323" s="55">
        <v>450</v>
      </c>
      <c r="D323" s="55"/>
      <c r="E323" s="56">
        <f>(((($D$312*$H$4-$D$312)/100)*$G323)+$D$312)+($F$313+$F$314+$F$317+$F$319+$F$318)</f>
        <v>15301.718000000001</v>
      </c>
      <c r="F323" s="56"/>
      <c r="G323" s="61">
        <v>150</v>
      </c>
    </row>
    <row r="325" spans="1:7" ht="15" x14ac:dyDescent="0.2">
      <c r="D325" s="47" t="s">
        <v>384</v>
      </c>
      <c r="E325" s="47" t="s">
        <v>385</v>
      </c>
      <c r="F325" s="48" t="s">
        <v>386</v>
      </c>
      <c r="G325" s="63"/>
    </row>
    <row r="326" spans="1:7" x14ac:dyDescent="0.2">
      <c r="B326" s="50" t="s">
        <v>388</v>
      </c>
      <c r="C326" s="51"/>
      <c r="D326" s="66">
        <f>'[2]2 все модули и цены'!E14</f>
        <v>2224.8000000000002</v>
      </c>
      <c r="F326" s="52"/>
      <c r="G326" s="53"/>
    </row>
    <row r="327" spans="1:7" x14ac:dyDescent="0.2">
      <c r="B327" s="50" t="s">
        <v>389</v>
      </c>
      <c r="C327" s="51"/>
      <c r="D327" s="51">
        <f>'[2]комплекты фурнитуры'!Q10</f>
        <v>540</v>
      </c>
      <c r="E327" s="66">
        <v>1</v>
      </c>
      <c r="F327" s="52">
        <f>D327*E327</f>
        <v>540</v>
      </c>
      <c r="G327" s="53"/>
    </row>
    <row r="328" spans="1:7" x14ac:dyDescent="0.2">
      <c r="B328" s="50" t="s">
        <v>436</v>
      </c>
      <c r="C328" s="51"/>
      <c r="D328" s="51">
        <f>'[2]комплекты фурнитуры'!Q68</f>
        <v>500</v>
      </c>
      <c r="E328" s="66">
        <v>2</v>
      </c>
      <c r="F328" s="52">
        <f>D328*E328</f>
        <v>1000</v>
      </c>
      <c r="G328" s="53"/>
    </row>
    <row r="329" spans="1:7" x14ac:dyDescent="0.2">
      <c r="B329" s="50" t="s">
        <v>401</v>
      </c>
      <c r="C329" s="51"/>
      <c r="D329" s="51">
        <f>'[2]комплекты фурнитуры'!Q27</f>
        <v>270</v>
      </c>
      <c r="E329" s="66">
        <v>2</v>
      </c>
      <c r="F329" s="52">
        <f>D329*E329</f>
        <v>540</v>
      </c>
      <c r="G329" s="53"/>
    </row>
    <row r="330" spans="1:7" x14ac:dyDescent="0.2">
      <c r="B330" s="68" t="s">
        <v>437</v>
      </c>
      <c r="C330" s="51"/>
      <c r="D330" s="51">
        <f>'[2]комплекты фурнитуры'!Q87</f>
        <v>390</v>
      </c>
      <c r="E330" s="66">
        <v>1</v>
      </c>
      <c r="F330" s="52">
        <f>D330*E330</f>
        <v>390</v>
      </c>
      <c r="G330" s="53"/>
    </row>
    <row r="331" spans="1:7" x14ac:dyDescent="0.2">
      <c r="A331" s="31">
        <v>25</v>
      </c>
      <c r="B331" s="317" t="s">
        <v>29</v>
      </c>
      <c r="C331" s="55"/>
      <c r="D331" s="55"/>
      <c r="E331" s="55" t="s">
        <v>391</v>
      </c>
      <c r="F331" s="55" t="s">
        <v>392</v>
      </c>
      <c r="G331" s="67"/>
    </row>
    <row r="332" spans="1:7" ht="15" x14ac:dyDescent="0.2">
      <c r="B332" s="317"/>
      <c r="C332" s="55">
        <v>450</v>
      </c>
      <c r="D332" s="55"/>
      <c r="E332" s="56">
        <f>((($D$326*$H$4-$D$326)/100)*$G332)+$D$326+($F$327+$F$328+$F$329+$F$330)</f>
        <v>4911.7180000000008</v>
      </c>
      <c r="F332" s="56"/>
      <c r="G332" s="57">
        <v>150</v>
      </c>
    </row>
    <row r="333" spans="1:7" ht="15" x14ac:dyDescent="0.2">
      <c r="B333" s="317"/>
      <c r="C333" s="55">
        <v>500</v>
      </c>
      <c r="D333" s="55"/>
      <c r="E333" s="56">
        <f>((($D$326*$H$4-$D$326)/100)*$G333)+$D$326+($F$327+$F$328+$F$329+$F$330)</f>
        <v>4984.0240000000003</v>
      </c>
      <c r="F333" s="56"/>
      <c r="G333" s="57">
        <v>200</v>
      </c>
    </row>
    <row r="334" spans="1:7" ht="15" x14ac:dyDescent="0.2">
      <c r="B334" s="317"/>
      <c r="C334" s="55">
        <v>600</v>
      </c>
      <c r="D334" s="55"/>
      <c r="E334" s="56">
        <f>((($D$326*$H$4-$D$326)/100)*$G334)+$D$326+($F$327+$F$328+$F$329+$F$330)</f>
        <v>5128.6360000000004</v>
      </c>
      <c r="F334" s="56"/>
      <c r="G334" s="57">
        <v>300</v>
      </c>
    </row>
    <row r="336" spans="1:7" ht="15" x14ac:dyDescent="0.2">
      <c r="D336" s="47" t="s">
        <v>384</v>
      </c>
      <c r="E336" s="47" t="s">
        <v>385</v>
      </c>
      <c r="F336" s="48" t="s">
        <v>386</v>
      </c>
      <c r="G336" s="63"/>
    </row>
    <row r="337" spans="1:7" x14ac:dyDescent="0.2">
      <c r="B337" s="50" t="s">
        <v>388</v>
      </c>
      <c r="C337" s="51"/>
      <c r="D337" s="66">
        <f>'[2]2 все модули и цены'!E15</f>
        <v>2224.8000000000002</v>
      </c>
      <c r="F337" s="52"/>
      <c r="G337" s="53"/>
    </row>
    <row r="338" spans="1:7" x14ac:dyDescent="0.2">
      <c r="B338" s="50" t="s">
        <v>389</v>
      </c>
      <c r="C338" s="51"/>
      <c r="D338" s="51">
        <f>'[2]комплекты фурнитуры'!Q10</f>
        <v>540</v>
      </c>
      <c r="E338" s="66">
        <v>1</v>
      </c>
      <c r="F338" s="52">
        <f>D338*E338</f>
        <v>540</v>
      </c>
      <c r="G338" s="53"/>
    </row>
    <row r="339" spans="1:7" x14ac:dyDescent="0.2">
      <c r="B339" s="50" t="s">
        <v>436</v>
      </c>
      <c r="C339" s="51"/>
      <c r="D339" s="51">
        <f>'[2]комплекты фурнитуры'!Q68</f>
        <v>500</v>
      </c>
      <c r="E339" s="66">
        <v>4</v>
      </c>
      <c r="F339" s="52">
        <f>D339*E339</f>
        <v>2000</v>
      </c>
      <c r="G339" s="53"/>
    </row>
    <row r="340" spans="1:7" x14ac:dyDescent="0.2">
      <c r="B340" s="50" t="s">
        <v>401</v>
      </c>
      <c r="C340" s="51"/>
      <c r="D340" s="51">
        <f>'[2]комплекты фурнитуры'!Q27</f>
        <v>270</v>
      </c>
      <c r="E340" s="66">
        <v>2</v>
      </c>
      <c r="F340" s="52">
        <f>D340*E340</f>
        <v>540</v>
      </c>
      <c r="G340" s="53"/>
    </row>
    <row r="341" spans="1:7" x14ac:dyDescent="0.2">
      <c r="B341" s="68" t="s">
        <v>437</v>
      </c>
      <c r="C341" s="51"/>
      <c r="D341" s="51">
        <f>'[2]комплекты фурнитуры'!Q87</f>
        <v>390</v>
      </c>
      <c r="E341" s="66">
        <v>1</v>
      </c>
      <c r="F341" s="52">
        <f>D341*E341</f>
        <v>390</v>
      </c>
      <c r="G341" s="53"/>
    </row>
    <row r="342" spans="1:7" x14ac:dyDescent="0.2">
      <c r="A342" s="31">
        <v>26</v>
      </c>
      <c r="B342" s="317" t="s">
        <v>30</v>
      </c>
      <c r="C342" s="55"/>
      <c r="D342" s="55"/>
      <c r="E342" s="55" t="s">
        <v>391</v>
      </c>
      <c r="F342" s="55" t="s">
        <v>392</v>
      </c>
      <c r="G342" s="67"/>
    </row>
    <row r="343" spans="1:7" ht="15" x14ac:dyDescent="0.2">
      <c r="B343" s="317"/>
      <c r="C343" s="55">
        <v>600</v>
      </c>
      <c r="D343" s="55"/>
      <c r="E343" s="56">
        <f>((($D$337*$H$4-$D$337)/100)*$G343)+$D$337+($F$338+$F$339+$F$340+$F$341)</f>
        <v>6128.6360000000004</v>
      </c>
      <c r="F343" s="56"/>
      <c r="G343" s="57">
        <v>300</v>
      </c>
    </row>
    <row r="344" spans="1:7" ht="15" x14ac:dyDescent="0.2">
      <c r="B344" s="317"/>
      <c r="C344" s="55">
        <v>700</v>
      </c>
      <c r="D344" s="55"/>
      <c r="E344" s="56">
        <f>((($D$337*$H$4-$D$337)/100)*$G344)+$D$337+($F$338+$F$339+$F$340+$F$341)</f>
        <v>6273.2480000000005</v>
      </c>
      <c r="F344" s="56"/>
      <c r="G344" s="57">
        <v>400</v>
      </c>
    </row>
    <row r="345" spans="1:7" ht="15" x14ac:dyDescent="0.2">
      <c r="B345" s="317"/>
      <c r="C345" s="55">
        <v>800</v>
      </c>
      <c r="D345" s="55"/>
      <c r="E345" s="56">
        <f>((($D$337*$H$4-$D$337)/100)*$G345)+$D$337+($F$338+$F$339+$F$340+$F$341)</f>
        <v>6417.8600000000006</v>
      </c>
      <c r="F345" s="56"/>
      <c r="G345" s="57">
        <v>500</v>
      </c>
    </row>
    <row r="346" spans="1:7" ht="15" x14ac:dyDescent="0.2">
      <c r="B346" s="317"/>
      <c r="C346" s="55">
        <v>900</v>
      </c>
      <c r="D346" s="55"/>
      <c r="E346" s="56">
        <f>((($D$337*$H$4-$D$337)/100)*$G346)+$D$337+($F$338+$F$339+$F$340+$F$341)</f>
        <v>6562.4720000000007</v>
      </c>
      <c r="F346" s="67"/>
      <c r="G346" s="57">
        <v>600</v>
      </c>
    </row>
    <row r="348" spans="1:7" ht="15" x14ac:dyDescent="0.2">
      <c r="D348" s="47" t="s">
        <v>384</v>
      </c>
      <c r="E348" s="47" t="s">
        <v>385</v>
      </c>
      <c r="F348" s="48" t="s">
        <v>386</v>
      </c>
      <c r="G348" s="63"/>
    </row>
    <row r="349" spans="1:7" x14ac:dyDescent="0.2">
      <c r="B349" s="50" t="s">
        <v>388</v>
      </c>
      <c r="C349" s="51"/>
      <c r="D349" s="66">
        <f>'[2]2 все модули и цены'!E20</f>
        <v>3315.6000000000004</v>
      </c>
      <c r="F349" s="52"/>
      <c r="G349" s="53"/>
    </row>
    <row r="350" spans="1:7" x14ac:dyDescent="0.2">
      <c r="B350" s="50" t="s">
        <v>410</v>
      </c>
      <c r="C350" s="51"/>
      <c r="D350" s="51">
        <f>'[2]комплекты фурнитуры'!Q13</f>
        <v>810</v>
      </c>
      <c r="E350" s="66">
        <v>1</v>
      </c>
      <c r="F350" s="52">
        <f>D350*E350</f>
        <v>810</v>
      </c>
      <c r="G350" s="53"/>
    </row>
    <row r="351" spans="1:7" x14ac:dyDescent="0.2">
      <c r="B351" s="71" t="s">
        <v>434</v>
      </c>
      <c r="C351" s="51"/>
      <c r="D351" s="51">
        <f>'[2]комплекты фурнитуры'!Q62</f>
        <v>1300</v>
      </c>
      <c r="E351" s="66">
        <v>2</v>
      </c>
      <c r="F351" s="52">
        <f>D351*E351</f>
        <v>2600</v>
      </c>
      <c r="G351" s="53"/>
    </row>
    <row r="352" spans="1:7" x14ac:dyDescent="0.2">
      <c r="B352" s="50" t="s">
        <v>401</v>
      </c>
      <c r="C352" s="51"/>
      <c r="D352" s="51">
        <f>'[2]комплекты фурнитуры'!Q27</f>
        <v>270</v>
      </c>
      <c r="E352" s="66">
        <v>2</v>
      </c>
      <c r="F352" s="52">
        <f>D352*E352</f>
        <v>540</v>
      </c>
      <c r="G352" s="53"/>
    </row>
    <row r="353" spans="1:7" x14ac:dyDescent="0.2">
      <c r="B353" s="68" t="s">
        <v>437</v>
      </c>
      <c r="C353" s="51"/>
      <c r="D353" s="51">
        <f>'[2]комплекты фурнитуры'!Q87</f>
        <v>390</v>
      </c>
      <c r="E353" s="66">
        <v>1</v>
      </c>
      <c r="F353" s="52">
        <f>D353*E353</f>
        <v>390</v>
      </c>
      <c r="G353" s="53"/>
    </row>
    <row r="354" spans="1:7" x14ac:dyDescent="0.2">
      <c r="B354" s="68" t="s">
        <v>413</v>
      </c>
      <c r="C354" s="51"/>
      <c r="D354" s="51">
        <f>'[2]комплекты фурнитуры'!Q85</f>
        <v>30</v>
      </c>
      <c r="E354" s="66">
        <v>1</v>
      </c>
      <c r="F354" s="52">
        <f>D354*E354</f>
        <v>30</v>
      </c>
      <c r="G354" s="53"/>
    </row>
    <row r="355" spans="1:7" x14ac:dyDescent="0.2">
      <c r="A355" s="31">
        <v>27</v>
      </c>
      <c r="B355" s="317" t="s">
        <v>196</v>
      </c>
      <c r="C355" s="55"/>
      <c r="D355" s="55"/>
      <c r="E355" s="55" t="s">
        <v>391</v>
      </c>
      <c r="F355" s="55" t="s">
        <v>392</v>
      </c>
      <c r="G355" s="67"/>
    </row>
    <row r="356" spans="1:7" ht="15" x14ac:dyDescent="0.2">
      <c r="B356" s="317"/>
      <c r="C356" s="55">
        <v>850</v>
      </c>
      <c r="D356" s="55"/>
      <c r="E356" s="56">
        <f>((($D$349*$H$4-$D$349)/100)*$G356)+$D$349+($F$350+$F$351+$F$352+$F$353+$F$354)</f>
        <v>7901.1139999999996</v>
      </c>
      <c r="F356" s="56"/>
      <c r="G356" s="57">
        <v>100</v>
      </c>
    </row>
    <row r="357" spans="1:7" ht="15" x14ac:dyDescent="0.2">
      <c r="B357" s="317"/>
      <c r="C357" s="55">
        <v>950</v>
      </c>
      <c r="D357" s="55"/>
      <c r="E357" s="56">
        <f>((($D$349*$H$4-$D$349)/100)*$G357)+$D$349+($F$350+$F$351+$F$352+$F$353+$F$354)</f>
        <v>8116.6279999999997</v>
      </c>
      <c r="F357" s="56"/>
      <c r="G357" s="57">
        <v>200</v>
      </c>
    </row>
    <row r="359" spans="1:7" ht="15" x14ac:dyDescent="0.2">
      <c r="D359" s="47" t="s">
        <v>384</v>
      </c>
      <c r="E359" s="47" t="s">
        <v>385</v>
      </c>
      <c r="F359" s="48" t="s">
        <v>386</v>
      </c>
      <c r="G359" s="63"/>
    </row>
    <row r="360" spans="1:7" x14ac:dyDescent="0.2">
      <c r="B360" s="50" t="s">
        <v>388</v>
      </c>
      <c r="C360" s="51"/>
      <c r="D360" s="66">
        <f>'[2]2 все модули и цены'!E37</f>
        <v>1640</v>
      </c>
      <c r="F360" s="52"/>
      <c r="G360" s="53"/>
    </row>
    <row r="361" spans="1:7" x14ac:dyDescent="0.2">
      <c r="B361" s="50" t="s">
        <v>438</v>
      </c>
      <c r="C361" s="51"/>
      <c r="D361" s="51">
        <f>'[2]комплекты фурнитуры'!Q25</f>
        <v>590</v>
      </c>
      <c r="E361" s="66">
        <v>1</v>
      </c>
      <c r="F361" s="52">
        <f>D361*E361</f>
        <v>590</v>
      </c>
      <c r="G361" s="53"/>
    </row>
    <row r="362" spans="1:7" x14ac:dyDescent="0.2">
      <c r="A362" s="31">
        <v>28</v>
      </c>
      <c r="B362" s="317" t="s">
        <v>31</v>
      </c>
      <c r="C362" s="55"/>
      <c r="D362" s="55"/>
      <c r="E362" s="55" t="s">
        <v>391</v>
      </c>
      <c r="F362" s="55" t="s">
        <v>392</v>
      </c>
      <c r="G362" s="67"/>
    </row>
    <row r="363" spans="1:7" ht="15" x14ac:dyDescent="0.2">
      <c r="B363" s="317"/>
      <c r="C363" s="55">
        <v>50</v>
      </c>
      <c r="D363" s="55"/>
      <c r="E363" s="56">
        <f>$D$360-((($D$360*$H$4-$D$360)/100)*$G363)+$F$361</f>
        <v>2176.6999999999998</v>
      </c>
      <c r="F363" s="56"/>
      <c r="G363" s="57">
        <v>50</v>
      </c>
    </row>
  </sheetData>
  <mergeCells count="28">
    <mergeCell ref="B331:B334"/>
    <mergeCell ref="B342:B346"/>
    <mergeCell ref="B355:B357"/>
    <mergeCell ref="B362:B363"/>
    <mergeCell ref="B253:B254"/>
    <mergeCell ref="B262:B268"/>
    <mergeCell ref="B276:B280"/>
    <mergeCell ref="B288:B294"/>
    <mergeCell ref="B303:B309"/>
    <mergeCell ref="B320:B323"/>
    <mergeCell ref="B243:B245"/>
    <mergeCell ref="B95:B97"/>
    <mergeCell ref="B106:B108"/>
    <mergeCell ref="B117:B120"/>
    <mergeCell ref="B129:B132"/>
    <mergeCell ref="B144:B150"/>
    <mergeCell ref="B162:B166"/>
    <mergeCell ref="B176:B182"/>
    <mergeCell ref="B195:B201"/>
    <mergeCell ref="B211:B217"/>
    <mergeCell ref="B225:B227"/>
    <mergeCell ref="B235:B237"/>
    <mergeCell ref="B82:B86"/>
    <mergeCell ref="B14:B20"/>
    <mergeCell ref="B29:B35"/>
    <mergeCell ref="B44:B48"/>
    <mergeCell ref="B58:B61"/>
    <mergeCell ref="B70:B73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920AFD-2556-4DB9-9FEA-368CB37C9EB7}">
  <sheetPr codeName="Лист19">
    <tabColor rgb="FFFFC000"/>
  </sheetPr>
  <dimension ref="A2:S97"/>
  <sheetViews>
    <sheetView zoomScaleNormal="100" workbookViewId="0">
      <pane xSplit="6" ySplit="8" topLeftCell="P81" activePane="bottomRight" state="frozen"/>
      <selection activeCell="T36" sqref="T36"/>
      <selection pane="topRight" activeCell="T36" sqref="T36"/>
      <selection pane="bottomLeft" activeCell="T36" sqref="T36"/>
      <selection pane="bottomRight" activeCell="P94" sqref="P94"/>
    </sheetView>
  </sheetViews>
  <sheetFormatPr defaultRowHeight="12" outlineLevelCol="1" x14ac:dyDescent="0.2"/>
  <cols>
    <col min="1" max="1" width="15.5703125" style="149" bestFit="1" customWidth="1"/>
    <col min="2" max="2" width="42.5703125" style="149" customWidth="1"/>
    <col min="3" max="3" width="23.140625" style="149" customWidth="1"/>
    <col min="4" max="4" width="7.5703125" style="149" customWidth="1"/>
    <col min="5" max="5" width="7" style="149" customWidth="1"/>
    <col min="6" max="6" width="7.7109375" style="149" customWidth="1"/>
    <col min="7" max="7" width="10.28515625" style="38" customWidth="1"/>
    <col min="8" max="8" width="9.5703125" style="149" customWidth="1"/>
    <col min="9" max="9" width="9.28515625" style="149" customWidth="1"/>
    <col min="10" max="10" width="12.140625" style="149" customWidth="1"/>
    <col min="11" max="11" width="9.28515625" style="149" customWidth="1"/>
    <col min="12" max="13" width="9.28515625" style="149" customWidth="1" outlineLevel="1"/>
    <col min="14" max="16" width="10.28515625" style="149" customWidth="1"/>
    <col min="17" max="18" width="15" style="149" customWidth="1"/>
    <col min="19" max="19" width="10" style="38" customWidth="1"/>
    <col min="20" max="16384" width="9.140625" style="149"/>
  </cols>
  <sheetData>
    <row r="2" spans="2:19" x14ac:dyDescent="0.2">
      <c r="P2" s="190"/>
      <c r="Q2" s="191">
        <f>SUM(Q10:Q27,Q29:Q37,Q41:Q50,Q59:Q76,Q78:Q94,Q95:Q97)</f>
        <v>187890.32</v>
      </c>
      <c r="R2" s="190"/>
    </row>
    <row r="3" spans="2:19" ht="12.75" customHeight="1" x14ac:dyDescent="0.2">
      <c r="B3" s="192"/>
      <c r="C3" s="192"/>
      <c r="D3" s="192"/>
      <c r="E3" s="192"/>
      <c r="F3" s="192"/>
      <c r="G3" s="193"/>
      <c r="H3" s="192"/>
      <c r="I3" s="192"/>
      <c r="J3" s="192"/>
      <c r="K3" s="192"/>
      <c r="L3" s="192"/>
      <c r="M3" s="192"/>
      <c r="N3" s="192"/>
      <c r="O3" s="192"/>
      <c r="P3" s="192"/>
      <c r="Q3" s="192"/>
      <c r="R3" s="192"/>
    </row>
    <row r="4" spans="2:19" ht="12.75" customHeight="1" x14ac:dyDescent="0.2">
      <c r="B4" s="192"/>
      <c r="C4" s="192"/>
      <c r="D4" s="192"/>
      <c r="E4" s="192"/>
      <c r="F4" s="192"/>
      <c r="G4" s="194" t="s">
        <v>629</v>
      </c>
      <c r="H4" s="192">
        <f>219*1.0351</f>
        <v>226.68689999999998</v>
      </c>
      <c r="I4" s="192"/>
      <c r="J4" s="192"/>
      <c r="K4" s="192"/>
      <c r="L4" s="192"/>
      <c r="M4" s="192"/>
      <c r="N4" s="192"/>
      <c r="O4" s="192"/>
      <c r="P4" s="192">
        <v>1.04</v>
      </c>
      <c r="Q4" s="33">
        <v>1</v>
      </c>
      <c r="R4" s="142" t="s">
        <v>630</v>
      </c>
    </row>
    <row r="5" spans="2:19" ht="12.75" x14ac:dyDescent="0.2">
      <c r="P5" s="192">
        <v>1.04</v>
      </c>
      <c r="Q5" s="33">
        <v>1</v>
      </c>
      <c r="R5" s="142" t="s">
        <v>631</v>
      </c>
    </row>
    <row r="6" spans="2:19" x14ac:dyDescent="0.2">
      <c r="K6" s="195"/>
      <c r="L6" s="195"/>
      <c r="M6" s="195"/>
    </row>
    <row r="7" spans="2:19" ht="23.25" customHeight="1" x14ac:dyDescent="0.2">
      <c r="B7" s="333" t="s">
        <v>632</v>
      </c>
      <c r="C7" s="333" t="s">
        <v>633</v>
      </c>
      <c r="D7" s="333" t="s">
        <v>634</v>
      </c>
      <c r="E7" s="333"/>
      <c r="F7" s="333"/>
      <c r="G7" s="334" t="s">
        <v>635</v>
      </c>
      <c r="H7" s="334" t="s">
        <v>636</v>
      </c>
      <c r="I7" s="196" t="s">
        <v>637</v>
      </c>
      <c r="J7" s="336" t="s">
        <v>638</v>
      </c>
      <c r="K7" s="196" t="s">
        <v>639</v>
      </c>
      <c r="L7" s="196" t="s">
        <v>640</v>
      </c>
      <c r="M7" s="196" t="s">
        <v>641</v>
      </c>
      <c r="N7" s="333" t="s">
        <v>642</v>
      </c>
      <c r="O7" s="196"/>
      <c r="P7" s="196" t="s">
        <v>643</v>
      </c>
      <c r="Q7" s="334" t="s">
        <v>644</v>
      </c>
      <c r="R7" s="334" t="s">
        <v>645</v>
      </c>
      <c r="S7" s="334" t="s">
        <v>646</v>
      </c>
    </row>
    <row r="8" spans="2:19" ht="12" customHeight="1" x14ac:dyDescent="0.2">
      <c r="B8" s="333"/>
      <c r="C8" s="333"/>
      <c r="D8" s="196"/>
      <c r="E8" s="196"/>
      <c r="F8" s="196"/>
      <c r="G8" s="335"/>
      <c r="H8" s="335"/>
      <c r="I8" s="197">
        <v>0.26</v>
      </c>
      <c r="J8" s="336"/>
      <c r="K8" s="198">
        <v>0.26</v>
      </c>
      <c r="L8" s="199">
        <v>0</v>
      </c>
      <c r="M8" s="200">
        <v>0</v>
      </c>
      <c r="N8" s="333"/>
      <c r="O8" s="196"/>
      <c r="P8" s="198">
        <v>0.25</v>
      </c>
      <c r="Q8" s="335"/>
      <c r="R8" s="335"/>
      <c r="S8" s="335"/>
    </row>
    <row r="9" spans="2:19" ht="12" customHeight="1" x14ac:dyDescent="0.2">
      <c r="B9" s="319" t="s">
        <v>647</v>
      </c>
      <c r="C9" s="320"/>
      <c r="D9" s="320"/>
      <c r="E9" s="320"/>
      <c r="F9" s="320"/>
      <c r="G9" s="320"/>
      <c r="H9" s="320"/>
      <c r="I9" s="320"/>
      <c r="J9" s="320"/>
      <c r="K9" s="320"/>
      <c r="L9" s="320"/>
      <c r="M9" s="320"/>
      <c r="N9" s="320"/>
      <c r="O9" s="320"/>
      <c r="P9" s="320"/>
      <c r="Q9" s="320"/>
    </row>
    <row r="10" spans="2:19" x14ac:dyDescent="0.2">
      <c r="B10" s="201" t="s">
        <v>389</v>
      </c>
      <c r="C10" s="201"/>
      <c r="D10" s="202"/>
      <c r="E10" s="202"/>
      <c r="F10" s="202"/>
      <c r="G10" s="203">
        <f>'[2]КФ корпуса'!G29</f>
        <v>181.07261333333338</v>
      </c>
      <c r="H10" s="204">
        <f>$H$4/60</f>
        <v>3.7781149999999997</v>
      </c>
      <c r="I10" s="203">
        <f t="shared" ref="I10:I27" si="0">H10*$I$8</f>
        <v>0.98230989999999996</v>
      </c>
      <c r="J10" s="203">
        <f t="shared" ref="J10:J27" si="1">SUM(G10:I10)</f>
        <v>185.83303823333338</v>
      </c>
      <c r="K10" s="203">
        <f t="shared" ref="K10:K27" si="2">$K$8*G10</f>
        <v>47.078879466666677</v>
      </c>
      <c r="L10" s="203"/>
      <c r="M10" s="203"/>
      <c r="N10" s="203">
        <f t="shared" ref="N10:N27" si="3">SUM(J10:M10)</f>
        <v>232.91191770000006</v>
      </c>
      <c r="O10" s="205">
        <v>0.8</v>
      </c>
      <c r="P10" s="191">
        <f>(N10*O10+N10)*1.2*$P$4*$P$5</f>
        <v>544.14186519813131</v>
      </c>
      <c r="Q10" s="191">
        <f>MROUND(P10,10)*Q4</f>
        <v>540</v>
      </c>
      <c r="R10" s="191">
        <v>500</v>
      </c>
      <c r="S10" s="206">
        <f>Q10/R10-1</f>
        <v>8.0000000000000071E-2</v>
      </c>
    </row>
    <row r="11" spans="2:19" x14ac:dyDescent="0.2">
      <c r="B11" s="201" t="s">
        <v>409</v>
      </c>
      <c r="C11" s="201"/>
      <c r="D11" s="202"/>
      <c r="E11" s="202"/>
      <c r="F11" s="202"/>
      <c r="G11" s="203">
        <f>'[2]КФ корпуса'!G37</f>
        <v>151.44594666666671</v>
      </c>
      <c r="H11" s="204">
        <f t="shared" ref="H11:H27" si="4">$H$4/60</f>
        <v>3.7781149999999997</v>
      </c>
      <c r="I11" s="203">
        <f t="shared" si="0"/>
        <v>0.98230989999999996</v>
      </c>
      <c r="J11" s="203">
        <f t="shared" si="1"/>
        <v>156.20637156666672</v>
      </c>
      <c r="K11" s="203">
        <f t="shared" si="2"/>
        <v>39.37594613333335</v>
      </c>
      <c r="L11" s="203"/>
      <c r="M11" s="203"/>
      <c r="N11" s="203">
        <f t="shared" si="3"/>
        <v>195.58231770000006</v>
      </c>
      <c r="O11" s="205">
        <v>0.8</v>
      </c>
      <c r="P11" s="191">
        <f t="shared" ref="P11:P27" si="5">(N11*O11+N11)*1.2*$P$4*$P$5</f>
        <v>456.93036322053143</v>
      </c>
      <c r="Q11" s="191">
        <f>MROUND(P11,10)*Q4</f>
        <v>460</v>
      </c>
      <c r="R11" s="191">
        <v>420</v>
      </c>
      <c r="S11" s="206">
        <f t="shared" ref="S11:S83" si="6">Q11/R11-1</f>
        <v>9.5238095238095344E-2</v>
      </c>
    </row>
    <row r="12" spans="2:19" x14ac:dyDescent="0.2">
      <c r="B12" s="201" t="s">
        <v>648</v>
      </c>
      <c r="C12" s="201"/>
      <c r="D12" s="202"/>
      <c r="E12" s="202"/>
      <c r="F12" s="202"/>
      <c r="G12" s="203">
        <f>'[2]КФ корпуса'!G46</f>
        <v>184.34368333333339</v>
      </c>
      <c r="H12" s="204">
        <f t="shared" si="4"/>
        <v>3.7781149999999997</v>
      </c>
      <c r="I12" s="203">
        <f t="shared" si="0"/>
        <v>0.98230989999999996</v>
      </c>
      <c r="J12" s="203">
        <f t="shared" si="1"/>
        <v>189.10410823333339</v>
      </c>
      <c r="K12" s="203">
        <f t="shared" si="2"/>
        <v>47.929357666666682</v>
      </c>
      <c r="L12" s="203"/>
      <c r="M12" s="203"/>
      <c r="N12" s="203">
        <f t="shared" si="3"/>
        <v>237.03346590000007</v>
      </c>
      <c r="O12" s="205">
        <v>0.8</v>
      </c>
      <c r="P12" s="191">
        <f t="shared" si="5"/>
        <v>553.77085690967056</v>
      </c>
      <c r="Q12" s="191">
        <f>MROUND(P12,10)*Q4</f>
        <v>550</v>
      </c>
      <c r="R12" s="191">
        <v>510</v>
      </c>
      <c r="S12" s="206">
        <f t="shared" si="6"/>
        <v>7.8431372549019551E-2</v>
      </c>
    </row>
    <row r="13" spans="2:19" x14ac:dyDescent="0.2">
      <c r="B13" s="201" t="s">
        <v>410</v>
      </c>
      <c r="C13" s="201"/>
      <c r="D13" s="202"/>
      <c r="E13" s="202"/>
      <c r="F13" s="202"/>
      <c r="G13" s="203">
        <f>'[2]КФ корпуса'!G57</f>
        <v>269.82428000000004</v>
      </c>
      <c r="H13" s="204">
        <f t="shared" si="4"/>
        <v>3.7781149999999997</v>
      </c>
      <c r="I13" s="203">
        <f t="shared" si="0"/>
        <v>0.98230989999999996</v>
      </c>
      <c r="J13" s="203">
        <f t="shared" si="1"/>
        <v>274.58470490000008</v>
      </c>
      <c r="K13" s="203">
        <f t="shared" si="2"/>
        <v>70.154312800000014</v>
      </c>
      <c r="L13" s="203"/>
      <c r="M13" s="203"/>
      <c r="N13" s="203">
        <f t="shared" si="3"/>
        <v>344.73901770000009</v>
      </c>
      <c r="O13" s="205">
        <v>0.8</v>
      </c>
      <c r="P13" s="191">
        <f t="shared" si="5"/>
        <v>805.39859853573159</v>
      </c>
      <c r="Q13" s="191">
        <f>MROUND(P13,10)*Q4</f>
        <v>810</v>
      </c>
      <c r="R13" s="191">
        <v>740</v>
      </c>
      <c r="S13" s="206">
        <f t="shared" si="6"/>
        <v>9.4594594594594517E-2</v>
      </c>
    </row>
    <row r="14" spans="2:19" x14ac:dyDescent="0.2">
      <c r="B14" s="201" t="s">
        <v>649</v>
      </c>
      <c r="C14" s="201"/>
      <c r="D14" s="202"/>
      <c r="E14" s="202"/>
      <c r="F14" s="202"/>
      <c r="G14" s="203">
        <f>'[2]КФ корпуса'!G66</f>
        <v>233.5151133333334</v>
      </c>
      <c r="H14" s="204">
        <f t="shared" si="4"/>
        <v>3.7781149999999997</v>
      </c>
      <c r="I14" s="203">
        <f t="shared" si="0"/>
        <v>0.98230989999999996</v>
      </c>
      <c r="J14" s="203">
        <f t="shared" si="1"/>
        <v>238.27553823333338</v>
      </c>
      <c r="K14" s="203">
        <f t="shared" si="2"/>
        <v>60.713929466666684</v>
      </c>
      <c r="L14" s="203"/>
      <c r="M14" s="203"/>
      <c r="N14" s="203">
        <f t="shared" si="3"/>
        <v>298.98946770000009</v>
      </c>
      <c r="O14" s="205">
        <v>0.8</v>
      </c>
      <c r="P14" s="191">
        <f t="shared" si="5"/>
        <v>698.51593785093144</v>
      </c>
      <c r="Q14" s="191">
        <f>MROUND(P14,10)*Q4</f>
        <v>700</v>
      </c>
      <c r="R14" s="191">
        <v>650</v>
      </c>
      <c r="S14" s="206">
        <f t="shared" si="6"/>
        <v>7.6923076923076872E-2</v>
      </c>
    </row>
    <row r="15" spans="2:19" x14ac:dyDescent="0.2">
      <c r="B15" s="201" t="s">
        <v>415</v>
      </c>
      <c r="C15" s="201"/>
      <c r="D15" s="202"/>
      <c r="E15" s="202"/>
      <c r="F15" s="202"/>
      <c r="G15" s="203">
        <f>'[2]КФ корпуса'!G75</f>
        <v>249.18094666666673</v>
      </c>
      <c r="H15" s="204">
        <f t="shared" si="4"/>
        <v>3.7781149999999997</v>
      </c>
      <c r="I15" s="203">
        <f t="shared" si="0"/>
        <v>0.98230989999999996</v>
      </c>
      <c r="J15" s="203">
        <f t="shared" si="1"/>
        <v>253.94137156666673</v>
      </c>
      <c r="K15" s="203">
        <f t="shared" si="2"/>
        <v>64.787046133333348</v>
      </c>
      <c r="L15" s="203"/>
      <c r="M15" s="203"/>
      <c r="N15" s="203">
        <f t="shared" si="3"/>
        <v>318.72841770000008</v>
      </c>
      <c r="O15" s="205">
        <v>0.8</v>
      </c>
      <c r="P15" s="191">
        <f t="shared" si="5"/>
        <v>744.63117822213144</v>
      </c>
      <c r="Q15" s="191">
        <f>MROUND(P15,10)*Q4</f>
        <v>740</v>
      </c>
      <c r="R15" s="191">
        <v>690</v>
      </c>
      <c r="S15" s="206">
        <f t="shared" si="6"/>
        <v>7.2463768115942129E-2</v>
      </c>
    </row>
    <row r="16" spans="2:19" x14ac:dyDescent="0.2">
      <c r="B16" s="201" t="s">
        <v>417</v>
      </c>
      <c r="C16" s="201"/>
      <c r="D16" s="202"/>
      <c r="E16" s="202"/>
      <c r="F16" s="202"/>
      <c r="G16" s="203">
        <f>'[2]КФ корпуса'!G83</f>
        <v>315.93463000000008</v>
      </c>
      <c r="H16" s="204">
        <f t="shared" si="4"/>
        <v>3.7781149999999997</v>
      </c>
      <c r="I16" s="203">
        <f t="shared" si="0"/>
        <v>0.98230989999999996</v>
      </c>
      <c r="J16" s="203">
        <f t="shared" si="1"/>
        <v>320.69505490000012</v>
      </c>
      <c r="K16" s="203">
        <f t="shared" si="2"/>
        <v>82.143003800000031</v>
      </c>
      <c r="L16" s="203"/>
      <c r="M16" s="203"/>
      <c r="N16" s="203">
        <f t="shared" si="3"/>
        <v>402.83805870000015</v>
      </c>
      <c r="O16" s="205">
        <v>0.8</v>
      </c>
      <c r="P16" s="191">
        <f t="shared" si="5"/>
        <v>941.1328316662275</v>
      </c>
      <c r="Q16" s="191">
        <f>MROUND(P16,10)*Q4</f>
        <v>940</v>
      </c>
      <c r="R16" s="191">
        <v>870</v>
      </c>
      <c r="S16" s="206">
        <f t="shared" si="6"/>
        <v>8.0459770114942541E-2</v>
      </c>
    </row>
    <row r="17" spans="1:19" x14ac:dyDescent="0.2">
      <c r="B17" s="201" t="s">
        <v>650</v>
      </c>
      <c r="C17" s="201"/>
      <c r="D17" s="202"/>
      <c r="E17" s="202"/>
      <c r="F17" s="202"/>
      <c r="G17" s="203">
        <f>'[2]КФ корпуса'!G92</f>
        <v>250.13915666666671</v>
      </c>
      <c r="H17" s="204">
        <f t="shared" si="4"/>
        <v>3.7781149999999997</v>
      </c>
      <c r="I17" s="203">
        <f t="shared" si="0"/>
        <v>0.98230989999999996</v>
      </c>
      <c r="J17" s="203">
        <f t="shared" si="1"/>
        <v>254.89958156666668</v>
      </c>
      <c r="K17" s="203">
        <f t="shared" si="2"/>
        <v>65.036180733333353</v>
      </c>
      <c r="L17" s="203"/>
      <c r="M17" s="203"/>
      <c r="N17" s="203">
        <f t="shared" si="3"/>
        <v>319.93576230000002</v>
      </c>
      <c r="O17" s="205">
        <v>0.8</v>
      </c>
      <c r="P17" s="191">
        <f t="shared" si="5"/>
        <v>747.45184428794892</v>
      </c>
      <c r="Q17" s="191">
        <f>MROUND(P17,10)*Q4</f>
        <v>750</v>
      </c>
      <c r="R17" s="191">
        <v>690</v>
      </c>
      <c r="S17" s="206">
        <f t="shared" si="6"/>
        <v>8.6956521739130377E-2</v>
      </c>
    </row>
    <row r="18" spans="1:19" x14ac:dyDescent="0.2">
      <c r="B18" s="201" t="s">
        <v>432</v>
      </c>
      <c r="C18" s="201"/>
      <c r="D18" s="202"/>
      <c r="E18" s="202"/>
      <c r="F18" s="202"/>
      <c r="G18" s="203">
        <f>'[2]КФ корпуса'!G101</f>
        <v>215.67535000000007</v>
      </c>
      <c r="H18" s="204">
        <f t="shared" si="4"/>
        <v>3.7781149999999997</v>
      </c>
      <c r="I18" s="203">
        <f t="shared" si="0"/>
        <v>0.98230989999999996</v>
      </c>
      <c r="J18" s="203">
        <f t="shared" si="1"/>
        <v>220.43577490000004</v>
      </c>
      <c r="K18" s="203">
        <f t="shared" si="2"/>
        <v>56.075591000000017</v>
      </c>
      <c r="L18" s="203"/>
      <c r="M18" s="203"/>
      <c r="N18" s="203">
        <f t="shared" si="3"/>
        <v>276.51136590000004</v>
      </c>
      <c r="O18" s="205">
        <v>0.8</v>
      </c>
      <c r="P18" s="191">
        <f t="shared" si="5"/>
        <v>646.00133765207056</v>
      </c>
      <c r="Q18" s="191">
        <f>MROUND(P18,10)*Q4</f>
        <v>650</v>
      </c>
      <c r="R18" s="191">
        <v>600</v>
      </c>
      <c r="S18" s="206">
        <f t="shared" si="6"/>
        <v>8.3333333333333259E-2</v>
      </c>
    </row>
    <row r="19" spans="1:19" x14ac:dyDescent="0.2">
      <c r="B19" s="201" t="s">
        <v>463</v>
      </c>
      <c r="C19" s="201"/>
      <c r="D19" s="202"/>
      <c r="E19" s="202"/>
      <c r="F19" s="202"/>
      <c r="G19" s="203">
        <f>'[2]КФ корпуса'!G108</f>
        <v>283.03689333333341</v>
      </c>
      <c r="H19" s="204">
        <f t="shared" si="4"/>
        <v>3.7781149999999997</v>
      </c>
      <c r="I19" s="203">
        <f t="shared" si="0"/>
        <v>0.98230989999999996</v>
      </c>
      <c r="J19" s="203">
        <f t="shared" si="1"/>
        <v>287.79731823333344</v>
      </c>
      <c r="K19" s="203">
        <f t="shared" si="2"/>
        <v>73.589592266666685</v>
      </c>
      <c r="L19" s="203"/>
      <c r="M19" s="203"/>
      <c r="N19" s="203">
        <f t="shared" si="3"/>
        <v>361.38691050000011</v>
      </c>
      <c r="O19" s="205">
        <v>0.8</v>
      </c>
      <c r="P19" s="191">
        <f t="shared" si="5"/>
        <v>844.29233797708832</v>
      </c>
      <c r="Q19" s="191">
        <f>MROUND(P19,10)*Q4</f>
        <v>840</v>
      </c>
      <c r="R19" s="191">
        <v>780</v>
      </c>
      <c r="S19" s="206">
        <f t="shared" si="6"/>
        <v>7.6923076923076872E-2</v>
      </c>
    </row>
    <row r="20" spans="1:19" x14ac:dyDescent="0.2">
      <c r="B20" s="201" t="s">
        <v>430</v>
      </c>
      <c r="C20" s="201"/>
      <c r="D20" s="202"/>
      <c r="E20" s="202"/>
      <c r="F20" s="202"/>
      <c r="G20" s="203">
        <f>'[2]КФ корпуса'!G117</f>
        <v>246.86808666666673</v>
      </c>
      <c r="H20" s="204">
        <f t="shared" si="4"/>
        <v>3.7781149999999997</v>
      </c>
      <c r="I20" s="203">
        <f t="shared" si="0"/>
        <v>0.98230989999999996</v>
      </c>
      <c r="J20" s="203">
        <f t="shared" si="1"/>
        <v>251.62851156666673</v>
      </c>
      <c r="K20" s="203">
        <f t="shared" si="2"/>
        <v>64.185702533333355</v>
      </c>
      <c r="L20" s="203"/>
      <c r="M20" s="203"/>
      <c r="N20" s="203">
        <f t="shared" si="3"/>
        <v>315.81421410000007</v>
      </c>
      <c r="O20" s="205">
        <v>0.8</v>
      </c>
      <c r="P20" s="191">
        <f t="shared" si="5"/>
        <v>737.82285257640979</v>
      </c>
      <c r="Q20" s="191">
        <f>MROUND(P20,10)*Q4</f>
        <v>740</v>
      </c>
      <c r="R20" s="191">
        <v>680</v>
      </c>
      <c r="S20" s="206">
        <f t="shared" si="6"/>
        <v>8.8235294117646967E-2</v>
      </c>
    </row>
    <row r="21" spans="1:19" x14ac:dyDescent="0.2">
      <c r="B21" s="201" t="s">
        <v>489</v>
      </c>
      <c r="C21" s="201"/>
      <c r="D21" s="202"/>
      <c r="E21" s="202"/>
      <c r="F21" s="202"/>
      <c r="G21" s="203">
        <f>'[2]КФ корпуса'!G126</f>
        <v>312.66356000000013</v>
      </c>
      <c r="H21" s="204">
        <f t="shared" si="4"/>
        <v>3.7781149999999997</v>
      </c>
      <c r="I21" s="203">
        <f t="shared" si="0"/>
        <v>0.98230989999999996</v>
      </c>
      <c r="J21" s="203">
        <f t="shared" si="1"/>
        <v>317.42398490000016</v>
      </c>
      <c r="K21" s="203">
        <f t="shared" si="2"/>
        <v>81.292525600000033</v>
      </c>
      <c r="L21" s="203"/>
      <c r="M21" s="203"/>
      <c r="N21" s="203">
        <f t="shared" si="3"/>
        <v>398.7165105000002</v>
      </c>
      <c r="O21" s="205">
        <v>0.8</v>
      </c>
      <c r="P21" s="191">
        <f t="shared" si="5"/>
        <v>931.5038399546886</v>
      </c>
      <c r="Q21" s="191">
        <f>MROUND(P21,10)*Q4</f>
        <v>930</v>
      </c>
      <c r="R21" s="191">
        <v>860</v>
      </c>
      <c r="S21" s="206">
        <f t="shared" si="6"/>
        <v>8.1395348837209225E-2</v>
      </c>
    </row>
    <row r="22" spans="1:19" x14ac:dyDescent="0.2">
      <c r="B22" s="201" t="s">
        <v>448</v>
      </c>
      <c r="C22" s="201"/>
      <c r="D22" s="202"/>
      <c r="E22" s="202"/>
      <c r="F22" s="202"/>
      <c r="G22" s="203">
        <f>'[2]КФ корпуса'!G136</f>
        <v>378.45903333333348</v>
      </c>
      <c r="H22" s="204">
        <f t="shared" si="4"/>
        <v>3.7781149999999997</v>
      </c>
      <c r="I22" s="203">
        <f t="shared" si="0"/>
        <v>0.98230989999999996</v>
      </c>
      <c r="J22" s="203">
        <f t="shared" si="1"/>
        <v>383.21945823333351</v>
      </c>
      <c r="K22" s="203">
        <f t="shared" si="2"/>
        <v>98.399348666666711</v>
      </c>
      <c r="L22" s="203"/>
      <c r="M22" s="203"/>
      <c r="N22" s="203">
        <f t="shared" si="3"/>
        <v>481.61880690000021</v>
      </c>
      <c r="O22" s="205">
        <v>0.8</v>
      </c>
      <c r="P22" s="191">
        <f t="shared" si="5"/>
        <v>1125.1848273329672</v>
      </c>
      <c r="Q22" s="191">
        <f>MROUND(P22,10)*Q4</f>
        <v>1130</v>
      </c>
      <c r="R22" s="191">
        <v>1040</v>
      </c>
      <c r="S22" s="206">
        <f t="shared" si="6"/>
        <v>8.6538461538461453E-2</v>
      </c>
    </row>
    <row r="23" spans="1:19" x14ac:dyDescent="0.2">
      <c r="B23" s="201" t="s">
        <v>651</v>
      </c>
      <c r="C23" s="201"/>
      <c r="D23" s="202"/>
      <c r="E23" s="202"/>
      <c r="F23" s="202"/>
      <c r="G23" s="203">
        <f>'[2]КФ корпуса'!G146</f>
        <v>110.78547333333337</v>
      </c>
      <c r="H23" s="204">
        <f t="shared" si="4"/>
        <v>3.7781149999999997</v>
      </c>
      <c r="I23" s="203">
        <f t="shared" si="0"/>
        <v>0.98230989999999996</v>
      </c>
      <c r="J23" s="203">
        <f t="shared" si="1"/>
        <v>115.54589823333338</v>
      </c>
      <c r="K23" s="203">
        <f t="shared" si="2"/>
        <v>28.804223066666676</v>
      </c>
      <c r="L23" s="203"/>
      <c r="M23" s="203"/>
      <c r="N23" s="203">
        <f t="shared" si="3"/>
        <v>144.35012130000004</v>
      </c>
      <c r="O23" s="205">
        <v>0.8</v>
      </c>
      <c r="P23" s="191">
        <f t="shared" si="5"/>
        <v>337.23883698785295</v>
      </c>
      <c r="Q23" s="191">
        <f>MROUND(P23,10)*Q4</f>
        <v>340</v>
      </c>
      <c r="R23" s="191">
        <v>310</v>
      </c>
      <c r="S23" s="206">
        <f t="shared" si="6"/>
        <v>9.6774193548387011E-2</v>
      </c>
    </row>
    <row r="24" spans="1:19" x14ac:dyDescent="0.2">
      <c r="B24" s="201" t="s">
        <v>450</v>
      </c>
      <c r="C24" s="201"/>
      <c r="D24" s="202"/>
      <c r="E24" s="202"/>
      <c r="F24" s="202"/>
      <c r="G24" s="203">
        <f>'[2]КФ корпуса'!G155</f>
        <v>251.76796333333337</v>
      </c>
      <c r="H24" s="204">
        <f t="shared" si="4"/>
        <v>3.7781149999999997</v>
      </c>
      <c r="I24" s="203">
        <f t="shared" si="0"/>
        <v>0.98230989999999996</v>
      </c>
      <c r="J24" s="203">
        <f t="shared" si="1"/>
        <v>256.52838823333337</v>
      </c>
      <c r="K24" s="203">
        <f t="shared" si="2"/>
        <v>65.45967046666668</v>
      </c>
      <c r="L24" s="203"/>
      <c r="M24" s="203"/>
      <c r="N24" s="203">
        <f t="shared" si="3"/>
        <v>321.98805870000007</v>
      </c>
      <c r="O24" s="205">
        <v>0.8</v>
      </c>
      <c r="P24" s="191">
        <f t="shared" si="5"/>
        <v>752.24653406622735</v>
      </c>
      <c r="Q24" s="191">
        <f>MROUND(P24,10)*Q4</f>
        <v>750</v>
      </c>
      <c r="R24" s="191">
        <v>700</v>
      </c>
      <c r="S24" s="206">
        <f t="shared" si="6"/>
        <v>7.1428571428571397E-2</v>
      </c>
    </row>
    <row r="25" spans="1:19" x14ac:dyDescent="0.2">
      <c r="B25" s="201" t="s">
        <v>438</v>
      </c>
      <c r="C25" s="201"/>
      <c r="D25" s="202"/>
      <c r="E25" s="202"/>
      <c r="F25" s="202"/>
      <c r="G25" s="203">
        <f>'[2]КФ корпуса'!G166</f>
        <v>197.66714000000005</v>
      </c>
      <c r="H25" s="204">
        <f t="shared" si="4"/>
        <v>3.7781149999999997</v>
      </c>
      <c r="I25" s="203">
        <f t="shared" si="0"/>
        <v>0.98230989999999996</v>
      </c>
      <c r="J25" s="203">
        <f t="shared" si="1"/>
        <v>202.42756490000002</v>
      </c>
      <c r="K25" s="203">
        <f t="shared" si="2"/>
        <v>51.393456400000012</v>
      </c>
      <c r="L25" s="203"/>
      <c r="M25" s="203"/>
      <c r="N25" s="203">
        <f t="shared" si="3"/>
        <v>253.82102130000004</v>
      </c>
      <c r="O25" s="205">
        <v>0.8</v>
      </c>
      <c r="P25" s="191">
        <f t="shared" si="5"/>
        <v>592.99088393825298</v>
      </c>
      <c r="Q25" s="191">
        <f>MROUND(P25,10)*Q4</f>
        <v>590</v>
      </c>
      <c r="R25" s="191">
        <v>550</v>
      </c>
      <c r="S25" s="206">
        <f t="shared" si="6"/>
        <v>7.2727272727272751E-2</v>
      </c>
    </row>
    <row r="26" spans="1:19" x14ac:dyDescent="0.2">
      <c r="B26" s="201" t="s">
        <v>401</v>
      </c>
      <c r="C26" s="201"/>
      <c r="D26" s="202"/>
      <c r="E26" s="202"/>
      <c r="F26" s="202"/>
      <c r="G26" s="203">
        <f>'[2]КФ прочее'!H64</f>
        <v>75.918500000000009</v>
      </c>
      <c r="H26" s="204">
        <f t="shared" si="4"/>
        <v>3.7781149999999997</v>
      </c>
      <c r="I26" s="203">
        <f t="shared" si="0"/>
        <v>0.98230989999999996</v>
      </c>
      <c r="J26" s="203">
        <f t="shared" si="1"/>
        <v>80.678924900000013</v>
      </c>
      <c r="K26" s="203">
        <f t="shared" si="2"/>
        <v>19.738810000000004</v>
      </c>
      <c r="L26" s="203"/>
      <c r="M26" s="203"/>
      <c r="N26" s="203">
        <f t="shared" si="3"/>
        <v>100.41773490000001</v>
      </c>
      <c r="O26" s="205">
        <v>0.8</v>
      </c>
      <c r="P26" s="191">
        <f t="shared" si="5"/>
        <v>234.60153566653446</v>
      </c>
      <c r="Q26" s="191">
        <f>Q27</f>
        <v>270</v>
      </c>
      <c r="R26" s="191">
        <v>250</v>
      </c>
      <c r="S26" s="206">
        <f t="shared" si="6"/>
        <v>8.0000000000000071E-2</v>
      </c>
    </row>
    <row r="27" spans="1:19" x14ac:dyDescent="0.2">
      <c r="B27" s="201" t="s">
        <v>652</v>
      </c>
      <c r="C27" s="201"/>
      <c r="D27" s="202"/>
      <c r="E27" s="202"/>
      <c r="F27" s="202"/>
      <c r="G27" s="203">
        <f>'[2]КФ прочее'!H70</f>
        <v>89.481000000000009</v>
      </c>
      <c r="H27" s="204">
        <f t="shared" si="4"/>
        <v>3.7781149999999997</v>
      </c>
      <c r="I27" s="203">
        <f t="shared" si="0"/>
        <v>0.98230989999999996</v>
      </c>
      <c r="J27" s="203">
        <f t="shared" si="1"/>
        <v>94.241424900000013</v>
      </c>
      <c r="K27" s="203">
        <f t="shared" si="2"/>
        <v>23.265060000000002</v>
      </c>
      <c r="L27" s="203"/>
      <c r="M27" s="203"/>
      <c r="N27" s="203">
        <f t="shared" si="3"/>
        <v>117.50648490000002</v>
      </c>
      <c r="O27" s="205">
        <v>0.8</v>
      </c>
      <c r="P27" s="191">
        <f t="shared" si="5"/>
        <v>274.52523038653447</v>
      </c>
      <c r="Q27" s="191">
        <f>MROUND(P27,10)*Q4</f>
        <v>270</v>
      </c>
      <c r="R27" s="191">
        <v>250</v>
      </c>
      <c r="S27" s="206">
        <f t="shared" si="6"/>
        <v>8.0000000000000071E-2</v>
      </c>
    </row>
    <row r="28" spans="1:19" ht="12.75" customHeight="1" x14ac:dyDescent="0.2">
      <c r="B28" s="319" t="s">
        <v>653</v>
      </c>
      <c r="C28" s="320"/>
      <c r="D28" s="320"/>
      <c r="E28" s="320"/>
      <c r="F28" s="320"/>
      <c r="G28" s="320"/>
      <c r="H28" s="320"/>
      <c r="I28" s="320"/>
      <c r="J28" s="320"/>
      <c r="K28" s="320"/>
      <c r="L28" s="320"/>
      <c r="M28" s="320"/>
      <c r="N28" s="320"/>
      <c r="O28" s="320"/>
      <c r="P28" s="320"/>
      <c r="Q28" s="320"/>
      <c r="S28" s="206"/>
    </row>
    <row r="29" spans="1:19" x14ac:dyDescent="0.2">
      <c r="A29" s="207" t="s">
        <v>654</v>
      </c>
      <c r="B29" s="201" t="s">
        <v>420</v>
      </c>
      <c r="C29" s="201"/>
      <c r="D29" s="202"/>
      <c r="E29" s="202"/>
      <c r="F29" s="202"/>
      <c r="G29" s="203">
        <f>'[2]КФ ящиков'!H34</f>
        <v>2320.6113333333337</v>
      </c>
      <c r="H29" s="204">
        <f t="shared" ref="H29:H75" si="7">$H$4/60</f>
        <v>3.7781149999999997</v>
      </c>
      <c r="I29" s="203">
        <f t="shared" ref="I29:I35" si="8">H29*$I$8</f>
        <v>0.98230989999999996</v>
      </c>
      <c r="J29" s="203">
        <f t="shared" ref="J29:J39" si="9">SUM(G29:I29)</f>
        <v>2325.3717582333338</v>
      </c>
      <c r="K29" s="203">
        <f t="shared" ref="K29:K39" si="10">$K$8*G29</f>
        <v>603.35894666666684</v>
      </c>
      <c r="L29" s="203"/>
      <c r="M29" s="203"/>
      <c r="N29" s="203">
        <f t="shared" ref="N29:N35" si="11">SUM(J29:M29)</f>
        <v>2928.7307049000005</v>
      </c>
      <c r="O29" s="203"/>
      <c r="P29" s="191">
        <f>(N29*$P$8+N29)*1.2*$P$4*$P$5</f>
        <v>4751.5726956297603</v>
      </c>
      <c r="Q29" s="191">
        <f>MROUND(P29,10)*Q4</f>
        <v>4750</v>
      </c>
      <c r="R29" s="191">
        <v>4390</v>
      </c>
      <c r="S29" s="206">
        <f t="shared" si="6"/>
        <v>8.2004555808655955E-2</v>
      </c>
    </row>
    <row r="30" spans="1:19" x14ac:dyDescent="0.2">
      <c r="B30" s="201" t="s">
        <v>426</v>
      </c>
      <c r="C30" s="201"/>
      <c r="D30" s="202"/>
      <c r="E30" s="202"/>
      <c r="F30" s="202"/>
      <c r="G30" s="203">
        <f>'[2]КФ ящиков'!H45</f>
        <v>2837.6406666666671</v>
      </c>
      <c r="H30" s="204">
        <f t="shared" si="7"/>
        <v>3.7781149999999997</v>
      </c>
      <c r="I30" s="203">
        <f t="shared" si="8"/>
        <v>0.98230989999999996</v>
      </c>
      <c r="J30" s="203">
        <f t="shared" si="9"/>
        <v>2842.4010915666672</v>
      </c>
      <c r="K30" s="203">
        <f t="shared" si="10"/>
        <v>737.78657333333354</v>
      </c>
      <c r="L30" s="203"/>
      <c r="M30" s="203"/>
      <c r="N30" s="203">
        <f t="shared" si="11"/>
        <v>3580.1876649000005</v>
      </c>
      <c r="O30" s="203"/>
      <c r="P30" s="191">
        <f t="shared" ref="P30:P39" si="12">(N30*$P$8+N30)*1.2*$P$4*$P$5</f>
        <v>5808.4964675337615</v>
      </c>
      <c r="Q30" s="191">
        <f>MROUND(P30,10)*Q4</f>
        <v>5810</v>
      </c>
      <c r="R30" s="191">
        <v>5370</v>
      </c>
      <c r="S30" s="206">
        <f t="shared" si="6"/>
        <v>8.1936685288640509E-2</v>
      </c>
    </row>
    <row r="31" spans="1:19" x14ac:dyDescent="0.2">
      <c r="B31" s="201" t="s">
        <v>655</v>
      </c>
      <c r="C31" s="201"/>
      <c r="D31" s="202"/>
      <c r="E31" s="202"/>
      <c r="F31" s="202"/>
      <c r="G31" s="203">
        <f>G29</f>
        <v>2320.6113333333337</v>
      </c>
      <c r="H31" s="204">
        <f t="shared" si="7"/>
        <v>3.7781149999999997</v>
      </c>
      <c r="I31" s="203">
        <f>H31*$I$8</f>
        <v>0.98230989999999996</v>
      </c>
      <c r="J31" s="203">
        <f t="shared" si="9"/>
        <v>2325.3717582333338</v>
      </c>
      <c r="K31" s="203">
        <f t="shared" si="10"/>
        <v>603.35894666666684</v>
      </c>
      <c r="L31" s="203"/>
      <c r="M31" s="203"/>
      <c r="N31" s="203">
        <f>SUM(J31:M31)</f>
        <v>2928.7307049000005</v>
      </c>
      <c r="O31" s="203"/>
      <c r="P31" s="191">
        <f t="shared" si="12"/>
        <v>4751.5726956297603</v>
      </c>
      <c r="Q31" s="191">
        <f>MROUND(P31,10)*Q4</f>
        <v>4750</v>
      </c>
      <c r="R31" s="191">
        <v>4390</v>
      </c>
      <c r="S31" s="206">
        <f t="shared" si="6"/>
        <v>8.2004555808655955E-2</v>
      </c>
    </row>
    <row r="32" spans="1:19" x14ac:dyDescent="0.2">
      <c r="B32" s="201" t="s">
        <v>429</v>
      </c>
      <c r="C32" s="201"/>
      <c r="D32" s="202"/>
      <c r="E32" s="202"/>
      <c r="F32" s="202"/>
      <c r="G32" s="203">
        <f>'[2]КФ ящиков'!H53</f>
        <v>231.63266666666667</v>
      </c>
      <c r="H32" s="204">
        <f t="shared" si="7"/>
        <v>3.7781149999999997</v>
      </c>
      <c r="I32" s="203">
        <f>H32*$I$8</f>
        <v>0.98230989999999996</v>
      </c>
      <c r="J32" s="203">
        <f>SUM(G32:I32)</f>
        <v>236.39309156666664</v>
      </c>
      <c r="K32" s="203">
        <f>$K$8*G32</f>
        <v>60.224493333333335</v>
      </c>
      <c r="L32" s="203"/>
      <c r="M32" s="203"/>
      <c r="N32" s="203">
        <f>SUM(J32:M32)</f>
        <v>296.6175849</v>
      </c>
      <c r="O32" s="203"/>
      <c r="P32" s="191">
        <f t="shared" si="12"/>
        <v>481.23236974176007</v>
      </c>
      <c r="Q32" s="191">
        <f>MROUND(P32,10)*Q4</f>
        <v>480</v>
      </c>
      <c r="R32" s="191">
        <v>440</v>
      </c>
      <c r="S32" s="206">
        <f t="shared" si="6"/>
        <v>9.0909090909090828E-2</v>
      </c>
    </row>
    <row r="33" spans="1:19" x14ac:dyDescent="0.2">
      <c r="A33" s="207" t="s">
        <v>656</v>
      </c>
      <c r="B33" s="201" t="s">
        <v>427</v>
      </c>
      <c r="C33" s="201"/>
      <c r="D33" s="202"/>
      <c r="E33" s="202"/>
      <c r="F33" s="202"/>
      <c r="G33" s="203">
        <f>'[2]КФ ящиков'!H60</f>
        <v>456.94100000000003</v>
      </c>
      <c r="H33" s="204">
        <f t="shared" si="7"/>
        <v>3.7781149999999997</v>
      </c>
      <c r="I33" s="203">
        <f t="shared" si="8"/>
        <v>0.98230989999999996</v>
      </c>
      <c r="J33" s="203">
        <f t="shared" si="9"/>
        <v>461.70142490000006</v>
      </c>
      <c r="K33" s="203">
        <f t="shared" si="10"/>
        <v>118.80466000000001</v>
      </c>
      <c r="L33" s="203"/>
      <c r="M33" s="203"/>
      <c r="N33" s="203">
        <f t="shared" si="11"/>
        <v>580.50608490000013</v>
      </c>
      <c r="O33" s="203"/>
      <c r="P33" s="191">
        <f t="shared" si="12"/>
        <v>941.81307214176024</v>
      </c>
      <c r="Q33" s="191">
        <f>MROUND(P33,10)*Q4</f>
        <v>940</v>
      </c>
      <c r="R33" s="191">
        <v>870</v>
      </c>
      <c r="S33" s="206">
        <f t="shared" si="6"/>
        <v>8.0459770114942541E-2</v>
      </c>
    </row>
    <row r="34" spans="1:19" x14ac:dyDescent="0.2">
      <c r="B34" s="201" t="s">
        <v>421</v>
      </c>
      <c r="C34" s="201"/>
      <c r="D34" s="202"/>
      <c r="E34" s="202"/>
      <c r="F34" s="202"/>
      <c r="G34" s="203">
        <f>'[2]КФ ящиков'!H66</f>
        <v>176.93625</v>
      </c>
      <c r="H34" s="204">
        <f t="shared" si="7"/>
        <v>3.7781149999999997</v>
      </c>
      <c r="I34" s="203">
        <f t="shared" si="8"/>
        <v>0.98230989999999996</v>
      </c>
      <c r="J34" s="203">
        <f t="shared" si="9"/>
        <v>181.69667489999998</v>
      </c>
      <c r="K34" s="203">
        <f t="shared" si="10"/>
        <v>46.003425</v>
      </c>
      <c r="L34" s="203"/>
      <c r="M34" s="203"/>
      <c r="N34" s="203">
        <f t="shared" si="11"/>
        <v>227.70009989999997</v>
      </c>
      <c r="O34" s="203"/>
      <c r="P34" s="191">
        <f t="shared" si="12"/>
        <v>369.42064207776002</v>
      </c>
      <c r="Q34" s="191">
        <f>MROUND(P34,10)*Q4</f>
        <v>370</v>
      </c>
      <c r="R34" s="191">
        <v>340</v>
      </c>
      <c r="S34" s="206">
        <f t="shared" si="6"/>
        <v>8.8235294117646967E-2</v>
      </c>
    </row>
    <row r="35" spans="1:19" x14ac:dyDescent="0.2">
      <c r="B35" s="201" t="s">
        <v>422</v>
      </c>
      <c r="C35" s="201"/>
      <c r="D35" s="202"/>
      <c r="E35" s="202"/>
      <c r="F35" s="202"/>
      <c r="G35" s="203">
        <f>'[2]КФ ящиков'!H70</f>
        <v>79.905666666666676</v>
      </c>
      <c r="H35" s="204">
        <f t="shared" si="7"/>
        <v>3.7781149999999997</v>
      </c>
      <c r="I35" s="203">
        <f t="shared" si="8"/>
        <v>0.98230989999999996</v>
      </c>
      <c r="J35" s="203">
        <f t="shared" si="9"/>
        <v>84.66609156666668</v>
      </c>
      <c r="K35" s="203">
        <f t="shared" si="10"/>
        <v>20.775473333333338</v>
      </c>
      <c r="L35" s="203"/>
      <c r="M35" s="203"/>
      <c r="N35" s="203">
        <f t="shared" si="11"/>
        <v>105.44156490000002</v>
      </c>
      <c r="O35" s="203"/>
      <c r="P35" s="191">
        <f t="shared" si="12"/>
        <v>171.06839489376006</v>
      </c>
      <c r="Q35" s="191">
        <f>MROUND(P35,10)*Q4</f>
        <v>170</v>
      </c>
      <c r="R35" s="191">
        <v>160</v>
      </c>
      <c r="S35" s="206">
        <f t="shared" si="6"/>
        <v>6.25E-2</v>
      </c>
    </row>
    <row r="36" spans="1:19" x14ac:dyDescent="0.2">
      <c r="A36" s="207" t="s">
        <v>657</v>
      </c>
      <c r="B36" s="201" t="s">
        <v>487</v>
      </c>
      <c r="C36" s="201"/>
      <c r="D36" s="202"/>
      <c r="E36" s="202"/>
      <c r="F36" s="202"/>
      <c r="G36" s="203">
        <f>'[2]КФ ящиков'!H78</f>
        <v>2461.6643333333341</v>
      </c>
      <c r="H36" s="204">
        <f t="shared" si="7"/>
        <v>3.7781149999999997</v>
      </c>
      <c r="I36" s="203">
        <f>H36*$I$8</f>
        <v>0.98230989999999996</v>
      </c>
      <c r="J36" s="203">
        <f t="shared" si="9"/>
        <v>2466.4247582333342</v>
      </c>
      <c r="K36" s="203">
        <f t="shared" si="10"/>
        <v>640.03272666666692</v>
      </c>
      <c r="L36" s="203"/>
      <c r="M36" s="203"/>
      <c r="N36" s="203">
        <f>SUM(J36:M36)</f>
        <v>3106.457484900001</v>
      </c>
      <c r="O36" s="203"/>
      <c r="P36" s="191">
        <f t="shared" si="12"/>
        <v>5039.9166235017628</v>
      </c>
      <c r="Q36" s="191">
        <f>MROUND(P36,10)*Q4</f>
        <v>5040</v>
      </c>
      <c r="R36" s="191">
        <v>4660</v>
      </c>
      <c r="S36" s="206">
        <f t="shared" si="6"/>
        <v>8.1545064377682497E-2</v>
      </c>
    </row>
    <row r="37" spans="1:19" x14ac:dyDescent="0.2">
      <c r="B37" s="201" t="s">
        <v>423</v>
      </c>
      <c r="C37" s="201"/>
      <c r="D37" s="202"/>
      <c r="E37" s="202"/>
      <c r="F37" s="202"/>
      <c r="G37" s="203">
        <f>'[2]КФ ящиков'!H84</f>
        <v>2018.8263333333341</v>
      </c>
      <c r="H37" s="204">
        <f t="shared" si="7"/>
        <v>3.7781149999999997</v>
      </c>
      <c r="I37" s="203">
        <f>H37*$I$8</f>
        <v>0.98230989999999996</v>
      </c>
      <c r="J37" s="203">
        <f t="shared" si="9"/>
        <v>2023.5867582333342</v>
      </c>
      <c r="K37" s="203">
        <f t="shared" si="10"/>
        <v>524.89484666666692</v>
      </c>
      <c r="L37" s="203"/>
      <c r="M37" s="203"/>
      <c r="N37" s="203">
        <f>SUM(J37:M37)</f>
        <v>2548.481604900001</v>
      </c>
      <c r="O37" s="203"/>
      <c r="P37" s="191">
        <f t="shared" si="12"/>
        <v>4134.6565557897611</v>
      </c>
      <c r="Q37" s="191">
        <f>MROUND(P37,10)*Q4</f>
        <v>4130</v>
      </c>
      <c r="R37" s="191">
        <v>3820</v>
      </c>
      <c r="S37" s="206">
        <f t="shared" si="6"/>
        <v>8.1151832460732987E-2</v>
      </c>
    </row>
    <row r="38" spans="1:19" ht="12.75" x14ac:dyDescent="0.2">
      <c r="B38" s="208" t="s">
        <v>425</v>
      </c>
      <c r="C38" s="201"/>
      <c r="D38" s="202"/>
      <c r="E38" s="202"/>
      <c r="F38" s="202"/>
      <c r="G38" s="203">
        <f>[2]исх!G173</f>
        <v>3144.916666666667</v>
      </c>
      <c r="H38" s="204">
        <f t="shared" si="7"/>
        <v>3.7781149999999997</v>
      </c>
      <c r="I38" s="203">
        <f>H38*$I$8</f>
        <v>0.98230989999999996</v>
      </c>
      <c r="J38" s="203">
        <f t="shared" si="9"/>
        <v>3149.6770915666671</v>
      </c>
      <c r="K38" s="203">
        <f t="shared" si="10"/>
        <v>817.6783333333334</v>
      </c>
      <c r="L38" s="203"/>
      <c r="M38" s="203"/>
      <c r="N38" s="203">
        <f>SUM(J38:M38)</f>
        <v>3967.3554249000003</v>
      </c>
      <c r="O38" s="203"/>
      <c r="P38" s="191">
        <f t="shared" si="12"/>
        <v>6436.6374413577605</v>
      </c>
      <c r="Q38" s="191">
        <f>MROUND(P38,10)</f>
        <v>6440</v>
      </c>
      <c r="R38" s="191"/>
      <c r="S38" s="206"/>
    </row>
    <row r="39" spans="1:19" ht="12.75" x14ac:dyDescent="0.2">
      <c r="B39" s="208" t="s">
        <v>428</v>
      </c>
      <c r="C39" s="201"/>
      <c r="D39" s="202"/>
      <c r="E39" s="202"/>
      <c r="F39" s="202"/>
      <c r="G39" s="203">
        <f>[2]исх!G174</f>
        <v>3895.6833333333334</v>
      </c>
      <c r="H39" s="204">
        <f t="shared" si="7"/>
        <v>3.7781149999999997</v>
      </c>
      <c r="I39" s="203">
        <f>H39*$I$8</f>
        <v>0.98230989999999996</v>
      </c>
      <c r="J39" s="203">
        <f t="shared" si="9"/>
        <v>3900.4437582333335</v>
      </c>
      <c r="K39" s="203">
        <f t="shared" si="10"/>
        <v>1012.8776666666668</v>
      </c>
      <c r="L39" s="203"/>
      <c r="M39" s="203"/>
      <c r="N39" s="203">
        <f>SUM(J39:M39)</f>
        <v>4913.3214249000002</v>
      </c>
      <c r="O39" s="203"/>
      <c r="P39" s="191">
        <f t="shared" si="12"/>
        <v>7971.3726797577601</v>
      </c>
      <c r="Q39" s="191">
        <f>MROUND(P39,10)</f>
        <v>7970</v>
      </c>
      <c r="R39" s="191"/>
      <c r="S39" s="206"/>
    </row>
    <row r="40" spans="1:19" x14ac:dyDescent="0.2">
      <c r="B40" s="319" t="s">
        <v>658</v>
      </c>
      <c r="C40" s="320"/>
      <c r="D40" s="320"/>
      <c r="E40" s="320"/>
      <c r="F40" s="320"/>
      <c r="G40" s="320"/>
      <c r="H40" s="320"/>
      <c r="I40" s="320"/>
      <c r="J40" s="320"/>
      <c r="K40" s="320"/>
      <c r="L40" s="320"/>
      <c r="M40" s="320"/>
      <c r="N40" s="320"/>
      <c r="O40" s="320"/>
      <c r="P40" s="320"/>
      <c r="Q40" s="320"/>
      <c r="S40" s="206"/>
    </row>
    <row r="41" spans="1:19" x14ac:dyDescent="0.2">
      <c r="B41" s="201" t="s">
        <v>455</v>
      </c>
      <c r="C41" s="201"/>
      <c r="D41" s="202"/>
      <c r="E41" s="202"/>
      <c r="F41" s="202"/>
      <c r="G41" s="203">
        <f>'[2]КФ наполнение'!H42</f>
        <v>2403</v>
      </c>
      <c r="H41" s="204">
        <f t="shared" si="7"/>
        <v>3.7781149999999997</v>
      </c>
      <c r="I41" s="203">
        <f>H41*$I$8</f>
        <v>0.98230989999999996</v>
      </c>
      <c r="J41" s="203">
        <f t="shared" ref="J41:J57" si="13">SUM(G41:I41)</f>
        <v>2407.7604249000001</v>
      </c>
      <c r="K41" s="203">
        <f t="shared" ref="K41:K57" si="14">$K$8*G41</f>
        <v>624.78</v>
      </c>
      <c r="L41" s="203"/>
      <c r="M41" s="203"/>
      <c r="N41" s="203">
        <f>SUM(J41:M41)</f>
        <v>3032.5404249000003</v>
      </c>
      <c r="O41" s="203"/>
      <c r="P41" s="191">
        <f>(N41*$P$8+N41)*1.2*$P$4*$P$5</f>
        <v>4919.9935853577599</v>
      </c>
      <c r="Q41" s="191">
        <f>MROUND(P41,10)*Q4</f>
        <v>4920</v>
      </c>
      <c r="R41" s="191">
        <v>2820</v>
      </c>
      <c r="S41" s="206">
        <f t="shared" si="6"/>
        <v>0.74468085106382986</v>
      </c>
    </row>
    <row r="42" spans="1:19" x14ac:dyDescent="0.2">
      <c r="B42" s="201" t="s">
        <v>457</v>
      </c>
      <c r="C42" s="201"/>
      <c r="D42" s="202"/>
      <c r="E42" s="202"/>
      <c r="F42" s="202"/>
      <c r="G42" s="203">
        <f>'[2]КФ наполнение'!H45</f>
        <v>2702.041666666667</v>
      </c>
      <c r="H42" s="204">
        <f t="shared" si="7"/>
        <v>3.7781149999999997</v>
      </c>
      <c r="I42" s="203">
        <f>H42*$I$8</f>
        <v>0.98230989999999996</v>
      </c>
      <c r="J42" s="203">
        <f t="shared" si="13"/>
        <v>2706.8020915666671</v>
      </c>
      <c r="K42" s="203">
        <f t="shared" si="14"/>
        <v>702.53083333333348</v>
      </c>
      <c r="L42" s="203"/>
      <c r="M42" s="203"/>
      <c r="N42" s="203">
        <f>SUM(J42:M42)</f>
        <v>3409.3329249000008</v>
      </c>
      <c r="O42" s="203"/>
      <c r="P42" s="191">
        <f t="shared" ref="P42:P57" si="15">(N42*$P$8+N42)*1.2*$P$4*$P$5</f>
        <v>5531.3017373577622</v>
      </c>
      <c r="Q42" s="191">
        <f>MROUND(P42,10)*Q4</f>
        <v>5530</v>
      </c>
      <c r="R42" s="191">
        <v>3170</v>
      </c>
      <c r="S42" s="206">
        <f t="shared" si="6"/>
        <v>0.74447949526813884</v>
      </c>
    </row>
    <row r="43" spans="1:19" x14ac:dyDescent="0.2">
      <c r="B43" s="201" t="s">
        <v>458</v>
      </c>
      <c r="C43" s="201"/>
      <c r="D43" s="202"/>
      <c r="E43" s="202"/>
      <c r="F43" s="202"/>
      <c r="G43" s="203">
        <f>'[2]КФ наполнение'!H48</f>
        <v>2992.9666666666667</v>
      </c>
      <c r="H43" s="204">
        <f t="shared" si="7"/>
        <v>3.7781149999999997</v>
      </c>
      <c r="I43" s="203">
        <f>H43*$I$8</f>
        <v>0.98230989999999996</v>
      </c>
      <c r="J43" s="203">
        <f t="shared" si="13"/>
        <v>2997.7270915666668</v>
      </c>
      <c r="K43" s="203">
        <f t="shared" si="14"/>
        <v>778.17133333333334</v>
      </c>
      <c r="L43" s="203"/>
      <c r="M43" s="203"/>
      <c r="N43" s="203">
        <f>SUM(J43:M43)</f>
        <v>3775.8984249</v>
      </c>
      <c r="O43" s="203"/>
      <c r="P43" s="191">
        <f t="shared" si="15"/>
        <v>6126.01760455776</v>
      </c>
      <c r="Q43" s="191">
        <f>MROUND(P43,10)*Q4</f>
        <v>6130</v>
      </c>
      <c r="R43" s="191">
        <v>4780</v>
      </c>
      <c r="S43" s="206">
        <f t="shared" si="6"/>
        <v>0.28242677824267792</v>
      </c>
    </row>
    <row r="44" spans="1:19" x14ac:dyDescent="0.2">
      <c r="B44" s="201" t="s">
        <v>659</v>
      </c>
      <c r="C44" s="201"/>
      <c r="D44" s="202"/>
      <c r="E44" s="202"/>
      <c r="F44" s="202"/>
      <c r="G44" s="209">
        <f>'[2]КФ наполнение'!H54</f>
        <v>775.76666666666677</v>
      </c>
      <c r="H44" s="204">
        <f t="shared" si="7"/>
        <v>3.7781149999999997</v>
      </c>
      <c r="I44" s="203">
        <f t="shared" ref="I44:I49" si="16">H44*$I$8</f>
        <v>0.98230989999999996</v>
      </c>
      <c r="J44" s="203">
        <f t="shared" si="13"/>
        <v>780.52709156666674</v>
      </c>
      <c r="K44" s="203">
        <f t="shared" si="14"/>
        <v>201.69933333333336</v>
      </c>
      <c r="L44" s="203"/>
      <c r="M44" s="203"/>
      <c r="N44" s="203">
        <f t="shared" ref="N44:N49" si="17">SUM(J44:M44)</f>
        <v>982.2264249000001</v>
      </c>
      <c r="O44" s="203"/>
      <c r="P44" s="191">
        <f t="shared" si="15"/>
        <v>1593.5641517577603</v>
      </c>
      <c r="Q44" s="191">
        <f>MROUND(P44,10)*Q4</f>
        <v>1590</v>
      </c>
      <c r="R44" s="191">
        <v>5280</v>
      </c>
      <c r="S44" s="206">
        <f t="shared" si="6"/>
        <v>-0.69886363636363635</v>
      </c>
    </row>
    <row r="45" spans="1:19" x14ac:dyDescent="0.2">
      <c r="B45" s="201" t="s">
        <v>660</v>
      </c>
      <c r="C45" s="201"/>
      <c r="D45" s="202"/>
      <c r="E45" s="202"/>
      <c r="F45" s="202"/>
      <c r="G45" s="209">
        <f>'[2]КФ наполнение'!H57</f>
        <v>3093.2000000000003</v>
      </c>
      <c r="H45" s="204">
        <f t="shared" si="7"/>
        <v>3.7781149999999997</v>
      </c>
      <c r="I45" s="203">
        <f t="shared" si="16"/>
        <v>0.98230989999999996</v>
      </c>
      <c r="J45" s="203">
        <f t="shared" si="13"/>
        <v>3097.9604249000004</v>
      </c>
      <c r="K45" s="203">
        <f t="shared" si="14"/>
        <v>804.23200000000008</v>
      </c>
      <c r="L45" s="203"/>
      <c r="M45" s="203"/>
      <c r="N45" s="203">
        <f t="shared" si="17"/>
        <v>3902.1924249000003</v>
      </c>
      <c r="O45" s="203"/>
      <c r="P45" s="191">
        <f t="shared" si="15"/>
        <v>6330.9169901577616</v>
      </c>
      <c r="Q45" s="191">
        <f>MROUND(P45,10)*Q4</f>
        <v>6330</v>
      </c>
      <c r="R45" s="191">
        <v>5850</v>
      </c>
      <c r="S45" s="206">
        <f t="shared" si="6"/>
        <v>8.2051282051281982E-2</v>
      </c>
    </row>
    <row r="46" spans="1:19" x14ac:dyDescent="0.2">
      <c r="B46" s="201" t="s">
        <v>661</v>
      </c>
      <c r="C46" s="201"/>
      <c r="D46" s="202"/>
      <c r="E46" s="202"/>
      <c r="F46" s="202"/>
      <c r="G46" s="209">
        <f>'[2]КФ наполнение'!H60</f>
        <v>3553.0000000000005</v>
      </c>
      <c r="H46" s="204">
        <f t="shared" si="7"/>
        <v>3.7781149999999997</v>
      </c>
      <c r="I46" s="203">
        <f t="shared" si="16"/>
        <v>0.98230989999999996</v>
      </c>
      <c r="J46" s="203">
        <f t="shared" si="13"/>
        <v>3557.7604249000005</v>
      </c>
      <c r="K46" s="203">
        <f t="shared" si="14"/>
        <v>923.7800000000002</v>
      </c>
      <c r="L46" s="203"/>
      <c r="M46" s="203"/>
      <c r="N46" s="203">
        <f t="shared" si="17"/>
        <v>4481.5404249000003</v>
      </c>
      <c r="O46" s="203"/>
      <c r="P46" s="191">
        <f t="shared" si="15"/>
        <v>7270.8511853577602</v>
      </c>
      <c r="Q46" s="191">
        <f>MROUND(P46,10)*Q4</f>
        <v>7270</v>
      </c>
      <c r="R46" s="191">
        <v>6720</v>
      </c>
      <c r="S46" s="206">
        <f t="shared" si="6"/>
        <v>8.1845238095238138E-2</v>
      </c>
    </row>
    <row r="47" spans="1:19" x14ac:dyDescent="0.2">
      <c r="B47" s="201" t="s">
        <v>662</v>
      </c>
      <c r="C47" s="201"/>
      <c r="D47" s="202"/>
      <c r="E47" s="202"/>
      <c r="F47" s="202"/>
      <c r="G47" s="209">
        <f>'[2]КФ наполнение'!H63</f>
        <v>3814.8</v>
      </c>
      <c r="H47" s="204">
        <f t="shared" si="7"/>
        <v>3.7781149999999997</v>
      </c>
      <c r="I47" s="203">
        <f t="shared" si="16"/>
        <v>0.98230989999999996</v>
      </c>
      <c r="J47" s="203">
        <f t="shared" si="13"/>
        <v>3819.5604249000003</v>
      </c>
      <c r="K47" s="203">
        <f t="shared" si="14"/>
        <v>991.84800000000007</v>
      </c>
      <c r="L47" s="203"/>
      <c r="M47" s="203"/>
      <c r="N47" s="203">
        <f t="shared" si="17"/>
        <v>4811.4084249000007</v>
      </c>
      <c r="O47" s="203"/>
      <c r="P47" s="191">
        <f t="shared" si="15"/>
        <v>7806.0290285577621</v>
      </c>
      <c r="Q47" s="191">
        <f>MROUND(P47,10)*Q4</f>
        <v>7810</v>
      </c>
      <c r="R47" s="191">
        <v>7220</v>
      </c>
      <c r="S47" s="206">
        <f t="shared" si="6"/>
        <v>8.1717451523545703E-2</v>
      </c>
    </row>
    <row r="48" spans="1:19" x14ac:dyDescent="0.2">
      <c r="B48" s="201" t="s">
        <v>663</v>
      </c>
      <c r="C48" s="201"/>
      <c r="D48" s="202"/>
      <c r="E48" s="202"/>
      <c r="F48" s="202"/>
      <c r="G48" s="209">
        <f>'[2]КФ наполнение'!H66</f>
        <v>5650.1280000000015</v>
      </c>
      <c r="H48" s="204">
        <f t="shared" si="7"/>
        <v>3.7781149999999997</v>
      </c>
      <c r="I48" s="203">
        <f t="shared" si="16"/>
        <v>0.98230989999999996</v>
      </c>
      <c r="J48" s="203">
        <f t="shared" si="13"/>
        <v>5654.8884249000012</v>
      </c>
      <c r="K48" s="203">
        <f t="shared" si="14"/>
        <v>1469.0332800000006</v>
      </c>
      <c r="L48" s="203"/>
      <c r="M48" s="203"/>
      <c r="N48" s="203">
        <f t="shared" si="17"/>
        <v>7123.9217049000017</v>
      </c>
      <c r="O48" s="203"/>
      <c r="P48" s="191">
        <f t="shared" si="15"/>
        <v>11557.850574029764</v>
      </c>
      <c r="Q48" s="191">
        <f>MROUND(P48,10)*Q4</f>
        <v>11560</v>
      </c>
      <c r="R48" s="191">
        <v>10690</v>
      </c>
      <c r="S48" s="206">
        <f t="shared" si="6"/>
        <v>8.1384471468662234E-2</v>
      </c>
    </row>
    <row r="49" spans="1:19" x14ac:dyDescent="0.2">
      <c r="B49" s="201" t="s">
        <v>405</v>
      </c>
      <c r="C49" s="201"/>
      <c r="D49" s="202"/>
      <c r="E49" s="202"/>
      <c r="F49" s="202"/>
      <c r="G49" s="209">
        <f>'[2]КФ наполнение'!H69</f>
        <v>5559.9</v>
      </c>
      <c r="H49" s="204">
        <f t="shared" si="7"/>
        <v>3.7781149999999997</v>
      </c>
      <c r="I49" s="203">
        <f t="shared" si="16"/>
        <v>0.98230989999999996</v>
      </c>
      <c r="J49" s="203">
        <f t="shared" si="13"/>
        <v>5564.6604248999993</v>
      </c>
      <c r="K49" s="203">
        <f t="shared" si="14"/>
        <v>1445.5739999999998</v>
      </c>
      <c r="L49" s="203"/>
      <c r="M49" s="203"/>
      <c r="N49" s="203">
        <f t="shared" si="17"/>
        <v>7010.2344248999989</v>
      </c>
      <c r="O49" s="203"/>
      <c r="P49" s="191">
        <f t="shared" si="15"/>
        <v>11373.404330957757</v>
      </c>
      <c r="Q49" s="191">
        <f>MROUND(P49,10)*Q4</f>
        <v>11370</v>
      </c>
      <c r="R49" s="191">
        <v>10520</v>
      </c>
      <c r="S49" s="206">
        <f t="shared" si="6"/>
        <v>8.0798479087452524E-2</v>
      </c>
    </row>
    <row r="50" spans="1:19" ht="12.75" x14ac:dyDescent="0.2">
      <c r="B50" s="201" t="s">
        <v>406</v>
      </c>
      <c r="C50" s="210" t="s">
        <v>406</v>
      </c>
      <c r="D50" s="202"/>
      <c r="E50" s="202"/>
      <c r="F50" s="202"/>
      <c r="G50" s="203">
        <f>'[2]КФ наполнение'!H72</f>
        <v>2779.5113333333334</v>
      </c>
      <c r="H50" s="204">
        <f t="shared" si="7"/>
        <v>3.7781149999999997</v>
      </c>
      <c r="I50" s="203">
        <f>H50*$I$8</f>
        <v>0.98230989999999996</v>
      </c>
      <c r="J50" s="203">
        <f t="shared" si="13"/>
        <v>2784.2717582333335</v>
      </c>
      <c r="K50" s="203">
        <f t="shared" si="14"/>
        <v>722.67294666666669</v>
      </c>
      <c r="L50" s="203"/>
      <c r="M50" s="203"/>
      <c r="N50" s="203">
        <f>SUM(J50:M50)</f>
        <v>3506.9447049</v>
      </c>
      <c r="O50" s="203"/>
      <c r="P50" s="191">
        <f t="shared" si="15"/>
        <v>5689.6670892297616</v>
      </c>
      <c r="Q50" s="191">
        <f>Q49</f>
        <v>11370</v>
      </c>
      <c r="R50" s="191">
        <v>10520</v>
      </c>
      <c r="S50" s="206">
        <f t="shared" si="6"/>
        <v>8.0798479087452524E-2</v>
      </c>
    </row>
    <row r="51" spans="1:19" x14ac:dyDescent="0.2">
      <c r="B51" s="201" t="s">
        <v>460</v>
      </c>
      <c r="C51" s="201"/>
      <c r="D51" s="202"/>
      <c r="E51" s="202"/>
      <c r="F51" s="202"/>
      <c r="G51" s="209">
        <f>'[2]КФ наполнение'!H80</f>
        <v>487.49058865970636</v>
      </c>
      <c r="H51" s="204">
        <f t="shared" si="7"/>
        <v>3.7781149999999997</v>
      </c>
      <c r="I51" s="203">
        <f t="shared" ref="I51:I57" si="18">H51*$I$8</f>
        <v>0.98230989999999996</v>
      </c>
      <c r="J51" s="203">
        <f t="shared" si="13"/>
        <v>492.25101355970639</v>
      </c>
      <c r="K51" s="203">
        <f t="shared" si="14"/>
        <v>126.74755305152365</v>
      </c>
      <c r="L51" s="203"/>
      <c r="M51" s="203"/>
      <c r="N51" s="203">
        <f t="shared" ref="N51:N57" si="19">SUM(J51:M51)</f>
        <v>618.99856661122999</v>
      </c>
      <c r="O51" s="203"/>
      <c r="P51" s="191">
        <f t="shared" si="15"/>
        <v>1004.2632744700595</v>
      </c>
      <c r="Q51" s="191">
        <f>MROUND(P51,10)*Q4</f>
        <v>1000</v>
      </c>
      <c r="R51" s="191">
        <v>1000</v>
      </c>
      <c r="S51" s="206">
        <f t="shared" si="6"/>
        <v>0</v>
      </c>
    </row>
    <row r="52" spans="1:19" x14ac:dyDescent="0.2">
      <c r="B52" s="201" t="s">
        <v>461</v>
      </c>
      <c r="C52" s="201"/>
      <c r="D52" s="202"/>
      <c r="E52" s="202"/>
      <c r="F52" s="202"/>
      <c r="G52" s="209">
        <f>'[2]КФ наполнение'!H86</f>
        <v>592.88412382610636</v>
      </c>
      <c r="H52" s="204">
        <f t="shared" si="7"/>
        <v>3.7781149999999997</v>
      </c>
      <c r="I52" s="203">
        <f t="shared" si="18"/>
        <v>0.98230989999999996</v>
      </c>
      <c r="J52" s="203">
        <f t="shared" si="13"/>
        <v>597.64454872610634</v>
      </c>
      <c r="K52" s="203">
        <f t="shared" si="14"/>
        <v>154.14987219478766</v>
      </c>
      <c r="L52" s="203"/>
      <c r="M52" s="203"/>
      <c r="N52" s="203">
        <f t="shared" si="19"/>
        <v>751.79442092089403</v>
      </c>
      <c r="O52" s="203"/>
      <c r="P52" s="191">
        <f t="shared" si="15"/>
        <v>1219.7112685020586</v>
      </c>
      <c r="Q52" s="191">
        <f>MROUND(P52,10)*Q4</f>
        <v>1220</v>
      </c>
      <c r="R52" s="191">
        <v>1000</v>
      </c>
      <c r="S52" s="206">
        <f t="shared" si="6"/>
        <v>0.21999999999999997</v>
      </c>
    </row>
    <row r="53" spans="1:19" x14ac:dyDescent="0.2">
      <c r="B53" s="201" t="s">
        <v>664</v>
      </c>
      <c r="C53" s="201"/>
      <c r="D53" s="202"/>
      <c r="E53" s="202"/>
      <c r="F53" s="202"/>
      <c r="G53" s="209">
        <f>'[2]КФ наполнение'!H92</f>
        <v>865.83758069786245</v>
      </c>
      <c r="H53" s="204">
        <f t="shared" si="7"/>
        <v>3.7781149999999997</v>
      </c>
      <c r="I53" s="203">
        <f t="shared" si="18"/>
        <v>0.98230989999999996</v>
      </c>
      <c r="J53" s="203">
        <f t="shared" si="13"/>
        <v>870.59800559786243</v>
      </c>
      <c r="K53" s="203">
        <f t="shared" si="14"/>
        <v>225.11777098144424</v>
      </c>
      <c r="L53" s="203"/>
      <c r="M53" s="203"/>
      <c r="N53" s="203">
        <f t="shared" si="19"/>
        <v>1095.7157765793067</v>
      </c>
      <c r="O53" s="203"/>
      <c r="P53" s="191">
        <f t="shared" si="15"/>
        <v>1777.6892759222674</v>
      </c>
      <c r="Q53" s="191">
        <f>MROUND(P53,10)*Q4</f>
        <v>1780</v>
      </c>
      <c r="R53" s="191">
        <v>1000</v>
      </c>
      <c r="S53" s="206">
        <f t="shared" si="6"/>
        <v>0.78</v>
      </c>
    </row>
    <row r="54" spans="1:19" x14ac:dyDescent="0.2">
      <c r="B54" s="211" t="s">
        <v>665</v>
      </c>
      <c r="C54" s="211"/>
      <c r="D54" s="212"/>
      <c r="E54" s="212"/>
      <c r="F54" s="212"/>
      <c r="G54" s="213">
        <f>'[2]КФ наполнение'!H99</f>
        <v>643.39778274101263</v>
      </c>
      <c r="H54" s="214">
        <f t="shared" si="7"/>
        <v>3.7781149999999997</v>
      </c>
      <c r="I54" s="215">
        <f t="shared" si="18"/>
        <v>0.98230989999999996</v>
      </c>
      <c r="J54" s="215">
        <f t="shared" si="13"/>
        <v>648.15820764101261</v>
      </c>
      <c r="K54" s="215">
        <f t="shared" si="14"/>
        <v>167.28342351266329</v>
      </c>
      <c r="L54" s="215"/>
      <c r="M54" s="215"/>
      <c r="N54" s="215">
        <f t="shared" si="19"/>
        <v>815.44163115367587</v>
      </c>
      <c r="O54" s="215"/>
      <c r="P54" s="216">
        <f t="shared" si="15"/>
        <v>1322.9725023837238</v>
      </c>
      <c r="Q54" s="216">
        <f>MROUND(P54,10)*Q4</f>
        <v>1320</v>
      </c>
      <c r="R54" s="321"/>
      <c r="S54" s="322"/>
    </row>
    <row r="55" spans="1:19" x14ac:dyDescent="0.2">
      <c r="B55" s="211" t="s">
        <v>666</v>
      </c>
      <c r="C55" s="211"/>
      <c r="D55" s="212"/>
      <c r="E55" s="212"/>
      <c r="F55" s="212"/>
      <c r="G55" s="213">
        <f>'[2]КФ наполнение'!H107</f>
        <v>836.06333621509384</v>
      </c>
      <c r="H55" s="214">
        <f t="shared" si="7"/>
        <v>3.7781149999999997</v>
      </c>
      <c r="I55" s="215">
        <f t="shared" si="18"/>
        <v>0.98230989999999996</v>
      </c>
      <c r="J55" s="215">
        <f t="shared" si="13"/>
        <v>840.82376111509382</v>
      </c>
      <c r="K55" s="215">
        <f t="shared" si="14"/>
        <v>217.3764674159244</v>
      </c>
      <c r="L55" s="215"/>
      <c r="M55" s="215"/>
      <c r="N55" s="215">
        <f t="shared" si="19"/>
        <v>1058.2002285310182</v>
      </c>
      <c r="O55" s="215"/>
      <c r="P55" s="216">
        <f t="shared" si="15"/>
        <v>1716.824050768724</v>
      </c>
      <c r="Q55" s="216">
        <f>MROUND(P55,10)*Q4</f>
        <v>1720</v>
      </c>
      <c r="R55" s="323"/>
      <c r="S55" s="324"/>
    </row>
    <row r="56" spans="1:19" x14ac:dyDescent="0.2">
      <c r="B56" s="211" t="s">
        <v>667</v>
      </c>
      <c r="C56" s="211"/>
      <c r="D56" s="212"/>
      <c r="E56" s="212"/>
      <c r="F56" s="212"/>
      <c r="G56" s="213">
        <f>'[2]КФ наполнение'!H114</f>
        <v>1041.4430292378108</v>
      </c>
      <c r="H56" s="214">
        <f t="shared" si="7"/>
        <v>3.7781149999999997</v>
      </c>
      <c r="I56" s="215">
        <f t="shared" si="18"/>
        <v>0.98230989999999996</v>
      </c>
      <c r="J56" s="215">
        <f t="shared" si="13"/>
        <v>1046.2034541378109</v>
      </c>
      <c r="K56" s="215">
        <f t="shared" si="14"/>
        <v>270.77518760183085</v>
      </c>
      <c r="L56" s="215"/>
      <c r="M56" s="215"/>
      <c r="N56" s="215">
        <f t="shared" si="19"/>
        <v>1316.9786417396417</v>
      </c>
      <c r="O56" s="215"/>
      <c r="P56" s="216">
        <f t="shared" si="15"/>
        <v>2136.6661483583948</v>
      </c>
      <c r="Q56" s="216">
        <f>MROUND(P56,10)*Q4</f>
        <v>2140</v>
      </c>
      <c r="R56" s="323"/>
      <c r="S56" s="324"/>
    </row>
    <row r="57" spans="1:19" x14ac:dyDescent="0.2">
      <c r="B57" s="211" t="s">
        <v>668</v>
      </c>
      <c r="C57" s="211"/>
      <c r="D57" s="212"/>
      <c r="E57" s="212"/>
      <c r="F57" s="212"/>
      <c r="G57" s="213">
        <f>'[2]КФ наполнение'!H121</f>
        <v>1174.2787556580549</v>
      </c>
      <c r="H57" s="214">
        <f t="shared" si="7"/>
        <v>3.7781149999999997</v>
      </c>
      <c r="I57" s="215">
        <f t="shared" si="18"/>
        <v>0.98230989999999996</v>
      </c>
      <c r="J57" s="215">
        <f t="shared" si="13"/>
        <v>1179.039180558055</v>
      </c>
      <c r="K57" s="215">
        <f t="shared" si="14"/>
        <v>305.31247647109427</v>
      </c>
      <c r="L57" s="215"/>
      <c r="M57" s="215"/>
      <c r="N57" s="215">
        <f t="shared" si="19"/>
        <v>1484.3516570291492</v>
      </c>
      <c r="O57" s="215"/>
      <c r="P57" s="216">
        <f t="shared" si="15"/>
        <v>2408.2121283640918</v>
      </c>
      <c r="Q57" s="216">
        <f>MROUND(P57,10)*Q4</f>
        <v>2410</v>
      </c>
      <c r="R57" s="325"/>
      <c r="S57" s="326"/>
    </row>
    <row r="58" spans="1:19" ht="12.75" thickBot="1" x14ac:dyDescent="0.25">
      <c r="B58" s="327" t="s">
        <v>669</v>
      </c>
      <c r="C58" s="328"/>
      <c r="D58" s="328"/>
      <c r="E58" s="328"/>
      <c r="F58" s="328"/>
      <c r="G58" s="328"/>
      <c r="H58" s="328">
        <f>235.29*60/60/60</f>
        <v>3.9215</v>
      </c>
      <c r="I58" s="328">
        <f>H58*$I$8</f>
        <v>1.01959</v>
      </c>
      <c r="J58" s="328">
        <f>SUM(G58:I58)</f>
        <v>4.94109</v>
      </c>
      <c r="K58" s="328">
        <f>$K$8*G58</f>
        <v>0</v>
      </c>
      <c r="L58" s="328"/>
      <c r="M58" s="328"/>
      <c r="N58" s="328">
        <f>SUM(J58:M58)</f>
        <v>4.94109</v>
      </c>
      <c r="O58" s="328"/>
      <c r="P58" s="329">
        <f>(N58*$P$8+N58)*1.2</f>
        <v>7.4116349999999995</v>
      </c>
      <c r="Q58" s="217"/>
      <c r="R58" s="217"/>
      <c r="S58" s="206"/>
    </row>
    <row r="59" spans="1:19" ht="24" x14ac:dyDescent="0.2">
      <c r="A59" s="207" t="s">
        <v>670</v>
      </c>
      <c r="B59" s="218" t="s">
        <v>671</v>
      </c>
      <c r="C59" s="219"/>
      <c r="D59" s="220"/>
      <c r="E59" s="220"/>
      <c r="F59" s="220"/>
      <c r="G59" s="221">
        <f>'[2]КФ петель и подъемников'!I69</f>
        <v>354.16678298611112</v>
      </c>
      <c r="H59" s="222">
        <f t="shared" si="7"/>
        <v>3.7781149999999997</v>
      </c>
      <c r="I59" s="223">
        <f>H59*$I$8</f>
        <v>0.98230989999999996</v>
      </c>
      <c r="J59" s="223">
        <f>SUM(G59:I59)</f>
        <v>358.92720788611115</v>
      </c>
      <c r="K59" s="223">
        <f>$K$8*G59</f>
        <v>92.083363576388891</v>
      </c>
      <c r="L59" s="223"/>
      <c r="M59" s="223"/>
      <c r="N59" s="223">
        <f>SUM(J59:M59)</f>
        <v>451.01057146250002</v>
      </c>
      <c r="O59" s="224">
        <v>0.4</v>
      </c>
      <c r="P59" s="225">
        <f>(N59*O59+N59)*1.2*P4*P5</f>
        <v>819.52589727765144</v>
      </c>
      <c r="Q59" s="226">
        <f>MROUND(P59,10)*Q4</f>
        <v>820</v>
      </c>
      <c r="R59" s="226">
        <v>760</v>
      </c>
      <c r="S59" s="206">
        <f t="shared" si="6"/>
        <v>7.8947368421052655E-2</v>
      </c>
    </row>
    <row r="60" spans="1:19" ht="12.75" thickBot="1" x14ac:dyDescent="0.25">
      <c r="A60" s="207" t="s">
        <v>654</v>
      </c>
      <c r="B60" s="227" t="s">
        <v>431</v>
      </c>
      <c r="C60" s="228"/>
      <c r="D60" s="229"/>
      <c r="E60" s="229"/>
      <c r="F60" s="229"/>
      <c r="G60" s="230">
        <f>'[2]КФ петель и подъемников'!I75</f>
        <v>757.5920000000001</v>
      </c>
      <c r="H60" s="231">
        <f t="shared" si="7"/>
        <v>3.7781149999999997</v>
      </c>
      <c r="I60" s="232">
        <f t="shared" ref="I60:I94" si="20">H60*$I$8</f>
        <v>0.98230989999999996</v>
      </c>
      <c r="J60" s="232">
        <f t="shared" ref="J60:J69" si="21">SUM(G60:I60)</f>
        <v>762.35242490000007</v>
      </c>
      <c r="K60" s="232">
        <f t="shared" ref="K60:K69" si="22">$K$8*G60</f>
        <v>196.97392000000002</v>
      </c>
      <c r="L60" s="232"/>
      <c r="M60" s="232"/>
      <c r="N60" s="232">
        <f t="shared" ref="N60:N94" si="23">SUM(J60:M60)</f>
        <v>959.32634490000009</v>
      </c>
      <c r="O60" s="232"/>
      <c r="P60" s="233">
        <f>(N60*$P$8+N60)*1.2*P4*P5</f>
        <v>1556.4110619657602</v>
      </c>
      <c r="Q60" s="234">
        <f>MROUND(P60,10)*Q4</f>
        <v>1560</v>
      </c>
      <c r="R60" s="234">
        <v>1440</v>
      </c>
      <c r="S60" s="206">
        <f t="shared" si="6"/>
        <v>8.3333333333333259E-2</v>
      </c>
    </row>
    <row r="61" spans="1:19" ht="12.75" thickBot="1" x14ac:dyDescent="0.25">
      <c r="A61" s="207" t="s">
        <v>672</v>
      </c>
      <c r="B61" s="235" t="s">
        <v>419</v>
      </c>
      <c r="C61" s="236"/>
      <c r="D61" s="237"/>
      <c r="E61" s="237"/>
      <c r="F61" s="237"/>
      <c r="G61" s="238">
        <f>'[2]КФ петель и подъемников'!I81</f>
        <v>61.917000000000002</v>
      </c>
      <c r="H61" s="239">
        <f>$H$4/60</f>
        <v>3.7781149999999997</v>
      </c>
      <c r="I61" s="240">
        <f t="shared" si="20"/>
        <v>0.98230989999999996</v>
      </c>
      <c r="J61" s="240">
        <f t="shared" si="21"/>
        <v>66.677424900000005</v>
      </c>
      <c r="K61" s="240">
        <f t="shared" si="22"/>
        <v>16.098420000000001</v>
      </c>
      <c r="L61" s="240"/>
      <c r="M61" s="240"/>
      <c r="N61" s="240">
        <f t="shared" si="23"/>
        <v>82.77584490000001</v>
      </c>
      <c r="O61" s="241">
        <v>0.8</v>
      </c>
      <c r="P61" s="225">
        <f>(N61*O61+N61)*1.2*P4*P5</f>
        <v>193.38556430269443</v>
      </c>
      <c r="Q61" s="242">
        <f>MROUND(P61,10)*Q4</f>
        <v>190</v>
      </c>
      <c r="R61" s="242">
        <v>180</v>
      </c>
      <c r="S61" s="206">
        <f t="shared" si="6"/>
        <v>5.555555555555558E-2</v>
      </c>
    </row>
    <row r="62" spans="1:19" x14ac:dyDescent="0.2">
      <c r="A62" s="207" t="s">
        <v>670</v>
      </c>
      <c r="B62" s="218" t="s">
        <v>434</v>
      </c>
      <c r="C62" s="219"/>
      <c r="D62" s="220"/>
      <c r="E62" s="220"/>
      <c r="F62" s="220"/>
      <c r="G62" s="221">
        <f>'[2]КФ петель и подъемников'!I90</f>
        <v>632.12366666666662</v>
      </c>
      <c r="H62" s="222">
        <f t="shared" si="7"/>
        <v>3.7781149999999997</v>
      </c>
      <c r="I62" s="223">
        <f t="shared" si="20"/>
        <v>0.98230989999999996</v>
      </c>
      <c r="J62" s="223">
        <f t="shared" si="21"/>
        <v>636.8840915666666</v>
      </c>
      <c r="K62" s="223">
        <f t="shared" si="22"/>
        <v>164.35215333333332</v>
      </c>
      <c r="L62" s="223"/>
      <c r="M62" s="223"/>
      <c r="N62" s="223">
        <f t="shared" si="23"/>
        <v>801.23624489999997</v>
      </c>
      <c r="O62" s="223"/>
      <c r="P62" s="225">
        <f>(N62*$P$8+N62)*1.2*P4*P5</f>
        <v>1299.9256837257601</v>
      </c>
      <c r="Q62" s="226">
        <f>MROUND(P62,10)*Q4</f>
        <v>1300</v>
      </c>
      <c r="R62" s="226">
        <v>1200</v>
      </c>
      <c r="S62" s="206">
        <f t="shared" si="6"/>
        <v>8.3333333333333259E-2</v>
      </c>
    </row>
    <row r="63" spans="1:19" x14ac:dyDescent="0.2">
      <c r="A63" s="207" t="s">
        <v>654</v>
      </c>
      <c r="B63" s="227" t="s">
        <v>673</v>
      </c>
      <c r="C63" s="228"/>
      <c r="D63" s="229"/>
      <c r="E63" s="229"/>
      <c r="F63" s="229"/>
      <c r="G63" s="230">
        <f>'[2]КФ петель и подъемников'!I96</f>
        <v>741.0920000000001</v>
      </c>
      <c r="H63" s="231">
        <f t="shared" si="7"/>
        <v>3.7781149999999997</v>
      </c>
      <c r="I63" s="232">
        <f t="shared" si="20"/>
        <v>0.98230989999999996</v>
      </c>
      <c r="J63" s="232">
        <f t="shared" si="21"/>
        <v>745.85242490000007</v>
      </c>
      <c r="K63" s="232">
        <f t="shared" si="22"/>
        <v>192.68392000000003</v>
      </c>
      <c r="L63" s="232"/>
      <c r="M63" s="232"/>
      <c r="N63" s="232">
        <f t="shared" si="23"/>
        <v>938.53634490000013</v>
      </c>
      <c r="O63" s="232"/>
      <c r="P63" s="233">
        <f>(N63*$P$8+N63)*1.2*P4*P5</f>
        <v>1522.6813659657601</v>
      </c>
      <c r="Q63" s="234">
        <f>Q62</f>
        <v>1300</v>
      </c>
      <c r="R63" s="234">
        <v>1410</v>
      </c>
      <c r="S63" s="206">
        <f t="shared" si="6"/>
        <v>-7.8014184397163122E-2</v>
      </c>
    </row>
    <row r="64" spans="1:19" ht="12" customHeight="1" x14ac:dyDescent="0.2">
      <c r="A64" s="207" t="s">
        <v>672</v>
      </c>
      <c r="B64" s="227" t="s">
        <v>412</v>
      </c>
      <c r="C64" s="228"/>
      <c r="D64" s="229"/>
      <c r="E64" s="229"/>
      <c r="F64" s="229"/>
      <c r="G64" s="230">
        <f>'[2]КФ петель и подъемников'!I102</f>
        <v>158.99416666666667</v>
      </c>
      <c r="H64" s="231">
        <f>$H$4/60</f>
        <v>3.7781149999999997</v>
      </c>
      <c r="I64" s="232">
        <f t="shared" si="20"/>
        <v>0.98230989999999996</v>
      </c>
      <c r="J64" s="232">
        <f t="shared" si="21"/>
        <v>163.75459156666668</v>
      </c>
      <c r="K64" s="232">
        <f t="shared" si="22"/>
        <v>41.338483333333336</v>
      </c>
      <c r="L64" s="232"/>
      <c r="M64" s="232"/>
      <c r="N64" s="232">
        <f t="shared" si="23"/>
        <v>205.0930749</v>
      </c>
      <c r="O64" s="243">
        <v>0.8</v>
      </c>
      <c r="P64" s="233">
        <f>(N64*O64+N64)*1.2*P4*P5</f>
        <v>479.14992679357442</v>
      </c>
      <c r="Q64" s="234">
        <f>MROUND(P64,10)*Q4</f>
        <v>480</v>
      </c>
      <c r="R64" s="234">
        <v>440</v>
      </c>
      <c r="S64" s="206">
        <f t="shared" si="6"/>
        <v>9.0909090909090828E-2</v>
      </c>
    </row>
    <row r="65" spans="1:19" ht="12.75" thickBot="1" x14ac:dyDescent="0.25">
      <c r="A65" s="207" t="s">
        <v>672</v>
      </c>
      <c r="B65" s="235" t="s">
        <v>433</v>
      </c>
      <c r="C65" s="236"/>
      <c r="D65" s="237"/>
      <c r="E65" s="237"/>
      <c r="F65" s="237"/>
      <c r="G65" s="238">
        <f>'[2]КФ петель и подъемников'!I108</f>
        <v>63.992000000000004</v>
      </c>
      <c r="H65" s="239">
        <f>$H$4/60</f>
        <v>3.7781149999999997</v>
      </c>
      <c r="I65" s="240">
        <f t="shared" si="20"/>
        <v>0.98230989999999996</v>
      </c>
      <c r="J65" s="240">
        <f t="shared" si="21"/>
        <v>68.752424900000008</v>
      </c>
      <c r="K65" s="240">
        <f t="shared" si="22"/>
        <v>16.637920000000001</v>
      </c>
      <c r="L65" s="240"/>
      <c r="M65" s="240"/>
      <c r="N65" s="240">
        <f t="shared" si="23"/>
        <v>85.390344900000002</v>
      </c>
      <c r="O65" s="244">
        <v>0.8</v>
      </c>
      <c r="P65" s="245">
        <f>(N65*O65+N65)*1.2*P4*P5</f>
        <v>199.49370561469439</v>
      </c>
      <c r="Q65" s="242">
        <f>MROUND(P65,10)*Q4</f>
        <v>200</v>
      </c>
      <c r="R65" s="242">
        <v>180</v>
      </c>
      <c r="S65" s="206">
        <f t="shared" si="6"/>
        <v>0.11111111111111116</v>
      </c>
    </row>
    <row r="66" spans="1:19" x14ac:dyDescent="0.2">
      <c r="A66" s="207" t="s">
        <v>670</v>
      </c>
      <c r="B66" s="218" t="s">
        <v>674</v>
      </c>
      <c r="C66" s="219"/>
      <c r="D66" s="220"/>
      <c r="E66" s="220"/>
      <c r="F66" s="220"/>
      <c r="G66" s="221">
        <f>'[2]КФ петель и подъемников'!I117</f>
        <v>218.49386631944446</v>
      </c>
      <c r="H66" s="222">
        <f t="shared" si="7"/>
        <v>3.7781149999999997</v>
      </c>
      <c r="I66" s="223">
        <f t="shared" si="20"/>
        <v>0.98230989999999996</v>
      </c>
      <c r="J66" s="223">
        <f t="shared" si="21"/>
        <v>223.25429121944447</v>
      </c>
      <c r="K66" s="223">
        <f t="shared" si="22"/>
        <v>56.80840524305556</v>
      </c>
      <c r="L66" s="223"/>
      <c r="M66" s="223"/>
      <c r="N66" s="223">
        <f t="shared" si="23"/>
        <v>280.06269646250001</v>
      </c>
      <c r="O66" s="223"/>
      <c r="P66" s="225">
        <f>(N66*$P$8+N66)*1.2*$P$4*P5</f>
        <v>454.37371874076013</v>
      </c>
      <c r="Q66" s="226">
        <f>MROUND(P66,10)*Q4</f>
        <v>450</v>
      </c>
      <c r="R66" s="226">
        <v>420</v>
      </c>
      <c r="S66" s="206">
        <f t="shared" si="6"/>
        <v>7.1428571428571397E-2</v>
      </c>
    </row>
    <row r="67" spans="1:19" x14ac:dyDescent="0.2">
      <c r="A67" s="207" t="s">
        <v>654</v>
      </c>
      <c r="B67" s="227" t="s">
        <v>675</v>
      </c>
      <c r="C67" s="228"/>
      <c r="D67" s="229"/>
      <c r="E67" s="229"/>
      <c r="F67" s="229"/>
      <c r="G67" s="230">
        <f>'[2]КФ петель и подъемников'!I123</f>
        <v>317.5920000000001</v>
      </c>
      <c r="H67" s="231">
        <f t="shared" si="7"/>
        <v>3.7781149999999997</v>
      </c>
      <c r="I67" s="232">
        <f t="shared" si="20"/>
        <v>0.98230989999999996</v>
      </c>
      <c r="J67" s="232">
        <f t="shared" si="21"/>
        <v>322.35242490000013</v>
      </c>
      <c r="K67" s="232">
        <f t="shared" si="22"/>
        <v>82.57392000000003</v>
      </c>
      <c r="L67" s="232"/>
      <c r="M67" s="232"/>
      <c r="N67" s="232">
        <f t="shared" si="23"/>
        <v>404.92634490000017</v>
      </c>
      <c r="O67" s="232"/>
      <c r="P67" s="233">
        <f>(N67*$P$8+N67)*1.2*$P$4*P5</f>
        <v>656.95250196576023</v>
      </c>
      <c r="Q67" s="246">
        <f>MROUND(P67,10)*Q4</f>
        <v>660</v>
      </c>
      <c r="R67" s="246">
        <v>610</v>
      </c>
      <c r="S67" s="206">
        <f t="shared" si="6"/>
        <v>8.1967213114754189E-2</v>
      </c>
    </row>
    <row r="68" spans="1:19" x14ac:dyDescent="0.2">
      <c r="A68" s="207" t="s">
        <v>654</v>
      </c>
      <c r="B68" s="227" t="s">
        <v>676</v>
      </c>
      <c r="C68" s="228"/>
      <c r="D68" s="229"/>
      <c r="E68" s="229"/>
      <c r="F68" s="229"/>
      <c r="G68" s="230">
        <f>'[2]КФ петель и подъемников'!I131</f>
        <v>240.64200000000002</v>
      </c>
      <c r="H68" s="231">
        <f>$H$4/60</f>
        <v>3.7781149999999997</v>
      </c>
      <c r="I68" s="232">
        <f t="shared" si="20"/>
        <v>0.98230989999999996</v>
      </c>
      <c r="J68" s="232">
        <f t="shared" si="21"/>
        <v>245.4024249</v>
      </c>
      <c r="K68" s="232">
        <f t="shared" si="22"/>
        <v>62.56692000000001</v>
      </c>
      <c r="L68" s="232"/>
      <c r="M68" s="232"/>
      <c r="N68" s="232">
        <f t="shared" si="23"/>
        <v>307.96934490000001</v>
      </c>
      <c r="O68" s="232"/>
      <c r="P68" s="233">
        <f>(N68*$P$8+N68)*1.2*$P$4*P5</f>
        <v>499.64946516576003</v>
      </c>
      <c r="Q68" s="247">
        <f>MROUND(P68,10)*Q4</f>
        <v>500</v>
      </c>
      <c r="R68" s="246">
        <v>340</v>
      </c>
      <c r="S68" s="206">
        <f t="shared" si="6"/>
        <v>0.47058823529411775</v>
      </c>
    </row>
    <row r="69" spans="1:19" ht="12" customHeight="1" thickBot="1" x14ac:dyDescent="0.25">
      <c r="A69" s="207" t="s">
        <v>672</v>
      </c>
      <c r="B69" s="235" t="s">
        <v>403</v>
      </c>
      <c r="C69" s="236"/>
      <c r="D69" s="237"/>
      <c r="E69" s="237"/>
      <c r="F69" s="237"/>
      <c r="G69" s="238">
        <f>'[2]КФ петель и подъемников'!I139</f>
        <v>59.300333333333334</v>
      </c>
      <c r="H69" s="239">
        <f>$H$4/60</f>
        <v>3.7781149999999997</v>
      </c>
      <c r="I69" s="240">
        <f t="shared" si="20"/>
        <v>0.98230989999999996</v>
      </c>
      <c r="J69" s="240">
        <f t="shared" si="21"/>
        <v>64.060758233333331</v>
      </c>
      <c r="K69" s="240">
        <f t="shared" si="22"/>
        <v>15.418086666666667</v>
      </c>
      <c r="L69" s="240"/>
      <c r="M69" s="240"/>
      <c r="N69" s="240">
        <f t="shared" si="23"/>
        <v>79.478844899999999</v>
      </c>
      <c r="O69" s="240"/>
      <c r="P69" s="245">
        <f>(N69*$P$8+N69)*1.2*$P$4*P5</f>
        <v>128.94647796575998</v>
      </c>
      <c r="Q69" s="242">
        <f>MROUND(P69,10)*Q4</f>
        <v>130</v>
      </c>
      <c r="R69" s="242">
        <v>120</v>
      </c>
      <c r="S69" s="206">
        <f t="shared" si="6"/>
        <v>8.3333333333333259E-2</v>
      </c>
    </row>
    <row r="70" spans="1:19" x14ac:dyDescent="0.2">
      <c r="A70" s="207" t="s">
        <v>670</v>
      </c>
      <c r="B70" s="218" t="s">
        <v>677</v>
      </c>
      <c r="C70" s="219"/>
      <c r="D70" s="220"/>
      <c r="E70" s="220"/>
      <c r="F70" s="220"/>
      <c r="G70" s="221">
        <f>'[2]КФ петель и подъемников'!I149</f>
        <v>1834.7240000000002</v>
      </c>
      <c r="H70" s="222">
        <f t="shared" si="7"/>
        <v>3.7781149999999997</v>
      </c>
      <c r="I70" s="223">
        <f t="shared" si="20"/>
        <v>0.98230989999999996</v>
      </c>
      <c r="J70" s="223">
        <f>SUM(G70:I70)</f>
        <v>1839.4844249000002</v>
      </c>
      <c r="K70" s="223">
        <f>$K$8*G70</f>
        <v>477.02824000000004</v>
      </c>
      <c r="L70" s="223"/>
      <c r="M70" s="223"/>
      <c r="N70" s="223">
        <f t="shared" si="23"/>
        <v>2316.5126649000003</v>
      </c>
      <c r="O70" s="223"/>
      <c r="P70" s="225">
        <f>(N70*$P$8+N70)*1.2*$P$4*P5</f>
        <v>3758.3101475337612</v>
      </c>
      <c r="Q70" s="248">
        <f>Q73</f>
        <v>6080</v>
      </c>
      <c r="R70" s="226">
        <v>3470</v>
      </c>
      <c r="S70" s="206">
        <f t="shared" si="6"/>
        <v>0.75216138328530269</v>
      </c>
    </row>
    <row r="71" spans="1:19" x14ac:dyDescent="0.2">
      <c r="A71" s="207" t="s">
        <v>670</v>
      </c>
      <c r="B71" s="227" t="s">
        <v>678</v>
      </c>
      <c r="C71" s="228"/>
      <c r="D71" s="229"/>
      <c r="E71" s="229"/>
      <c r="F71" s="229"/>
      <c r="G71" s="230">
        <f>'[2]КФ петель и подъемников'!I158</f>
        <v>1870.4906666666666</v>
      </c>
      <c r="H71" s="231">
        <f t="shared" si="7"/>
        <v>3.7781149999999997</v>
      </c>
      <c r="I71" s="232">
        <f t="shared" si="20"/>
        <v>0.98230989999999996</v>
      </c>
      <c r="J71" s="232">
        <f>SUM(G71:I71)</f>
        <v>1875.2510915666667</v>
      </c>
      <c r="K71" s="232">
        <f>$K$8*G71</f>
        <v>486.32757333333331</v>
      </c>
      <c r="L71" s="232"/>
      <c r="M71" s="232"/>
      <c r="N71" s="232">
        <f t="shared" si="23"/>
        <v>2361.5786649000001</v>
      </c>
      <c r="O71" s="232"/>
      <c r="P71" s="233">
        <f>(N71*$P$8+N71)*1.2*$P$4*P5</f>
        <v>3831.4252259337604</v>
      </c>
      <c r="Q71" s="249">
        <f>Q73</f>
        <v>6080</v>
      </c>
      <c r="R71" s="234">
        <v>3540</v>
      </c>
      <c r="S71" s="206">
        <f t="shared" si="6"/>
        <v>0.71751412429378525</v>
      </c>
    </row>
    <row r="72" spans="1:19" x14ac:dyDescent="0.2">
      <c r="A72" s="207" t="s">
        <v>670</v>
      </c>
      <c r="B72" s="227" t="s">
        <v>679</v>
      </c>
      <c r="C72" s="228"/>
      <c r="D72" s="229"/>
      <c r="E72" s="229"/>
      <c r="F72" s="229"/>
      <c r="G72" s="230">
        <f>'[2]КФ петель и подъемников'!I169</f>
        <v>2518.5752000000002</v>
      </c>
      <c r="H72" s="231">
        <f t="shared" si="7"/>
        <v>3.7781149999999997</v>
      </c>
      <c r="I72" s="232">
        <f>H72*$I$8</f>
        <v>0.98230989999999996</v>
      </c>
      <c r="J72" s="232">
        <f>SUM(G72:I72)</f>
        <v>2523.3356249000003</v>
      </c>
      <c r="K72" s="232">
        <f>$K$8*G72</f>
        <v>654.82955200000004</v>
      </c>
      <c r="L72" s="232"/>
      <c r="M72" s="232"/>
      <c r="N72" s="232">
        <f>SUM(J72:M72)</f>
        <v>3178.1651769000005</v>
      </c>
      <c r="O72" s="232"/>
      <c r="P72" s="233">
        <f>(N72*$P$8+N72)*1.2*$P$4*P5</f>
        <v>5156.2551830025604</v>
      </c>
      <c r="Q72" s="234">
        <f>MROUND(P72,10)*Q4</f>
        <v>5160</v>
      </c>
      <c r="R72" s="234">
        <v>4770</v>
      </c>
      <c r="S72" s="206">
        <f t="shared" si="6"/>
        <v>8.1761006289308158E-2</v>
      </c>
    </row>
    <row r="73" spans="1:19" x14ac:dyDescent="0.2">
      <c r="A73" s="207" t="s">
        <v>654</v>
      </c>
      <c r="B73" s="227" t="s">
        <v>495</v>
      </c>
      <c r="C73" s="228"/>
      <c r="D73" s="229"/>
      <c r="E73" s="229"/>
      <c r="F73" s="229"/>
      <c r="G73" s="230">
        <f>'[2]КФ петель и подъемников'!I176</f>
        <v>2972.7573333333339</v>
      </c>
      <c r="H73" s="231">
        <f t="shared" si="7"/>
        <v>3.7781149999999997</v>
      </c>
      <c r="I73" s="232">
        <f>H73*$I$8</f>
        <v>0.98230989999999996</v>
      </c>
      <c r="J73" s="232">
        <f>SUM(G73:I73)</f>
        <v>2977.517758233334</v>
      </c>
      <c r="K73" s="232">
        <f>$K$8*G73</f>
        <v>772.91690666666682</v>
      </c>
      <c r="L73" s="232"/>
      <c r="M73" s="232"/>
      <c r="N73" s="232">
        <f>SUM(J73:M73)</f>
        <v>3750.4346649000008</v>
      </c>
      <c r="O73" s="232"/>
      <c r="P73" s="233">
        <f>(N73*$P$8+N73)*1.2*$P$4*P5</f>
        <v>6084.7052003337612</v>
      </c>
      <c r="Q73" s="234">
        <f>MROUND(P73,10)*Q4</f>
        <v>6080</v>
      </c>
      <c r="R73" s="234">
        <v>3460</v>
      </c>
      <c r="S73" s="206">
        <f t="shared" si="6"/>
        <v>0.75722543352601157</v>
      </c>
    </row>
    <row r="74" spans="1:19" ht="12" customHeight="1" x14ac:dyDescent="0.2">
      <c r="A74" s="207" t="s">
        <v>654</v>
      </c>
      <c r="B74" s="227" t="s">
        <v>680</v>
      </c>
      <c r="C74" s="228"/>
      <c r="D74" s="229"/>
      <c r="E74" s="229"/>
      <c r="F74" s="229"/>
      <c r="G74" s="230">
        <f>'[2]КФ петель и подъемников'!I182</f>
        <v>3388.8213333333338</v>
      </c>
      <c r="H74" s="231">
        <f t="shared" si="7"/>
        <v>3.7781149999999997</v>
      </c>
      <c r="I74" s="232">
        <f>H74*$I$8</f>
        <v>0.98230989999999996</v>
      </c>
      <c r="J74" s="232">
        <f t="shared" ref="J74:J94" si="24">SUM(G74:I74)</f>
        <v>3393.5817582333339</v>
      </c>
      <c r="K74" s="232">
        <f t="shared" ref="K74:K94" si="25">$K$8*G74</f>
        <v>881.09354666666684</v>
      </c>
      <c r="L74" s="232"/>
      <c r="M74" s="232"/>
      <c r="N74" s="232">
        <f>SUM(J74:M74)</f>
        <v>4274.6753049000008</v>
      </c>
      <c r="O74" s="232"/>
      <c r="P74" s="233">
        <f>(N74*$P$8+N74)*1.2*$P$4*P5</f>
        <v>6935.2332146697609</v>
      </c>
      <c r="Q74" s="234">
        <f>MROUND(P74,10)*Q4</f>
        <v>6940</v>
      </c>
      <c r="R74" s="234">
        <v>6410</v>
      </c>
      <c r="S74" s="206">
        <f t="shared" si="6"/>
        <v>8.2683307332293232E-2</v>
      </c>
    </row>
    <row r="75" spans="1:19" ht="12" customHeight="1" x14ac:dyDescent="0.2">
      <c r="A75" s="207" t="s">
        <v>672</v>
      </c>
      <c r="B75" s="227" t="s">
        <v>681</v>
      </c>
      <c r="C75" s="228"/>
      <c r="D75" s="229"/>
      <c r="E75" s="229"/>
      <c r="F75" s="229"/>
      <c r="G75" s="230">
        <f>'[2]КФ петель и подъемников'!I195</f>
        <v>6838.2068333333327</v>
      </c>
      <c r="H75" s="231">
        <f t="shared" si="7"/>
        <v>3.7781149999999997</v>
      </c>
      <c r="I75" s="232">
        <f t="shared" si="20"/>
        <v>0.98230989999999996</v>
      </c>
      <c r="J75" s="232">
        <f t="shared" si="24"/>
        <v>6842.9672582333324</v>
      </c>
      <c r="K75" s="232">
        <f t="shared" si="25"/>
        <v>1777.9337766666665</v>
      </c>
      <c r="L75" s="232"/>
      <c r="M75" s="232"/>
      <c r="N75" s="232">
        <f t="shared" si="23"/>
        <v>8620.9010348999982</v>
      </c>
      <c r="O75" s="232"/>
      <c r="P75" s="233">
        <f>(N75*$P$8+N75)*1.2*$P$4*P5</f>
        <v>13986.549839021758</v>
      </c>
      <c r="Q75" s="234">
        <f>MROUND(P75,10)*Q4</f>
        <v>13990</v>
      </c>
      <c r="R75" s="234">
        <v>12930</v>
      </c>
      <c r="S75" s="206">
        <f t="shared" si="6"/>
        <v>8.1979891724671239E-2</v>
      </c>
    </row>
    <row r="76" spans="1:19" ht="12.75" thickBot="1" x14ac:dyDescent="0.25">
      <c r="A76" s="207" t="s">
        <v>672</v>
      </c>
      <c r="B76" s="235" t="s">
        <v>445</v>
      </c>
      <c r="C76" s="236"/>
      <c r="D76" s="237"/>
      <c r="E76" s="237"/>
      <c r="F76" s="237"/>
      <c r="G76" s="238">
        <f>'[2]КФ петель и подъемников'!I203</f>
        <v>1115.3523333333333</v>
      </c>
      <c r="H76" s="239">
        <f>$H$4/60</f>
        <v>3.7781149999999997</v>
      </c>
      <c r="I76" s="240">
        <f t="shared" si="20"/>
        <v>0.98230989999999996</v>
      </c>
      <c r="J76" s="240">
        <f t="shared" si="24"/>
        <v>1120.1127582333334</v>
      </c>
      <c r="K76" s="240">
        <f t="shared" si="25"/>
        <v>289.99160666666666</v>
      </c>
      <c r="L76" s="240"/>
      <c r="M76" s="240"/>
      <c r="N76" s="240">
        <f t="shared" si="23"/>
        <v>1410.1043649000001</v>
      </c>
      <c r="O76" s="240"/>
      <c r="P76" s="245">
        <f>(N76*$P$8+N76)*1.2*$P$4*P5</f>
        <v>2287.7533216137599</v>
      </c>
      <c r="Q76" s="242">
        <f>MROUND(P76,10)*Q4</f>
        <v>2290</v>
      </c>
      <c r="R76" s="242">
        <v>2120</v>
      </c>
      <c r="S76" s="206">
        <f t="shared" si="6"/>
        <v>8.0188679245283057E-2</v>
      </c>
    </row>
    <row r="77" spans="1:19" x14ac:dyDescent="0.2">
      <c r="B77" s="330" t="s">
        <v>682</v>
      </c>
      <c r="C77" s="331"/>
      <c r="D77" s="331"/>
      <c r="E77" s="331"/>
      <c r="F77" s="331"/>
      <c r="G77" s="331"/>
      <c r="H77" s="331">
        <f>235.29*60/60/60</f>
        <v>3.9215</v>
      </c>
      <c r="I77" s="331">
        <f t="shared" si="20"/>
        <v>1.01959</v>
      </c>
      <c r="J77" s="331">
        <f t="shared" si="24"/>
        <v>4.94109</v>
      </c>
      <c r="K77" s="331">
        <f t="shared" si="25"/>
        <v>0</v>
      </c>
      <c r="L77" s="331"/>
      <c r="M77" s="331"/>
      <c r="N77" s="331">
        <f t="shared" si="23"/>
        <v>4.94109</v>
      </c>
      <c r="O77" s="331"/>
      <c r="P77" s="332">
        <f>(N77*$P$8+N77)*1.2</f>
        <v>7.4116349999999995</v>
      </c>
      <c r="Q77" s="217"/>
      <c r="R77" s="217"/>
      <c r="S77" s="206"/>
    </row>
    <row r="78" spans="1:19" x14ac:dyDescent="0.2">
      <c r="B78" s="201" t="s">
        <v>683</v>
      </c>
      <c r="C78" s="201"/>
      <c r="D78" s="202"/>
      <c r="E78" s="202"/>
      <c r="F78" s="202"/>
      <c r="G78" s="209">
        <f>'[2]КФ прочее'!H41</f>
        <v>284.91833333333335</v>
      </c>
      <c r="H78" s="204">
        <f t="shared" ref="H78:H85" si="26">$H$4/60</f>
        <v>3.7781149999999997</v>
      </c>
      <c r="I78" s="203">
        <f t="shared" si="20"/>
        <v>0.98230989999999996</v>
      </c>
      <c r="J78" s="203">
        <f t="shared" si="24"/>
        <v>289.67875823333338</v>
      </c>
      <c r="K78" s="203">
        <f t="shared" si="25"/>
        <v>74.078766666666667</v>
      </c>
      <c r="L78" s="203"/>
      <c r="M78" s="203"/>
      <c r="N78" s="203">
        <f t="shared" si="23"/>
        <v>363.75752490000002</v>
      </c>
      <c r="O78" s="203"/>
      <c r="P78" s="191">
        <f>(N78*$P$8+N78)*1.2*$P$4*$P$5</f>
        <v>590.16020839776013</v>
      </c>
      <c r="Q78" s="191">
        <f>MROUND(P78,10)*Q4</f>
        <v>590</v>
      </c>
      <c r="R78" s="191">
        <v>550</v>
      </c>
      <c r="S78" s="206">
        <f t="shared" si="6"/>
        <v>7.2727272727272751E-2</v>
      </c>
    </row>
    <row r="79" spans="1:19" x14ac:dyDescent="0.2">
      <c r="B79" s="201" t="s">
        <v>439</v>
      </c>
      <c r="C79" s="201"/>
      <c r="D79" s="202"/>
      <c r="E79" s="202"/>
      <c r="F79" s="202"/>
      <c r="G79" s="209">
        <f>'[2]КФ прочее'!H46</f>
        <v>96.704999999999998</v>
      </c>
      <c r="H79" s="204">
        <f t="shared" si="26"/>
        <v>3.7781149999999997</v>
      </c>
      <c r="I79" s="203">
        <f>H79*$I$8</f>
        <v>0.98230989999999996</v>
      </c>
      <c r="J79" s="203">
        <f>SUM(G79:I79)</f>
        <v>101.4654249</v>
      </c>
      <c r="K79" s="203">
        <f>$K$8*G79</f>
        <v>25.1433</v>
      </c>
      <c r="L79" s="203"/>
      <c r="M79" s="203"/>
      <c r="N79" s="203">
        <f>SUM(J79:M79)</f>
        <v>126.6087249</v>
      </c>
      <c r="O79" s="203"/>
      <c r="P79" s="191">
        <f t="shared" ref="P79:P94" si="27">(N79*$P$8+N79)*1.2*$P$4*$P$5</f>
        <v>205.40999527775998</v>
      </c>
      <c r="Q79" s="191">
        <f>MROUND(P79,10)*Q4</f>
        <v>210</v>
      </c>
      <c r="R79" s="191">
        <v>190</v>
      </c>
      <c r="S79" s="206">
        <f t="shared" si="6"/>
        <v>0.10526315789473695</v>
      </c>
    </row>
    <row r="80" spans="1:19" x14ac:dyDescent="0.2">
      <c r="B80" s="201" t="s">
        <v>440</v>
      </c>
      <c r="C80" s="201"/>
      <c r="D80" s="202"/>
      <c r="E80" s="202"/>
      <c r="F80" s="202"/>
      <c r="G80" s="209">
        <f>'[2]КФ прочее'!H97</f>
        <v>7.15</v>
      </c>
      <c r="H80" s="204">
        <f t="shared" si="26"/>
        <v>3.7781149999999997</v>
      </c>
      <c r="I80" s="203">
        <f>H80*$I$8</f>
        <v>0.98230989999999996</v>
      </c>
      <c r="J80" s="203">
        <f>SUM(G80:I80)</f>
        <v>11.910424900000001</v>
      </c>
      <c r="K80" s="203">
        <f>$K$8*G80</f>
        <v>1.8590000000000002</v>
      </c>
      <c r="L80" s="203"/>
      <c r="M80" s="203"/>
      <c r="N80" s="203">
        <f>SUM(J80:M80)</f>
        <v>13.769424900000001</v>
      </c>
      <c r="O80" s="203"/>
      <c r="P80" s="191">
        <f t="shared" si="27"/>
        <v>22.339514957760006</v>
      </c>
      <c r="Q80" s="191">
        <f>MROUND(P80,10)*Q4</f>
        <v>20</v>
      </c>
      <c r="R80" s="191">
        <v>20</v>
      </c>
      <c r="S80" s="206">
        <f t="shared" si="6"/>
        <v>0</v>
      </c>
    </row>
    <row r="81" spans="2:19" ht="12.75" customHeight="1" x14ac:dyDescent="0.2">
      <c r="B81" s="201" t="s">
        <v>684</v>
      </c>
      <c r="C81" s="201"/>
      <c r="D81" s="202"/>
      <c r="E81" s="202"/>
      <c r="F81" s="202"/>
      <c r="G81" s="209">
        <f>'[2]КФ прочее'!H48</f>
        <v>4.9500000000000011</v>
      </c>
      <c r="H81" s="204">
        <f t="shared" si="26"/>
        <v>3.7781149999999997</v>
      </c>
      <c r="I81" s="203">
        <f t="shared" si="20"/>
        <v>0.98230989999999996</v>
      </c>
      <c r="J81" s="203">
        <f t="shared" si="24"/>
        <v>9.7104249000000014</v>
      </c>
      <c r="K81" s="203">
        <f t="shared" si="25"/>
        <v>1.2870000000000004</v>
      </c>
      <c r="L81" s="203"/>
      <c r="M81" s="203"/>
      <c r="N81" s="203">
        <f t="shared" si="23"/>
        <v>10.997424900000002</v>
      </c>
      <c r="O81" s="203"/>
      <c r="P81" s="191">
        <f t="shared" si="27"/>
        <v>17.842222157760002</v>
      </c>
      <c r="Q81" s="191">
        <f>MROUND(P81,10)*Q4</f>
        <v>20</v>
      </c>
      <c r="R81" s="191">
        <v>20</v>
      </c>
      <c r="S81" s="206">
        <f t="shared" si="6"/>
        <v>0</v>
      </c>
    </row>
    <row r="82" spans="2:19" x14ac:dyDescent="0.2">
      <c r="B82" s="201" t="s">
        <v>685</v>
      </c>
      <c r="C82" s="201"/>
      <c r="D82" s="202"/>
      <c r="E82" s="202"/>
      <c r="F82" s="202"/>
      <c r="G82" s="209">
        <f>'[2]КФ прочее'!H50</f>
        <v>6.1875000000000018</v>
      </c>
      <c r="H82" s="204">
        <f t="shared" si="26"/>
        <v>3.7781149999999997</v>
      </c>
      <c r="I82" s="203">
        <f t="shared" si="20"/>
        <v>0.98230989999999996</v>
      </c>
      <c r="J82" s="203">
        <f t="shared" si="24"/>
        <v>10.947924900000002</v>
      </c>
      <c r="K82" s="203">
        <f t="shared" si="25"/>
        <v>1.6087500000000006</v>
      </c>
      <c r="L82" s="203"/>
      <c r="M82" s="203"/>
      <c r="N82" s="203">
        <f t="shared" si="23"/>
        <v>12.556674900000003</v>
      </c>
      <c r="O82" s="203"/>
      <c r="P82" s="191">
        <f t="shared" si="27"/>
        <v>20.371949357760005</v>
      </c>
      <c r="Q82" s="191">
        <f>MROUND(P82,10)*Q4</f>
        <v>20</v>
      </c>
      <c r="R82" s="191">
        <v>20</v>
      </c>
      <c r="S82" s="206">
        <f t="shared" si="6"/>
        <v>0</v>
      </c>
    </row>
    <row r="83" spans="2:19" x14ac:dyDescent="0.2">
      <c r="B83" s="201" t="s">
        <v>686</v>
      </c>
      <c r="C83" s="201"/>
      <c r="D83" s="202"/>
      <c r="E83" s="202"/>
      <c r="F83" s="202"/>
      <c r="G83" s="209">
        <f>'[2]КФ прочее'!H52</f>
        <v>11.748000000000001</v>
      </c>
      <c r="H83" s="204">
        <f t="shared" si="26"/>
        <v>3.7781149999999997</v>
      </c>
      <c r="I83" s="203">
        <f t="shared" si="20"/>
        <v>0.98230989999999996</v>
      </c>
      <c r="J83" s="203">
        <f t="shared" si="24"/>
        <v>16.508424900000001</v>
      </c>
      <c r="K83" s="203">
        <f t="shared" si="25"/>
        <v>3.0544800000000003</v>
      </c>
      <c r="L83" s="203"/>
      <c r="M83" s="203"/>
      <c r="N83" s="203">
        <f t="shared" si="23"/>
        <v>19.562904900000003</v>
      </c>
      <c r="O83" s="203"/>
      <c r="P83" s="191">
        <f t="shared" si="27"/>
        <v>31.738856909760006</v>
      </c>
      <c r="Q83" s="191">
        <f>MROUND(P83,10)*Q4</f>
        <v>30</v>
      </c>
      <c r="R83" s="191">
        <v>30</v>
      </c>
      <c r="S83" s="206">
        <f t="shared" si="6"/>
        <v>0</v>
      </c>
    </row>
    <row r="84" spans="2:19" x14ac:dyDescent="0.2">
      <c r="B84" s="201" t="s">
        <v>687</v>
      </c>
      <c r="C84" s="201"/>
      <c r="D84" s="202"/>
      <c r="E84" s="202"/>
      <c r="F84" s="202"/>
      <c r="G84" s="209">
        <f>'[2]КФ прочее'!H54</f>
        <v>14.685000000000002</v>
      </c>
      <c r="H84" s="204">
        <f t="shared" si="26"/>
        <v>3.7781149999999997</v>
      </c>
      <c r="I84" s="203">
        <f t="shared" si="20"/>
        <v>0.98230989999999996</v>
      </c>
      <c r="J84" s="203">
        <f t="shared" si="24"/>
        <v>19.445424900000003</v>
      </c>
      <c r="K84" s="203">
        <f t="shared" si="25"/>
        <v>3.8181000000000007</v>
      </c>
      <c r="L84" s="203"/>
      <c r="M84" s="203"/>
      <c r="N84" s="203">
        <f t="shared" si="23"/>
        <v>23.263524900000004</v>
      </c>
      <c r="O84" s="203"/>
      <c r="P84" s="191">
        <f t="shared" si="27"/>
        <v>37.742742797760009</v>
      </c>
      <c r="Q84" s="191">
        <f>Q83</f>
        <v>30</v>
      </c>
      <c r="R84" s="191">
        <v>30</v>
      </c>
      <c r="S84" s="206">
        <f t="shared" ref="S84:S94" si="28">Q84/R84-1</f>
        <v>0</v>
      </c>
    </row>
    <row r="85" spans="2:19" x14ac:dyDescent="0.2">
      <c r="B85" s="201" t="s">
        <v>413</v>
      </c>
      <c r="C85" s="201"/>
      <c r="D85" s="202"/>
      <c r="E85" s="202"/>
      <c r="F85" s="202"/>
      <c r="G85" s="209">
        <f>'[2]КФ прочее'!H58</f>
        <v>10.747</v>
      </c>
      <c r="H85" s="204">
        <f t="shared" si="26"/>
        <v>3.7781149999999997</v>
      </c>
      <c r="I85" s="203">
        <f t="shared" si="20"/>
        <v>0.98230989999999996</v>
      </c>
      <c r="J85" s="203">
        <f t="shared" si="24"/>
        <v>15.5074249</v>
      </c>
      <c r="K85" s="203">
        <f t="shared" si="25"/>
        <v>2.7942200000000001</v>
      </c>
      <c r="L85" s="203"/>
      <c r="M85" s="203"/>
      <c r="N85" s="203">
        <f t="shared" si="23"/>
        <v>18.301644899999999</v>
      </c>
      <c r="O85" s="203"/>
      <c r="P85" s="191">
        <f t="shared" si="27"/>
        <v>29.692588685760001</v>
      </c>
      <c r="Q85" s="191">
        <f>MROUND(P85,10)*Q4</f>
        <v>30</v>
      </c>
      <c r="R85" s="191">
        <v>30</v>
      </c>
      <c r="S85" s="206">
        <f t="shared" si="28"/>
        <v>0</v>
      </c>
    </row>
    <row r="86" spans="2:19" x14ac:dyDescent="0.2">
      <c r="B86" s="201" t="s">
        <v>462</v>
      </c>
      <c r="C86" s="201"/>
      <c r="D86" s="202"/>
      <c r="E86" s="202"/>
      <c r="F86" s="202"/>
      <c r="G86" s="209">
        <f>'[2]КФ прочее'!H74</f>
        <v>16.582500000000003</v>
      </c>
      <c r="H86" s="204">
        <f>$H$4/60</f>
        <v>3.7781149999999997</v>
      </c>
      <c r="I86" s="203">
        <f t="shared" si="20"/>
        <v>0.98230989999999996</v>
      </c>
      <c r="J86" s="203">
        <f t="shared" si="24"/>
        <v>21.342924900000003</v>
      </c>
      <c r="K86" s="203">
        <f t="shared" si="25"/>
        <v>4.3114500000000007</v>
      </c>
      <c r="L86" s="203"/>
      <c r="M86" s="203"/>
      <c r="N86" s="203">
        <f t="shared" si="23"/>
        <v>25.654374900000004</v>
      </c>
      <c r="O86" s="203"/>
      <c r="P86" s="191">
        <f t="shared" si="27"/>
        <v>41.621657837760004</v>
      </c>
      <c r="Q86" s="191">
        <f>MROUND(P86,10)*Q4</f>
        <v>40</v>
      </c>
      <c r="R86" s="191">
        <v>40</v>
      </c>
      <c r="S86" s="206">
        <f t="shared" si="28"/>
        <v>0</v>
      </c>
    </row>
    <row r="87" spans="2:19" x14ac:dyDescent="0.2">
      <c r="B87" s="211" t="s">
        <v>437</v>
      </c>
      <c r="C87" s="211"/>
      <c r="D87" s="212"/>
      <c r="E87" s="212"/>
      <c r="F87" s="212"/>
      <c r="G87" s="213">
        <f>'[2]КФ прочее'!H78</f>
        <v>187.63066666666668</v>
      </c>
      <c r="H87" s="214">
        <f>$H$4/60</f>
        <v>3.7781149999999997</v>
      </c>
      <c r="I87" s="215">
        <f t="shared" si="20"/>
        <v>0.98230989999999996</v>
      </c>
      <c r="J87" s="215">
        <f t="shared" si="24"/>
        <v>192.39109156666669</v>
      </c>
      <c r="K87" s="215">
        <f t="shared" si="25"/>
        <v>48.783973333333343</v>
      </c>
      <c r="L87" s="215"/>
      <c r="M87" s="215"/>
      <c r="N87" s="215">
        <f t="shared" si="23"/>
        <v>241.17506490000002</v>
      </c>
      <c r="O87" s="215"/>
      <c r="P87" s="216">
        <f t="shared" si="27"/>
        <v>391.28242529376001</v>
      </c>
      <c r="Q87" s="216">
        <f>MROUND(P87,10)</f>
        <v>390</v>
      </c>
      <c r="R87" s="216">
        <v>360</v>
      </c>
      <c r="S87" s="250">
        <f t="shared" si="28"/>
        <v>8.3333333333333259E-2</v>
      </c>
    </row>
    <row r="88" spans="2:19" x14ac:dyDescent="0.2">
      <c r="B88" s="201" t="s">
        <v>688</v>
      </c>
      <c r="C88" s="201"/>
      <c r="D88" s="202"/>
      <c r="E88" s="202"/>
      <c r="F88" s="202"/>
      <c r="G88" s="209">
        <f>[2]исх!H150</f>
        <v>539.90112994350284</v>
      </c>
      <c r="H88" s="204">
        <f>$H$4/60</f>
        <v>3.7781149999999997</v>
      </c>
      <c r="I88" s="203">
        <f t="shared" si="20"/>
        <v>0.98230989999999996</v>
      </c>
      <c r="J88" s="203">
        <f t="shared" si="24"/>
        <v>544.66155484350281</v>
      </c>
      <c r="K88" s="203">
        <f t="shared" si="25"/>
        <v>140.37429378531075</v>
      </c>
      <c r="L88" s="203"/>
      <c r="M88" s="203"/>
      <c r="N88" s="203">
        <f t="shared" si="23"/>
        <v>685.0358486288136</v>
      </c>
      <c r="O88" s="203"/>
      <c r="P88" s="191">
        <f t="shared" si="27"/>
        <v>1111.4021608153871</v>
      </c>
      <c r="Q88" s="191">
        <f>MROUND(P88,10)*Q4</f>
        <v>1110</v>
      </c>
      <c r="R88" s="191">
        <v>1030</v>
      </c>
      <c r="S88" s="206">
        <f t="shared" si="28"/>
        <v>7.7669902912621325E-2</v>
      </c>
    </row>
    <row r="89" spans="2:19" ht="12.75" x14ac:dyDescent="0.2">
      <c r="B89" s="208" t="s">
        <v>689</v>
      </c>
      <c r="C89" s="201"/>
      <c r="D89" s="202"/>
      <c r="E89" s="202"/>
      <c r="F89" s="202"/>
      <c r="G89" s="209">
        <f>[2]исх!G148</f>
        <v>4179.0833333333339</v>
      </c>
      <c r="H89" s="204">
        <f>$H$4/60</f>
        <v>3.7781149999999997</v>
      </c>
      <c r="I89" s="203">
        <f t="shared" si="20"/>
        <v>0.98230989999999996</v>
      </c>
      <c r="J89" s="203">
        <f t="shared" si="24"/>
        <v>4183.8437582333336</v>
      </c>
      <c r="K89" s="203">
        <f t="shared" si="25"/>
        <v>1086.561666666667</v>
      </c>
      <c r="L89" s="203"/>
      <c r="M89" s="203"/>
      <c r="N89" s="203">
        <f t="shared" si="23"/>
        <v>5270.4054249000001</v>
      </c>
      <c r="O89" s="203"/>
      <c r="P89" s="191">
        <f t="shared" si="27"/>
        <v>8550.7057613577599</v>
      </c>
      <c r="Q89" s="191">
        <f>MROUND(P89,10)*Q4</f>
        <v>8550</v>
      </c>
      <c r="R89" s="191">
        <v>7910</v>
      </c>
      <c r="S89" s="206">
        <f t="shared" si="28"/>
        <v>8.0910240202275663E-2</v>
      </c>
    </row>
    <row r="90" spans="2:19" ht="12.75" x14ac:dyDescent="0.2">
      <c r="B90" s="208" t="s">
        <v>690</v>
      </c>
      <c r="C90" s="201"/>
      <c r="D90" s="202"/>
      <c r="E90" s="202"/>
      <c r="F90" s="202"/>
      <c r="G90" s="209">
        <f>[2]исх!G149</f>
        <v>4009.2514124293798</v>
      </c>
      <c r="H90" s="204">
        <f>$H$4/60</f>
        <v>3.7781149999999997</v>
      </c>
      <c r="I90" s="203">
        <f t="shared" si="20"/>
        <v>0.98230989999999996</v>
      </c>
      <c r="J90" s="203">
        <f t="shared" si="24"/>
        <v>4014.0118373293799</v>
      </c>
      <c r="K90" s="203">
        <f t="shared" si="25"/>
        <v>1042.4053672316388</v>
      </c>
      <c r="L90" s="203"/>
      <c r="M90" s="203"/>
      <c r="N90" s="203">
        <f t="shared" si="23"/>
        <v>5056.4172045610185</v>
      </c>
      <c r="O90" s="203"/>
      <c r="P90" s="191">
        <f t="shared" si="27"/>
        <v>8203.5312726797965</v>
      </c>
      <c r="Q90" s="191">
        <f>MROUND(P90,10)*Q4</f>
        <v>8200</v>
      </c>
      <c r="R90" s="191">
        <v>7580</v>
      </c>
      <c r="S90" s="206">
        <f t="shared" si="28"/>
        <v>8.1794195250659563E-2</v>
      </c>
    </row>
    <row r="91" spans="2:19" x14ac:dyDescent="0.2">
      <c r="B91" s="201" t="s">
        <v>407</v>
      </c>
      <c r="C91" s="201"/>
      <c r="D91" s="202"/>
      <c r="E91" s="202"/>
      <c r="F91" s="202"/>
      <c r="G91" s="209">
        <f>'[2]КФ прочее'!H80</f>
        <v>2.933333333333334</v>
      </c>
      <c r="H91" s="204">
        <f>H90</f>
        <v>3.7781149999999997</v>
      </c>
      <c r="I91" s="203">
        <f t="shared" si="20"/>
        <v>0.98230989999999996</v>
      </c>
      <c r="J91" s="203">
        <f t="shared" si="24"/>
        <v>7.693758233333333</v>
      </c>
      <c r="K91" s="203">
        <f t="shared" si="25"/>
        <v>0.76266666666666683</v>
      </c>
      <c r="L91" s="203"/>
      <c r="M91" s="203"/>
      <c r="N91" s="203">
        <f t="shared" si="23"/>
        <v>8.4564249</v>
      </c>
      <c r="O91" s="203"/>
      <c r="P91" s="191">
        <f t="shared" si="27"/>
        <v>13.719703757760003</v>
      </c>
      <c r="Q91" s="191">
        <f>MROUND(P91,10)*Q4</f>
        <v>10</v>
      </c>
      <c r="R91" s="191">
        <v>10</v>
      </c>
      <c r="S91" s="206">
        <f t="shared" si="28"/>
        <v>0</v>
      </c>
    </row>
    <row r="92" spans="2:19" x14ac:dyDescent="0.2">
      <c r="B92" s="201" t="s">
        <v>483</v>
      </c>
      <c r="C92" s="201"/>
      <c r="D92" s="202"/>
      <c r="E92" s="202"/>
      <c r="F92" s="202"/>
      <c r="G92" s="209">
        <f>'[2]КФ прочее'!H86</f>
        <v>139.58816666666667</v>
      </c>
      <c r="H92" s="204">
        <f>H91</f>
        <v>3.7781149999999997</v>
      </c>
      <c r="I92" s="203">
        <f t="shared" si="20"/>
        <v>0.98230989999999996</v>
      </c>
      <c r="J92" s="203">
        <f t="shared" si="24"/>
        <v>144.34859156666667</v>
      </c>
      <c r="K92" s="203">
        <f t="shared" si="25"/>
        <v>36.292923333333334</v>
      </c>
      <c r="L92" s="203"/>
      <c r="M92" s="203"/>
      <c r="N92" s="203">
        <f t="shared" si="23"/>
        <v>180.6415149</v>
      </c>
      <c r="O92" s="203"/>
      <c r="P92" s="191">
        <f t="shared" si="27"/>
        <v>293.07279377376</v>
      </c>
      <c r="Q92" s="191">
        <f>MROUND(P92,10)*Q4</f>
        <v>290</v>
      </c>
      <c r="R92" s="191">
        <v>270</v>
      </c>
      <c r="S92" s="206">
        <f t="shared" si="28"/>
        <v>7.4074074074074181E-2</v>
      </c>
    </row>
    <row r="93" spans="2:19" ht="12.75" x14ac:dyDescent="0.2">
      <c r="B93" s="208" t="s">
        <v>691</v>
      </c>
      <c r="C93" s="201"/>
      <c r="D93" s="202"/>
      <c r="E93" s="202"/>
      <c r="F93" s="202"/>
      <c r="G93" s="209">
        <f>[2]исх!G75</f>
        <v>267.34583333333342</v>
      </c>
      <c r="H93" s="204">
        <f>H92</f>
        <v>3.7781149999999997</v>
      </c>
      <c r="I93" s="203">
        <f t="shared" si="20"/>
        <v>0.98230989999999996</v>
      </c>
      <c r="J93" s="203">
        <f t="shared" si="24"/>
        <v>272.10625823333345</v>
      </c>
      <c r="K93" s="203">
        <f t="shared" si="25"/>
        <v>69.509916666666697</v>
      </c>
      <c r="L93" s="203"/>
      <c r="M93" s="203"/>
      <c r="N93" s="203">
        <f t="shared" si="23"/>
        <v>341.61617490000015</v>
      </c>
      <c r="O93" s="203"/>
      <c r="P93" s="191">
        <f t="shared" si="27"/>
        <v>554.23808215776035</v>
      </c>
      <c r="Q93" s="191">
        <f>MROUND(P93,10)*Q4</f>
        <v>550</v>
      </c>
      <c r="R93" s="191">
        <v>510</v>
      </c>
      <c r="S93" s="206">
        <f t="shared" si="28"/>
        <v>7.8431372549019551E-2</v>
      </c>
    </row>
    <row r="94" spans="2:19" ht="12.75" x14ac:dyDescent="0.2">
      <c r="B94" s="208" t="s">
        <v>692</v>
      </c>
      <c r="C94" s="201"/>
      <c r="D94" s="202"/>
      <c r="E94" s="202"/>
      <c r="F94" s="202"/>
      <c r="G94" s="209">
        <f>[2]исх!G76</f>
        <v>373.12000000000006</v>
      </c>
      <c r="H94" s="204">
        <f>H93</f>
        <v>3.7781149999999997</v>
      </c>
      <c r="I94" s="203">
        <f t="shared" si="20"/>
        <v>0.98230989999999996</v>
      </c>
      <c r="J94" s="203">
        <f t="shared" si="24"/>
        <v>377.88042490000009</v>
      </c>
      <c r="K94" s="203">
        <f t="shared" si="25"/>
        <v>97.011200000000017</v>
      </c>
      <c r="L94" s="203"/>
      <c r="M94" s="203"/>
      <c r="N94" s="203">
        <f t="shared" si="23"/>
        <v>474.89162490000012</v>
      </c>
      <c r="O94" s="203"/>
      <c r="P94" s="191">
        <f t="shared" si="27"/>
        <v>770.46417223776029</v>
      </c>
      <c r="Q94" s="191">
        <f>MROUND(P94,10)*Q4</f>
        <v>770</v>
      </c>
      <c r="R94" s="191">
        <v>710</v>
      </c>
      <c r="S94" s="206">
        <f t="shared" si="28"/>
        <v>8.4507042253521236E-2</v>
      </c>
    </row>
    <row r="95" spans="2:19" ht="12.75" x14ac:dyDescent="0.2">
      <c r="B95" s="208" t="s">
        <v>693</v>
      </c>
      <c r="C95" s="201"/>
      <c r="D95" s="202"/>
      <c r="E95" s="202"/>
      <c r="F95" s="202"/>
      <c r="G95" s="209">
        <f>'[2]КФ НСТ'!G25</f>
        <v>143.55000000000001</v>
      </c>
      <c r="H95" s="204">
        <f>H94</f>
        <v>3.7781149999999997</v>
      </c>
      <c r="I95" s="203">
        <f>H95*$I$8</f>
        <v>0.98230989999999996</v>
      </c>
      <c r="J95" s="203">
        <f>SUM(G95:I95)</f>
        <v>148.31042490000002</v>
      </c>
      <c r="K95" s="203">
        <f>$K$8*G95</f>
        <v>37.323000000000008</v>
      </c>
      <c r="L95" s="203"/>
      <c r="M95" s="203"/>
      <c r="N95" s="203">
        <f>SUM(J95:M95)</f>
        <v>185.63342490000002</v>
      </c>
      <c r="O95" s="203"/>
      <c r="P95" s="191">
        <f>(N95*$P$8+N95)*1.2*$P$4*$P$5</f>
        <v>301.17166855776009</v>
      </c>
      <c r="Q95" s="191">
        <f>MROUND(P95,10)*Q4</f>
        <v>300</v>
      </c>
      <c r="R95" s="191">
        <v>280</v>
      </c>
      <c r="S95" s="203"/>
    </row>
    <row r="96" spans="2:19" ht="12.75" x14ac:dyDescent="0.2">
      <c r="B96" s="208" t="s">
        <v>694</v>
      </c>
      <c r="C96" s="201"/>
      <c r="D96" s="202"/>
      <c r="E96" s="202"/>
      <c r="F96" s="202"/>
      <c r="G96" s="209">
        <f>'[2]КФ НСТ'!G31</f>
        <v>180.32</v>
      </c>
      <c r="H96" s="204"/>
      <c r="I96" s="203"/>
      <c r="J96" s="203"/>
      <c r="K96" s="203"/>
      <c r="L96" s="203"/>
      <c r="M96" s="203"/>
      <c r="N96" s="203"/>
      <c r="O96" s="203"/>
      <c r="P96" s="191">
        <f>(N96*$P$8+N96)*1.2*$P$4</f>
        <v>0</v>
      </c>
      <c r="Q96" s="191">
        <f>G96*Q4</f>
        <v>180.32</v>
      </c>
      <c r="R96" s="191">
        <v>180.32</v>
      </c>
      <c r="S96" s="203"/>
    </row>
    <row r="97" spans="2:19" ht="12.75" x14ac:dyDescent="0.2">
      <c r="B97" s="208" t="s">
        <v>449</v>
      </c>
      <c r="C97" s="201"/>
      <c r="D97" s="202"/>
      <c r="E97" s="202"/>
      <c r="F97" s="202"/>
      <c r="G97" s="209">
        <f>'[2]КФ прочее'!H100</f>
        <v>3.7400000000000007</v>
      </c>
      <c r="H97" s="204">
        <f>H95</f>
        <v>3.7781149999999997</v>
      </c>
      <c r="I97" s="203">
        <f>H97*$I$8</f>
        <v>0.98230989999999996</v>
      </c>
      <c r="J97" s="203">
        <f>SUM(G97:I97)</f>
        <v>8.5004249000000005</v>
      </c>
      <c r="K97" s="203">
        <f>$K$8*G97</f>
        <v>0.97240000000000015</v>
      </c>
      <c r="L97" s="203"/>
      <c r="M97" s="203"/>
      <c r="N97" s="203">
        <f>SUM(J97:M97)</f>
        <v>9.4728249000000009</v>
      </c>
      <c r="O97" s="203"/>
      <c r="P97" s="191">
        <f>(N97*$P$8+N97)*1.2*$P$4*$P$5</f>
        <v>15.368711117760002</v>
      </c>
      <c r="Q97" s="191">
        <f>MROUND(P97,10)*Q4</f>
        <v>20</v>
      </c>
      <c r="R97" s="191">
        <v>10</v>
      </c>
      <c r="S97" s="203"/>
    </row>
  </sheetData>
  <mergeCells count="16">
    <mergeCell ref="B40:Q40"/>
    <mergeCell ref="R54:S57"/>
    <mergeCell ref="B58:P58"/>
    <mergeCell ref="B77:P77"/>
    <mergeCell ref="N7:N8"/>
    <mergeCell ref="Q7:Q8"/>
    <mergeCell ref="R7:R8"/>
    <mergeCell ref="S7:S8"/>
    <mergeCell ref="B9:Q9"/>
    <mergeCell ref="B28:Q28"/>
    <mergeCell ref="B7:B8"/>
    <mergeCell ref="C7:C8"/>
    <mergeCell ref="D7:F7"/>
    <mergeCell ref="G7:G8"/>
    <mergeCell ref="H7:H8"/>
    <mergeCell ref="J7:J8"/>
  </mergeCells>
  <pageMargins left="0.11811023622047244" right="0.11811023622047244" top="0" bottom="0" header="0" footer="0"/>
  <pageSetup paperSize="9" scale="76" orientation="portrait"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D65DF5-231F-407B-83A7-F43475B7B509}">
  <sheetPr codeName="Лист2"/>
  <dimension ref="A1:J12"/>
  <sheetViews>
    <sheetView workbookViewId="0">
      <selection activeCell="A2" sqref="A2:A4"/>
    </sheetView>
  </sheetViews>
  <sheetFormatPr defaultRowHeight="15" x14ac:dyDescent="0.25"/>
  <cols>
    <col min="1" max="1" width="36" bestFit="1" customWidth="1"/>
    <col min="3" max="3" width="24.42578125" bestFit="1" customWidth="1"/>
    <col min="4" max="4" width="12.5703125" bestFit="1" customWidth="1"/>
    <col min="7" max="7" width="17" bestFit="1" customWidth="1"/>
  </cols>
  <sheetData>
    <row r="1" spans="1:10" x14ac:dyDescent="0.25">
      <c r="A1" t="s">
        <v>157</v>
      </c>
      <c r="C1" t="s">
        <v>158</v>
      </c>
      <c r="D1" t="s">
        <v>171</v>
      </c>
      <c r="G1" t="s">
        <v>183</v>
      </c>
      <c r="J1" t="s">
        <v>184</v>
      </c>
    </row>
    <row r="2" spans="1:10" x14ac:dyDescent="0.25">
      <c r="A2" s="272" t="s">
        <v>365</v>
      </c>
      <c r="C2" s="30" t="s">
        <v>159</v>
      </c>
      <c r="D2" t="s">
        <v>170</v>
      </c>
      <c r="G2" s="30">
        <v>120</v>
      </c>
      <c r="J2" s="30" t="s">
        <v>185</v>
      </c>
    </row>
    <row r="3" spans="1:10" x14ac:dyDescent="0.25">
      <c r="A3" s="272" t="s">
        <v>366</v>
      </c>
      <c r="C3" s="30" t="s">
        <v>160</v>
      </c>
      <c r="D3" t="s">
        <v>170</v>
      </c>
      <c r="G3" s="30">
        <v>150</v>
      </c>
      <c r="J3" s="30" t="s">
        <v>186</v>
      </c>
    </row>
    <row r="4" spans="1:10" x14ac:dyDescent="0.25">
      <c r="A4" s="272" t="s">
        <v>367</v>
      </c>
      <c r="C4" s="30" t="s">
        <v>161</v>
      </c>
      <c r="D4" t="s">
        <v>170</v>
      </c>
      <c r="J4" s="30" t="s">
        <v>187</v>
      </c>
    </row>
    <row r="5" spans="1:10" x14ac:dyDescent="0.25">
      <c r="C5" s="30" t="s">
        <v>162</v>
      </c>
      <c r="D5" t="s">
        <v>170</v>
      </c>
      <c r="J5" s="30" t="s">
        <v>188</v>
      </c>
    </row>
    <row r="6" spans="1:10" x14ac:dyDescent="0.25">
      <c r="C6" s="30" t="s">
        <v>163</v>
      </c>
      <c r="D6" t="s">
        <v>170</v>
      </c>
      <c r="J6" s="30" t="s">
        <v>189</v>
      </c>
    </row>
    <row r="7" spans="1:10" x14ac:dyDescent="0.25">
      <c r="C7" s="30" t="s">
        <v>164</v>
      </c>
      <c r="D7" t="s">
        <v>170</v>
      </c>
    </row>
    <row r="8" spans="1:10" x14ac:dyDescent="0.25">
      <c r="C8" s="30" t="s">
        <v>165</v>
      </c>
      <c r="D8" t="s">
        <v>170</v>
      </c>
    </row>
    <row r="9" spans="1:10" x14ac:dyDescent="0.25">
      <c r="C9" s="30" t="s">
        <v>166</v>
      </c>
      <c r="D9" t="s">
        <v>170</v>
      </c>
    </row>
    <row r="10" spans="1:10" x14ac:dyDescent="0.25">
      <c r="C10" s="30" t="s">
        <v>167</v>
      </c>
      <c r="D10" t="s">
        <v>170</v>
      </c>
    </row>
    <row r="11" spans="1:10" x14ac:dyDescent="0.25">
      <c r="C11" s="30" t="s">
        <v>169</v>
      </c>
      <c r="D11" t="s">
        <v>172</v>
      </c>
    </row>
    <row r="12" spans="1:10" x14ac:dyDescent="0.25">
      <c r="C12" s="30" t="s">
        <v>168</v>
      </c>
      <c r="D12" t="s">
        <v>172</v>
      </c>
    </row>
  </sheetData>
  <pageMargins left="0.7" right="0.7" top="0.75" bottom="0.75" header="0.3" footer="0.3"/>
  <pageSetup paperSize="9" orientation="portrait" r:id="rId1"/>
  <tableParts count="4">
    <tablePart r:id="rId2"/>
    <tablePart r:id="rId3"/>
    <tablePart r:id="rId4"/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11</vt:i4>
      </vt:variant>
      <vt:variant>
        <vt:lpstr>Именованные диапазоны</vt:lpstr>
      </vt:variant>
      <vt:variant>
        <vt:i4>4</vt:i4>
      </vt:variant>
    </vt:vector>
  </HeadingPairs>
  <TitlesOfParts>
    <vt:vector size="15" baseType="lpstr">
      <vt:lpstr>Расчет</vt:lpstr>
      <vt:lpstr>Таблица с признаками</vt:lpstr>
      <vt:lpstr>Заказ</vt:lpstr>
      <vt:lpstr>Базовые цены</vt:lpstr>
      <vt:lpstr>Изображения</vt:lpstr>
      <vt:lpstr>2 все модули и цены</vt:lpstr>
      <vt:lpstr>3 расчёт пеналов</vt:lpstr>
      <vt:lpstr>3 расчёт верхних</vt:lpstr>
      <vt:lpstr>3 расчёт нижних</vt:lpstr>
      <vt:lpstr>комплекты фурнитуры</vt:lpstr>
      <vt:lpstr>Настройки</vt:lpstr>
      <vt:lpstr>'комплекты фурнитуры'!КФ_корпуса</vt:lpstr>
      <vt:lpstr>КФ_наполнение</vt:lpstr>
      <vt:lpstr>'комплекты фурнитуры'!КФ_петель_подъемников</vt:lpstr>
      <vt:lpstr>КФ_ящиков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Камынин Василий Алексеевич</dc:creator>
  <cp:lastModifiedBy>Камынин Василий Алексеевич</cp:lastModifiedBy>
  <dcterms:created xsi:type="dcterms:W3CDTF">2024-11-02T05:53:59Z</dcterms:created>
  <dcterms:modified xsi:type="dcterms:W3CDTF">2025-02-05T14:23:28Z</dcterms:modified>
</cp:coreProperties>
</file>