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cuments\"/>
    </mc:Choice>
  </mc:AlternateContent>
  <xr:revisionPtr revIDLastSave="0" documentId="13_ncr:1_{7BFA0832-6244-4B5D-B877-373CFA3DC266}" xr6:coauthVersionLast="47" xr6:coauthVersionMax="47" xr10:uidLastSave="{00000000-0000-0000-0000-000000000000}"/>
  <bookViews>
    <workbookView xWindow="-24120" yWindow="855" windowWidth="24240" windowHeight="13020" tabRatio="662" firstSheet="1" activeTab="1" xr2:uid="{F87E9273-758C-4CB3-8CA7-04461C90845A}"/>
  </bookViews>
  <sheets>
    <sheet name="Заказ" sheetId="225" state="veryHidden" r:id="rId1"/>
    <sheet name="Расчет" sheetId="4" r:id="rId2"/>
    <sheet name="Таблица с признаками" sheetId="1" state="veryHidden" r:id="rId3"/>
    <sheet name="Цены на корпус 18_06_25" sheetId="227" state="veryHidden" r:id="rId4"/>
    <sheet name="Базовые цены" sheetId="10" state="veryHidden" r:id="rId5"/>
    <sheet name="комплекты фурнитуры" sheetId="15" state="veryHidden" r:id="rId6"/>
    <sheet name="Фурнитура 18_06_25" sheetId="229" state="veryHidden" r:id="rId7"/>
    <sheet name="Изображения" sheetId="5" state="veryHidden" r:id="rId8"/>
    <sheet name="Инструкция по добавлению" sheetId="228" state="veryHidden" r:id="rId9"/>
    <sheet name="TDSheet" sheetId="226" state="veryHidden" r:id="rId10"/>
    <sheet name="Настройки" sheetId="6" state="veryHidden" r:id="rId11"/>
    <sheet name="Форма заявки НСТ" sheetId="230" state="veryHidden" r:id="rId12"/>
  </sheets>
  <functionGroups builtInGroupCount="19"/>
  <externalReferences>
    <externalReference r:id="rId13"/>
  </externalReferences>
  <definedNames>
    <definedName name="Верхние">[1]Лист2!$A$2:$A$100</definedName>
    <definedName name="Комплектация_">'[1]Тип НСТ'!$A$16:$A$22</definedName>
    <definedName name="КФ_корпуса" localSheetId="5">'комплекты фурнитуры'!$B$3:$D$24</definedName>
    <definedName name="КФ_наполнение">'комплекты фурнитуры'!$B$38:$D$51</definedName>
    <definedName name="КФ_петель_подъемников" localSheetId="5">'комплекты фурнитуры'!$B$53:$D$70</definedName>
    <definedName name="КФ_ящиков">'комплекты фурнитуры'!$B$25:$D$37</definedName>
    <definedName name="Материал_полок_">'[1]Тип НСТ'!$H$2:$H$5</definedName>
    <definedName name="Нижние">[1]Лист1!$A$2:$A$74</definedName>
    <definedName name="Опоры_">'[1]Тип НСТ'!$C$2:$C$4</definedName>
    <definedName name="Освещение_">'[1]Тип НСТ'!$D$2:$D$8</definedName>
    <definedName name="Открывание_">'[1]Тип НСТ'!$E$2:$E$5</definedName>
    <definedName name="Подъемник_">'[1]Тип НСТ'!$F$8:$F$11</definedName>
    <definedName name="Тип_нестандарта">'[1]Тип НСТ'!$I$2:$I$3</definedName>
    <definedName name="Тип_продукции">'[1]Тип НСТ'!$A$11:$A$11</definedName>
  </definedNames>
  <calcPr calcId="191029"/>
  <pivotCaches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37" i="1" l="1"/>
  <c r="CJ81" i="1"/>
  <c r="CJ80" i="1"/>
  <c r="CI81" i="1"/>
  <c r="CI80" i="1"/>
  <c r="CN80" i="1"/>
  <c r="CN81" i="1"/>
  <c r="R2" i="1"/>
  <c r="AH2" i="1" s="1"/>
  <c r="AE2" i="1"/>
  <c r="BP2" i="1"/>
  <c r="BQ2" i="1"/>
  <c r="BR2" i="1"/>
  <c r="BU2" i="1"/>
  <c r="R3" i="1"/>
  <c r="AE3" i="1"/>
  <c r="AH3" i="1"/>
  <c r="BP3" i="1"/>
  <c r="BQ3" i="1"/>
  <c r="BR3" i="1"/>
  <c r="BU3" i="1"/>
  <c r="R4" i="1"/>
  <c r="AH4" i="1" s="1"/>
  <c r="AE4" i="1"/>
  <c r="BP4" i="1"/>
  <c r="BQ4" i="1"/>
  <c r="BR4" i="1"/>
  <c r="BU4" i="1"/>
  <c r="R5" i="1"/>
  <c r="AE5" i="1"/>
  <c r="BP5" i="1"/>
  <c r="BQ5" i="1"/>
  <c r="BR5" i="1"/>
  <c r="BU5" i="1"/>
  <c r="R6" i="1"/>
  <c r="AH6" i="1" s="1"/>
  <c r="AE6" i="1"/>
  <c r="BP6" i="1"/>
  <c r="BQ6" i="1"/>
  <c r="BR6" i="1"/>
  <c r="BU6" i="1"/>
  <c r="S7" i="1"/>
  <c r="AH7" i="1" s="1"/>
  <c r="AE7" i="1"/>
  <c r="AM7" i="1"/>
  <c r="BP7" i="1" s="1"/>
  <c r="AN7" i="1"/>
  <c r="BQ7" i="1"/>
  <c r="BR7" i="1"/>
  <c r="BU7" i="1"/>
  <c r="S8" i="1"/>
  <c r="AH8" i="1" s="1"/>
  <c r="AE8" i="1"/>
  <c r="AM8" i="1"/>
  <c r="BP8" i="1" s="1"/>
  <c r="AN8" i="1"/>
  <c r="BQ8" i="1" s="1"/>
  <c r="BR8" i="1"/>
  <c r="BU8" i="1"/>
  <c r="T9" i="1"/>
  <c r="AE9" i="1"/>
  <c r="AJ9" i="1"/>
  <c r="AK9" i="1"/>
  <c r="AO9" i="1"/>
  <c r="AP9" i="1"/>
  <c r="BP9" i="1"/>
  <c r="BU9" i="1"/>
  <c r="T10" i="1"/>
  <c r="AH10" i="1" s="1"/>
  <c r="AE10" i="1"/>
  <c r="AJ10" i="1"/>
  <c r="BP10" i="1" s="1"/>
  <c r="AK10" i="1"/>
  <c r="AO10" i="1"/>
  <c r="AP10" i="1"/>
  <c r="BU10" i="1"/>
  <c r="U11" i="1"/>
  <c r="AH11" i="1" s="1"/>
  <c r="AE11" i="1"/>
  <c r="AJ11" i="1"/>
  <c r="BP11" i="1" s="1"/>
  <c r="AO11" i="1"/>
  <c r="AP11" i="1"/>
  <c r="BQ11" i="1"/>
  <c r="BU11" i="1"/>
  <c r="U12" i="1"/>
  <c r="AE12" i="1"/>
  <c r="AH12" i="1" s="1"/>
  <c r="AJ12" i="1"/>
  <c r="AO12" i="1"/>
  <c r="BP12" i="1" s="1"/>
  <c r="AP12" i="1"/>
  <c r="BR12" i="1" s="1"/>
  <c r="BQ12" i="1"/>
  <c r="BU12" i="1"/>
  <c r="R13" i="1"/>
  <c r="AH13" i="1" s="1"/>
  <c r="AE13" i="1"/>
  <c r="AM13" i="1"/>
  <c r="BP13" i="1" s="1"/>
  <c r="AN13" i="1"/>
  <c r="BB13" i="1"/>
  <c r="BD13" i="1"/>
  <c r="BF13" i="1"/>
  <c r="BG13" i="1"/>
  <c r="BU13" i="1"/>
  <c r="R14" i="1"/>
  <c r="AE14" i="1"/>
  <c r="AM14" i="1"/>
  <c r="AN14" i="1"/>
  <c r="BB14" i="1"/>
  <c r="BD14" i="1"/>
  <c r="BF14" i="1"/>
  <c r="BG14" i="1"/>
  <c r="BU14" i="1"/>
  <c r="R15" i="1"/>
  <c r="AH15" i="1" s="1"/>
  <c r="AE15" i="1"/>
  <c r="BB15" i="1"/>
  <c r="BP15" i="1" s="1"/>
  <c r="BD15" i="1"/>
  <c r="BQ15" i="1" s="1"/>
  <c r="BF15" i="1"/>
  <c r="BI15" i="1"/>
  <c r="BR15" i="1" s="1"/>
  <c r="BU15" i="1"/>
  <c r="R16" i="1"/>
  <c r="AH16" i="1" s="1"/>
  <c r="AE16" i="1"/>
  <c r="BB16" i="1"/>
  <c r="BP16" i="1" s="1"/>
  <c r="BC16" i="1"/>
  <c r="BD16" i="1"/>
  <c r="BQ16" i="1" s="1"/>
  <c r="BE16" i="1"/>
  <c r="BF16" i="1"/>
  <c r="BH16" i="1"/>
  <c r="BI16" i="1"/>
  <c r="BJ16" i="1"/>
  <c r="BU16" i="1"/>
  <c r="R17" i="1"/>
  <c r="AE17" i="1"/>
  <c r="BC17" i="1"/>
  <c r="BE17" i="1"/>
  <c r="BQ17" i="1" s="1"/>
  <c r="BF17" i="1"/>
  <c r="BH17" i="1"/>
  <c r="BJ17" i="1"/>
  <c r="BR17" i="1" s="1"/>
  <c r="BP17" i="1"/>
  <c r="BU17" i="1"/>
  <c r="AE18" i="1"/>
  <c r="BC18" i="1"/>
  <c r="BP18" i="1" s="1"/>
  <c r="CF18" i="1"/>
  <c r="CG18" i="1"/>
  <c r="S19" i="1"/>
  <c r="AH19" i="1" s="1"/>
  <c r="AE19" i="1"/>
  <c r="BA19" i="1"/>
  <c r="BQ19" i="1" s="1"/>
  <c r="BF19" i="1"/>
  <c r="BU19" i="1"/>
  <c r="Y20" i="1"/>
  <c r="AH20" i="1" s="1"/>
  <c r="AE20" i="1"/>
  <c r="AQ20" i="1"/>
  <c r="BP20" i="1" s="1"/>
  <c r="AR20" i="1"/>
  <c r="BQ20" i="1" s="1"/>
  <c r="W21" i="1"/>
  <c r="AE21" i="1"/>
  <c r="AH21" i="1"/>
  <c r="BU21" i="1"/>
  <c r="W22" i="1"/>
  <c r="AE22" i="1"/>
  <c r="BU22" i="1"/>
  <c r="R23" i="1"/>
  <c r="AH23" i="1" s="1"/>
  <c r="AE23" i="1"/>
  <c r="AM23" i="1"/>
  <c r="BP23" i="1" s="1"/>
  <c r="AN23" i="1"/>
  <c r="BQ23" i="1" s="1"/>
  <c r="BN23" i="1"/>
  <c r="BR23" i="1" s="1"/>
  <c r="BU23" i="1"/>
  <c r="R24" i="1"/>
  <c r="AH24" i="1" s="1"/>
  <c r="AE24" i="1"/>
  <c r="AM24" i="1"/>
  <c r="BP24" i="1" s="1"/>
  <c r="AN24" i="1"/>
  <c r="BN24" i="1"/>
  <c r="BU24" i="1"/>
  <c r="R25" i="1"/>
  <c r="AE25" i="1"/>
  <c r="AH25" i="1" s="1"/>
  <c r="BC25" i="1"/>
  <c r="BP25" i="1" s="1"/>
  <c r="BN25" i="1"/>
  <c r="BU25" i="1"/>
  <c r="R26" i="1"/>
  <c r="AH26" i="1" s="1"/>
  <c r="AE26" i="1"/>
  <c r="BB26" i="1"/>
  <c r="BR26" i="1" s="1"/>
  <c r="BC26" i="1"/>
  <c r="BN26" i="1"/>
  <c r="BU26" i="1"/>
  <c r="R27" i="1"/>
  <c r="AH27" i="1" s="1"/>
  <c r="BK27" i="1"/>
  <c r="BP27" i="1" s="1"/>
  <c r="BN27" i="1"/>
  <c r="BR27" i="1" s="1"/>
  <c r="BU27" i="1"/>
  <c r="R28" i="1"/>
  <c r="AH28" i="1" s="1"/>
  <c r="AE28" i="1"/>
  <c r="BL28" i="1"/>
  <c r="BM28" i="1"/>
  <c r="BN28" i="1"/>
  <c r="BU28" i="1"/>
  <c r="R29" i="1"/>
  <c r="AH29" i="1" s="1"/>
  <c r="AE29" i="1"/>
  <c r="AM29" i="1"/>
  <c r="BQ29" i="1" s="1"/>
  <c r="AN29" i="1"/>
  <c r="BN29" i="1"/>
  <c r="BU29" i="1"/>
  <c r="R30" i="1"/>
  <c r="AH30" i="1" s="1"/>
  <c r="AE30" i="1"/>
  <c r="AM30" i="1"/>
  <c r="BR30" i="1" s="1"/>
  <c r="AN30" i="1"/>
  <c r="BN30" i="1"/>
  <c r="BU30" i="1"/>
  <c r="T31" i="1"/>
  <c r="AH31" i="1" s="1"/>
  <c r="AE31" i="1"/>
  <c r="AJ31" i="1"/>
  <c r="BP31" i="1" s="1"/>
  <c r="AO31" i="1"/>
  <c r="BN31" i="1"/>
  <c r="T32" i="1"/>
  <c r="AH32" i="1" s="1"/>
  <c r="AE32" i="1"/>
  <c r="AJ32" i="1"/>
  <c r="AO32" i="1"/>
  <c r="BP32" i="1" s="1"/>
  <c r="BN32" i="1"/>
  <c r="AD33" i="1"/>
  <c r="AH33" i="1" s="1"/>
  <c r="R34" i="1"/>
  <c r="AF34" i="1"/>
  <c r="AG34" i="1"/>
  <c r="BU34" i="1"/>
  <c r="AF35" i="1"/>
  <c r="AG35" i="1"/>
  <c r="AM35" i="1"/>
  <c r="BP35" i="1" s="1"/>
  <c r="AN35" i="1"/>
  <c r="BR35" i="1" s="1"/>
  <c r="BU35" i="1"/>
  <c r="AF36" i="1"/>
  <c r="AG36" i="1"/>
  <c r="AM36" i="1"/>
  <c r="BP36" i="1" s="1"/>
  <c r="AN36" i="1"/>
  <c r="BQ36" i="1" s="1"/>
  <c r="BU36" i="1"/>
  <c r="R37" i="1"/>
  <c r="AF37" i="1"/>
  <c r="AG37" i="1"/>
  <c r="AH37" i="1"/>
  <c r="AN37" i="1"/>
  <c r="AW37" i="1"/>
  <c r="BP37" i="1" s="1"/>
  <c r="AX37" i="1"/>
  <c r="AY37" i="1"/>
  <c r="BU37" i="1"/>
  <c r="Y38" i="1"/>
  <c r="AH38" i="1" s="1"/>
  <c r="AF38" i="1"/>
  <c r="AG38" i="1"/>
  <c r="AN38" i="1"/>
  <c r="AW38" i="1"/>
  <c r="BP38" i="1" s="1"/>
  <c r="AY38" i="1"/>
  <c r="BQ38" i="1" s="1"/>
  <c r="AF39" i="1"/>
  <c r="AH39" i="1" s="1"/>
  <c r="AG39" i="1"/>
  <c r="AM39" i="1"/>
  <c r="BP39" i="1" s="1"/>
  <c r="AN39" i="1"/>
  <c r="BQ39" i="1" s="1"/>
  <c r="BR39" i="1"/>
  <c r="BU39" i="1"/>
  <c r="R40" i="1"/>
  <c r="AF40" i="1"/>
  <c r="AG40" i="1"/>
  <c r="AZ40" i="1"/>
  <c r="BR40" i="1" s="1"/>
  <c r="BP40" i="1"/>
  <c r="BQ40" i="1"/>
  <c r="BU40" i="1"/>
  <c r="AA41" i="1"/>
  <c r="AF41" i="1"/>
  <c r="AG41" i="1"/>
  <c r="AJ41" i="1"/>
  <c r="AK41" i="1"/>
  <c r="AO41" i="1"/>
  <c r="AP41" i="1"/>
  <c r="AC42" i="1"/>
  <c r="AF42" i="1"/>
  <c r="AG42" i="1"/>
  <c r="AM42" i="1"/>
  <c r="AN42" i="1"/>
  <c r="BQ42" i="1" s="1"/>
  <c r="BP42" i="1"/>
  <c r="BU42" i="1"/>
  <c r="AC43" i="1"/>
  <c r="AF43" i="1"/>
  <c r="AG43" i="1"/>
  <c r="AM43" i="1"/>
  <c r="BP43" i="1" s="1"/>
  <c r="AN43" i="1"/>
  <c r="BR43" i="1" s="1"/>
  <c r="BQ43" i="1"/>
  <c r="BU43" i="1"/>
  <c r="Y44" i="1"/>
  <c r="AF44" i="1"/>
  <c r="AG44" i="1"/>
  <c r="AQ44" i="1"/>
  <c r="AR44" i="1"/>
  <c r="BQ44" i="1" s="1"/>
  <c r="BP44" i="1"/>
  <c r="AB45" i="1"/>
  <c r="AF45" i="1"/>
  <c r="AG45" i="1"/>
  <c r="AM45" i="1"/>
  <c r="BP45" i="1" s="1"/>
  <c r="AN45" i="1"/>
  <c r="BQ45" i="1" s="1"/>
  <c r="AS45" i="1"/>
  <c r="BU45" i="1"/>
  <c r="AB46" i="1"/>
  <c r="AF46" i="1"/>
  <c r="AG46" i="1"/>
  <c r="AM46" i="1"/>
  <c r="BP46" i="1" s="1"/>
  <c r="AN46" i="1"/>
  <c r="BR46" i="1" s="1"/>
  <c r="AT46" i="1"/>
  <c r="BQ46" i="1"/>
  <c r="BU46" i="1"/>
  <c r="AB47" i="1"/>
  <c r="AF47" i="1"/>
  <c r="AG47" i="1"/>
  <c r="AM47" i="1"/>
  <c r="BP47" i="1" s="1"/>
  <c r="AN47" i="1"/>
  <c r="AT47" i="1"/>
  <c r="BQ47" i="1" s="1"/>
  <c r="BU47" i="1"/>
  <c r="AB48" i="1"/>
  <c r="AH48" i="1" s="1"/>
  <c r="AF48" i="1"/>
  <c r="AG48" i="1"/>
  <c r="AM48" i="1"/>
  <c r="BP48" i="1" s="1"/>
  <c r="AN48" i="1"/>
  <c r="BR48" i="1" s="1"/>
  <c r="AU48" i="1"/>
  <c r="BU48" i="1"/>
  <c r="AB49" i="1"/>
  <c r="AF49" i="1"/>
  <c r="AG49" i="1"/>
  <c r="AM49" i="1"/>
  <c r="BP49" i="1" s="1"/>
  <c r="AN49" i="1"/>
  <c r="BQ49" i="1" s="1"/>
  <c r="AV49" i="1"/>
  <c r="BU49" i="1"/>
  <c r="AB50" i="1"/>
  <c r="AF50" i="1"/>
  <c r="AG50" i="1"/>
  <c r="AS50" i="1"/>
  <c r="BP50" i="1" s="1"/>
  <c r="AZ50" i="1"/>
  <c r="BU50" i="1"/>
  <c r="AB51" i="1"/>
  <c r="AF51" i="1"/>
  <c r="AG51" i="1"/>
  <c r="AS51" i="1"/>
  <c r="AW51" i="1"/>
  <c r="AX51" i="1"/>
  <c r="BU51" i="1"/>
  <c r="AB52" i="1"/>
  <c r="AH52" i="1" s="1"/>
  <c r="AF52" i="1"/>
  <c r="AG52" i="1"/>
  <c r="AT52" i="1"/>
  <c r="AW52" i="1"/>
  <c r="BP52" i="1" s="1"/>
  <c r="AX52" i="1"/>
  <c r="BU52" i="1"/>
  <c r="AB53" i="1"/>
  <c r="AF53" i="1"/>
  <c r="AG53" i="1"/>
  <c r="AT53" i="1"/>
  <c r="AW53" i="1"/>
  <c r="AX53" i="1"/>
  <c r="BU53" i="1"/>
  <c r="X54" i="1"/>
  <c r="AH54" i="1" s="1"/>
  <c r="AI54" i="1"/>
  <c r="AM54" i="1"/>
  <c r="AN54" i="1"/>
  <c r="BU54" i="1"/>
  <c r="R55" i="1"/>
  <c r="AF55" i="1"/>
  <c r="AG55" i="1"/>
  <c r="AM55" i="1"/>
  <c r="BP55" i="1" s="1"/>
  <c r="AN55" i="1"/>
  <c r="BQ55" i="1" s="1"/>
  <c r="BO55" i="1"/>
  <c r="BU55" i="1"/>
  <c r="R56" i="1"/>
  <c r="AF56" i="1"/>
  <c r="AG56" i="1"/>
  <c r="AM56" i="1"/>
  <c r="BP56" i="1" s="1"/>
  <c r="AN56" i="1"/>
  <c r="BQ56" i="1" s="1"/>
  <c r="BO56" i="1"/>
  <c r="BR56" i="1"/>
  <c r="BU56" i="1"/>
  <c r="R57" i="1"/>
  <c r="AF57" i="1"/>
  <c r="AG57" i="1"/>
  <c r="AZ57" i="1"/>
  <c r="BP57" i="1" s="1"/>
  <c r="BO57" i="1"/>
  <c r="BU57" i="1"/>
  <c r="AA58" i="1"/>
  <c r="AF58" i="1"/>
  <c r="AG58" i="1"/>
  <c r="AJ58" i="1"/>
  <c r="AO58" i="1"/>
  <c r="AP58" i="1"/>
  <c r="BO58" i="1"/>
  <c r="BP58" i="1"/>
  <c r="BQ58" i="1"/>
  <c r="BR58" i="1"/>
  <c r="BU58" i="1"/>
  <c r="AD59" i="1"/>
  <c r="AH59" i="1" s="1"/>
  <c r="V60" i="1"/>
  <c r="AH60" i="1" s="1"/>
  <c r="AI60" i="1"/>
  <c r="AQ60" i="1"/>
  <c r="AR60" i="1"/>
  <c r="BU60" i="1"/>
  <c r="Y61" i="1"/>
  <c r="AH61" i="1" s="1"/>
  <c r="AE61" i="1"/>
  <c r="AM61" i="1"/>
  <c r="BP61" i="1" s="1"/>
  <c r="AN61" i="1"/>
  <c r="BQ61" i="1" s="1"/>
  <c r="BU61" i="1"/>
  <c r="AE62" i="1"/>
  <c r="AH62" i="1" s="1"/>
  <c r="AL62" i="1"/>
  <c r="BP62" i="1" s="1"/>
  <c r="AM62" i="1"/>
  <c r="BU62" i="1"/>
  <c r="Y63" i="1"/>
  <c r="AH63" i="1" s="1"/>
  <c r="AE63" i="1"/>
  <c r="AM63" i="1"/>
  <c r="BP63" i="1" s="1"/>
  <c r="AN63" i="1"/>
  <c r="BR63" i="1" s="1"/>
  <c r="BQ63" i="1"/>
  <c r="BU63" i="1"/>
  <c r="Y64" i="1"/>
  <c r="AE64" i="1"/>
  <c r="AM64" i="1"/>
  <c r="AN64" i="1"/>
  <c r="BQ64" i="1" s="1"/>
  <c r="BP64" i="1"/>
  <c r="BU64" i="1"/>
  <c r="Y65" i="1"/>
  <c r="AH65" i="1" s="1"/>
  <c r="AE65" i="1"/>
  <c r="BC65" i="1"/>
  <c r="BP65" i="1" s="1"/>
  <c r="BE65" i="1"/>
  <c r="BQ65" i="1" s="1"/>
  <c r="BF65" i="1"/>
  <c r="BI65" i="1"/>
  <c r="BR65" i="1"/>
  <c r="BU65" i="1"/>
  <c r="Y66" i="1"/>
  <c r="AH66" i="1" s="1"/>
  <c r="AE66" i="1"/>
  <c r="AM66" i="1"/>
  <c r="BP66" i="1" s="1"/>
  <c r="AN66" i="1"/>
  <c r="BR66" i="1" s="1"/>
  <c r="BQ66" i="1"/>
  <c r="BU66" i="1"/>
  <c r="AE67" i="1"/>
  <c r="AH67" i="1" s="1"/>
  <c r="AL67" i="1"/>
  <c r="BP67" i="1" s="1"/>
  <c r="AM67" i="1"/>
  <c r="BU67" i="1"/>
  <c r="Z68" i="1"/>
  <c r="AH68" i="1" s="1"/>
  <c r="AE68" i="1"/>
  <c r="AM68" i="1"/>
  <c r="BP68" i="1" s="1"/>
  <c r="AN68" i="1"/>
  <c r="BQ68" i="1" s="1"/>
  <c r="BU68" i="1"/>
  <c r="Z69" i="1"/>
  <c r="AE69" i="1"/>
  <c r="AH69" i="1"/>
  <c r="AL69" i="1"/>
  <c r="BP69" i="1" s="1"/>
  <c r="AM69" i="1"/>
  <c r="BU69" i="1"/>
  <c r="Z70" i="1"/>
  <c r="AH70" i="1" s="1"/>
  <c r="AE70" i="1"/>
  <c r="AM70" i="1"/>
  <c r="AN70" i="1"/>
  <c r="BB70" i="1"/>
  <c r="BC70" i="1"/>
  <c r="BD70" i="1"/>
  <c r="BE70" i="1"/>
  <c r="BF70" i="1"/>
  <c r="BQ70" i="1" s="1"/>
  <c r="BG70" i="1"/>
  <c r="BH70" i="1"/>
  <c r="BI70" i="1"/>
  <c r="BJ70" i="1"/>
  <c r="BU70" i="1"/>
  <c r="Z71" i="1"/>
  <c r="AH71" i="1" s="1"/>
  <c r="AE71" i="1"/>
  <c r="AM71" i="1"/>
  <c r="BP71" i="1" s="1"/>
  <c r="AN71" i="1"/>
  <c r="BR71" i="1" s="1"/>
  <c r="BC71" i="1"/>
  <c r="BE71" i="1"/>
  <c r="BF71" i="1"/>
  <c r="BH71" i="1"/>
  <c r="BI71" i="1"/>
  <c r="BJ71" i="1"/>
  <c r="BU71" i="1"/>
  <c r="Z72" i="1"/>
  <c r="AE72" i="1"/>
  <c r="AH72" i="1"/>
  <c r="AL72" i="1"/>
  <c r="BQ72" i="1" s="1"/>
  <c r="AM72" i="1"/>
  <c r="BU72" i="1"/>
  <c r="Z73" i="1"/>
  <c r="AH73" i="1" s="1"/>
  <c r="AE73" i="1"/>
  <c r="AL73" i="1"/>
  <c r="BP73" i="1" s="1"/>
  <c r="AM73" i="1"/>
  <c r="BU73" i="1"/>
  <c r="Z74" i="1"/>
  <c r="AH74" i="1" s="1"/>
  <c r="AE74" i="1"/>
  <c r="AM74" i="1"/>
  <c r="BP74" i="1" s="1"/>
  <c r="AN74" i="1"/>
  <c r="BC74" i="1"/>
  <c r="BE74" i="1"/>
  <c r="BQ74" i="1" s="1"/>
  <c r="BF74" i="1"/>
  <c r="BH74" i="1"/>
  <c r="BI74" i="1"/>
  <c r="BR74" i="1" s="1"/>
  <c r="BU74" i="1"/>
  <c r="Z75" i="1"/>
  <c r="AH75" i="1" s="1"/>
  <c r="AE75" i="1"/>
  <c r="AM75" i="1"/>
  <c r="AN75" i="1"/>
  <c r="BC75" i="1"/>
  <c r="BP75" i="1" s="1"/>
  <c r="BE75" i="1"/>
  <c r="BF75" i="1"/>
  <c r="BH75" i="1"/>
  <c r="BI75" i="1"/>
  <c r="BU75" i="1"/>
  <c r="Z76" i="1"/>
  <c r="AH76" i="1" s="1"/>
  <c r="AE76" i="1"/>
  <c r="AM76" i="1"/>
  <c r="AN76" i="1"/>
  <c r="BC76" i="1"/>
  <c r="BE76" i="1"/>
  <c r="BF76" i="1"/>
  <c r="BH76" i="1"/>
  <c r="BI76" i="1"/>
  <c r="BU76" i="1"/>
  <c r="AA77" i="1"/>
  <c r="AH77" i="1" s="1"/>
  <c r="AE77" i="1"/>
  <c r="AM77" i="1"/>
  <c r="AN77" i="1"/>
  <c r="BQ77" i="1" s="1"/>
  <c r="AW77" i="1"/>
  <c r="AX77" i="1"/>
  <c r="AY77" i="1"/>
  <c r="BU77" i="1"/>
  <c r="AA78" i="1"/>
  <c r="AH78" i="1" s="1"/>
  <c r="AE78" i="1"/>
  <c r="AL78" i="1"/>
  <c r="AM78" i="1"/>
  <c r="BC78" i="1"/>
  <c r="BH78" i="1"/>
  <c r="BP78" i="1"/>
  <c r="BQ78" i="1"/>
  <c r="BR78" i="1"/>
  <c r="BU78" i="1"/>
  <c r="AA79" i="1"/>
  <c r="AH79" i="1" s="1"/>
  <c r="AE79" i="1"/>
  <c r="AM79" i="1"/>
  <c r="AN79" i="1"/>
  <c r="AW79" i="1"/>
  <c r="AY79" i="1"/>
  <c r="BQ79" i="1" s="1"/>
  <c r="BU79" i="1"/>
  <c r="AF80" i="1"/>
  <c r="AG80" i="1"/>
  <c r="AM80" i="1"/>
  <c r="AN80" i="1"/>
  <c r="BQ80" i="1" s="1"/>
  <c r="BP80" i="1"/>
  <c r="BU80" i="1"/>
  <c r="CM80" i="1"/>
  <c r="AH80" i="1" s="1"/>
  <c r="AF81" i="1"/>
  <c r="AH81" i="1" s="1"/>
  <c r="AG81" i="1"/>
  <c r="AM81" i="1"/>
  <c r="BP81" i="1" s="1"/>
  <c r="AN81" i="1"/>
  <c r="BQ81" i="1" s="1"/>
  <c r="BU81" i="1"/>
  <c r="CM81" i="1"/>
  <c r="AF82" i="1"/>
  <c r="AH82" i="1" s="1"/>
  <c r="AG82" i="1"/>
  <c r="AM82" i="1"/>
  <c r="AN82" i="1"/>
  <c r="BQ82" i="1" s="1"/>
  <c r="BP82" i="1"/>
  <c r="BU82" i="1"/>
  <c r="CK82" i="1"/>
  <c r="AF83" i="1"/>
  <c r="AG83" i="1"/>
  <c r="AM83" i="1"/>
  <c r="BP83" i="1" s="1"/>
  <c r="AN83" i="1"/>
  <c r="BQ83" i="1" s="1"/>
  <c r="BU83" i="1"/>
  <c r="CK83" i="1"/>
  <c r="AE84" i="1"/>
  <c r="AM84" i="1"/>
  <c r="BP84" i="1" s="1"/>
  <c r="AN84" i="1"/>
  <c r="BQ84" i="1" s="1"/>
  <c r="BR84" i="1"/>
  <c r="BU84" i="1"/>
  <c r="CL84" i="1"/>
  <c r="AH84" i="1" s="1"/>
  <c r="AE85" i="1"/>
  <c r="AH85" i="1" s="1"/>
  <c r="AM85" i="1"/>
  <c r="BP85" i="1" s="1"/>
  <c r="AN85" i="1"/>
  <c r="BQ85" i="1" s="1"/>
  <c r="BC85" i="1"/>
  <c r="BE85" i="1"/>
  <c r="BJ85" i="1"/>
  <c r="BU85" i="1"/>
  <c r="CL85" i="1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3" i="15"/>
  <c r="V107" i="10"/>
  <c r="W107" i="10"/>
  <c r="X107" i="10"/>
  <c r="Y107" i="10"/>
  <c r="V114" i="10"/>
  <c r="W114" i="10"/>
  <c r="X114" i="10"/>
  <c r="Y114" i="10"/>
  <c r="V113" i="10"/>
  <c r="W113" i="10"/>
  <c r="X113" i="10"/>
  <c r="Y113" i="10"/>
  <c r="V112" i="10"/>
  <c r="W112" i="10"/>
  <c r="X112" i="10"/>
  <c r="Y112" i="10"/>
  <c r="V111" i="10"/>
  <c r="W111" i="10"/>
  <c r="X111" i="10"/>
  <c r="Y111" i="10"/>
  <c r="V110" i="10"/>
  <c r="W110" i="10"/>
  <c r="X110" i="10"/>
  <c r="Y110" i="10"/>
  <c r="V109" i="10"/>
  <c r="W109" i="10"/>
  <c r="X109" i="10"/>
  <c r="Y109" i="10"/>
  <c r="V108" i="10"/>
  <c r="W108" i="10"/>
  <c r="X108" i="10"/>
  <c r="Y108" i="10"/>
  <c r="AH42" i="1" l="1"/>
  <c r="AH45" i="1"/>
  <c r="AH83" i="1"/>
  <c r="AH56" i="1"/>
  <c r="AH51" i="1"/>
  <c r="AH44" i="1"/>
  <c r="AH35" i="1"/>
  <c r="AH50" i="1"/>
  <c r="AH36" i="1"/>
  <c r="AH40" i="1"/>
  <c r="AH57" i="1"/>
  <c r="BR81" i="1"/>
  <c r="BP79" i="1"/>
  <c r="AH58" i="1"/>
  <c r="BP54" i="1"/>
  <c r="BQ30" i="1"/>
  <c r="BQ18" i="1"/>
  <c r="BQ9" i="1"/>
  <c r="BR77" i="1"/>
  <c r="BQ60" i="1"/>
  <c r="BQ32" i="1"/>
  <c r="BP30" i="1"/>
  <c r="BP28" i="1"/>
  <c r="BR16" i="1"/>
  <c r="BP60" i="1"/>
  <c r="BQ13" i="1"/>
  <c r="BP77" i="1"/>
  <c r="BQ67" i="1"/>
  <c r="AH18" i="1"/>
  <c r="BP72" i="1"/>
  <c r="BR55" i="1"/>
  <c r="BR49" i="1"/>
  <c r="BQ35" i="1"/>
  <c r="BR25" i="1"/>
  <c r="BR14" i="1"/>
  <c r="AH9" i="1"/>
  <c r="BR75" i="1"/>
  <c r="BP53" i="1"/>
  <c r="AH46" i="1"/>
  <c r="BQ27" i="1"/>
  <c r="BQ25" i="1"/>
  <c r="BR51" i="1"/>
  <c r="BQ37" i="1"/>
  <c r="BQ14" i="1"/>
  <c r="BR10" i="1"/>
  <c r="BR82" i="1"/>
  <c r="BR64" i="1"/>
  <c r="BQ75" i="1"/>
  <c r="BQ31" i="1"/>
  <c r="BP19" i="1"/>
  <c r="AH53" i="1"/>
  <c r="BP41" i="1"/>
  <c r="BP14" i="1"/>
  <c r="AH55" i="1"/>
  <c r="BR52" i="1"/>
  <c r="AH14" i="1"/>
  <c r="BR73" i="1"/>
  <c r="BQ52" i="1"/>
  <c r="AH49" i="1"/>
  <c r="AH47" i="1"/>
  <c r="AH41" i="1"/>
  <c r="BP26" i="1"/>
  <c r="BQ76" i="1"/>
  <c r="BQ73" i="1"/>
  <c r="AH64" i="1"/>
  <c r="AH43" i="1"/>
  <c r="AH34" i="1"/>
  <c r="BQ26" i="1"/>
  <c r="BQ24" i="1"/>
  <c r="AH22" i="1"/>
  <c r="AH17" i="1"/>
  <c r="BR13" i="1"/>
  <c r="BP76" i="1"/>
  <c r="BQ71" i="1"/>
  <c r="BP70" i="1"/>
  <c r="BQ50" i="1"/>
  <c r="BR18" i="1"/>
  <c r="AH5" i="1"/>
  <c r="BR76" i="1"/>
  <c r="BR70" i="1"/>
  <c r="BR61" i="1"/>
  <c r="BR57" i="1"/>
  <c r="BR54" i="1"/>
  <c r="BQ51" i="1"/>
  <c r="BQ48" i="1"/>
  <c r="BR45" i="1"/>
  <c r="BP29" i="1"/>
  <c r="BR68" i="1"/>
  <c r="BQ57" i="1"/>
  <c r="BQ54" i="1"/>
  <c r="BP51" i="1"/>
  <c r="BR32" i="1"/>
  <c r="BR19" i="1"/>
  <c r="BR9" i="1"/>
  <c r="BR83" i="1"/>
  <c r="BR80" i="1"/>
  <c r="BR41" i="1"/>
  <c r="BQ10" i="1"/>
  <c r="BR69" i="1"/>
  <c r="BR62" i="1"/>
  <c r="BQ41" i="1"/>
  <c r="BR28" i="1"/>
  <c r="BR20" i="1"/>
  <c r="BQ62" i="1"/>
  <c r="BR60" i="1"/>
  <c r="BR53" i="1"/>
  <c r="BR36" i="1"/>
  <c r="BQ28" i="1"/>
  <c r="BQ69" i="1"/>
  <c r="BR67" i="1"/>
  <c r="BQ53" i="1"/>
  <c r="BR50" i="1"/>
  <c r="BR47" i="1"/>
  <c r="BR44" i="1"/>
  <c r="BR31" i="1"/>
  <c r="BR85" i="1"/>
  <c r="BR11" i="1"/>
  <c r="BR24" i="1"/>
  <c r="BR72" i="1"/>
  <c r="BR42" i="1"/>
  <c r="BR29" i="1"/>
  <c r="BJ3" i="225"/>
  <c r="AB3" i="225"/>
  <c r="J3" i="225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V39" i="10" l="1"/>
  <c r="W39" i="10"/>
  <c r="X39" i="10"/>
  <c r="Y39" i="10"/>
  <c r="Y2" i="10" l="1"/>
  <c r="Y3" i="10"/>
  <c r="Y4" i="10"/>
  <c r="CJ3" i="10" l="1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2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57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5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<sst xmlns="http://schemas.openxmlformats.org/spreadsheetml/2006/main" count="5229" uniqueCount="1256">
  <si>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</si>
  <si>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</si>
  <si>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</si>
  <si>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</si>
  <si>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</si>
  <si>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</si>
  <si>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</si>
  <si>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</si>
  <si>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</si>
  <si>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</si>
  <si>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</si>
  <si>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</si>
  <si>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</si>
  <si>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</si>
  <si>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</si>
  <si>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</si>
  <si>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</si>
  <si>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</si>
  <si>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</si>
  <si>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</si>
  <si>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</si>
  <si>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</si>
  <si>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</si>
  <si>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</si>
  <si>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</si>
  <si>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</si>
  <si>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</si>
  <si>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</si>
  <si>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</si>
  <si>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</si>
  <si>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</si>
  <si>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</si>
  <si>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</si>
  <si>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</si>
  <si>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</si>
  <si>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</si>
  <si>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</si>
  <si>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</si>
  <si>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</si>
  <si>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</si>
  <si>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</si>
  <si>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</si>
  <si>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</si>
  <si>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</si>
  <si>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</si>
  <si>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</si>
  <si>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</si>
  <si>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</si>
  <si>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</si>
  <si>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</si>
  <si>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</si>
  <si>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</si>
  <si>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</si>
  <si>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</si>
  <si>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</si>
  <si>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</si>
  <si>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</si>
  <si>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</si>
  <si>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</si>
  <si>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</si>
  <si>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</si>
  <si>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</si>
  <si>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</si>
  <si>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</si>
  <si>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</si>
  <si>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</si>
  <si>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</si>
  <si>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</si>
  <si>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</si>
  <si>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</si>
  <si>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</si>
  <si>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</si>
  <si>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</si>
  <si>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</si>
  <si>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</si>
  <si>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</si>
  <si>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</si>
  <si>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</si>
  <si>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</si>
  <si>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</si>
  <si>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</si>
  <si>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</si>
  <si>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</si>
  <si>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</si>
  <si>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</si>
  <si>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</si>
  <si>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</si>
  <si>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</si>
  <si>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</si>
  <si>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</si>
  <si>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</si>
  <si>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</si>
  <si>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</si>
  <si>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</si>
  <si>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</si>
  <si>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</si>
  <si>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</si>
  <si>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</si>
  <si>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</si>
  <si>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</si>
  <si>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</si>
  <si>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</si>
  <si>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</si>
  <si>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</si>
  <si>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</si>
  <si>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</si>
  <si>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</si>
  <si>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</si>
  <si>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</si>
  <si>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</si>
  <si>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</si>
  <si>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</si>
  <si>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</si>
  <si>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</si>
  <si>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</si>
  <si>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</si>
  <si>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</si>
  <si>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</si>
  <si>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</si>
  <si>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</si>
  <si>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</si>
  <si>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</si>
  <si>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</si>
  <si>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</si>
  <si>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</si>
  <si>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</si>
  <si>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</si>
  <si>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</si>
  <si>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</si>
  <si>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</si>
  <si>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</si>
  <si>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</si>
  <si>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</si>
  <si>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</si>
  <si>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</si>
  <si>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</si>
  <si>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</si>
  <si>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</si>
  <si>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</si>
  <si>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</si>
  <si>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</si>
  <si>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</si>
  <si>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</si>
  <si>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</si>
  <si>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</si>
  <si>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</si>
  <si>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</si>
  <si>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</si>
  <si>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</si>
  <si>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</si>
  <si>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</si>
  <si>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</si>
  <si>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</si>
  <si>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</si>
  <si>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</si>
  <si>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</si>
  <si>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</si>
  <si>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</si>
  <si>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</si>
  <si>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</si>
  <si>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</si>
  <si>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</si>
  <si>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</si>
  <si>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</si>
  <si>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</si>
  <si>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</si>
  <si>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</si>
  <si>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</si>
  <si>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</si>
  <si>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</si>
  <si>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</si>
  <si>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</si>
  <si>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</si>
  <si>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</si>
  <si>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</si>
  <si>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</si>
  <si>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</si>
  <si>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</si>
  <si>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</si>
  <si>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</si>
  <si>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</si>
  <si>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</si>
  <si>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</si>
  <si>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</si>
  <si>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</si>
  <si>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</si>
  <si>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</si>
  <si>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</si>
  <si>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</si>
  <si>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</si>
  <si>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</si>
  <si>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</si>
  <si>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</si>
  <si>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</si>
  <si>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</si>
  <si>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</si>
  <si>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</si>
  <si>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</si>
  <si>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</si>
  <si>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</si>
  <si>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</si>
  <si>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</si>
  <si>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</si>
  <si>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</si>
  <si>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</si>
  <si>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</si>
  <si>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</si>
  <si>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</si>
  <si>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</si>
  <si>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</si>
  <si>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</si>
  <si>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</si>
  <si>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</si>
  <si>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</si>
  <si>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</si>
  <si>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</si>
  <si>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</si>
  <si>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</si>
  <si>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</si>
  <si>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</si>
  <si>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</si>
  <si>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</si>
  <si>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</si>
  <si>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</si>
  <si>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</si>
  <si>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</si>
  <si>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</si>
  <si>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</si>
  <si>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</si>
  <si>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</si>
  <si>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</si>
  <si>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</si>
  <si>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</si>
  <si>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</si>
  <si>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</si>
  <si>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</si>
  <si>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</si>
  <si>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</si>
  <si>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</si>
  <si>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</si>
  <si>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</si>
  <si>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</si>
  <si>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</si>
  <si>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</si>
  <si>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</si>
  <si>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</si>
  <si>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</si>
  <si>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</si>
  <si>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</si>
  <si>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</si>
  <si>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</si>
  <si>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</si>
  <si>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</si>
  <si>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</si>
  <si>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</si>
  <si>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</si>
  <si>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</si>
  <si>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</si>
  <si>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</si>
  <si>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</si>
  <si>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</si>
  <si>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</si>
  <si>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</si>
  <si>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</si>
  <si>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</si>
  <si>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</si>
  <si>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</si>
  <si>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</si>
  <si>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</si>
  <si>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</si>
  <si>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</si>
  <si>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</si>
  <si>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</si>
  <si>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</si>
  <si>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</si>
  <si>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</si>
  <si>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</si>
  <si>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</si>
  <si>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</si>
  <si>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</si>
  <si>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</si>
  <si>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</si>
  <si>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</si>
  <si>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</si>
  <si>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</si>
  <si>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</si>
  <si>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</si>
  <si>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</si>
  <si>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</si>
  <si>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</si>
  <si>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</si>
  <si>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</si>
  <si>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</si>
  <si>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</si>
  <si>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</si>
  <si>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</si>
  <si>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</si>
  <si>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</si>
  <si>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</si>
  <si>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</si>
  <si>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</si>
  <si>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</si>
  <si>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</si>
  <si>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</si>
  <si>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</si>
  <si>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</si>
  <si>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</si>
  <si>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</si>
  <si>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</si>
  <si>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</si>
  <si>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</si>
  <si>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</si>
  <si>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</si>
  <si>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</si>
  <si>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</si>
  <si>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</si>
  <si>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</si>
  <si>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</si>
  <si>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</si>
  <si>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</si>
  <si>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</si>
  <si>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</si>
  <si>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</si>
  <si>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</si>
  <si>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</si>
  <si>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</si>
  <si>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</si>
  <si>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</si>
  <si>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</si>
  <si>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</si>
  <si>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</si>
  <si>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</si>
  <si>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</si>
  <si>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</si>
  <si>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</si>
  <si>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</si>
  <si>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</si>
  <si>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</si>
  <si>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</si>
  <si>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</si>
  <si>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</si>
  <si>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</si>
  <si>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</si>
  <si>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</si>
  <si>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</si>
  <si>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</si>
  <si>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</si>
  <si>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</si>
  <si>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</si>
  <si>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</si>
  <si>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</si>
  <si>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</si>
  <si>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</si>
  <si>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</si>
  <si>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</si>
  <si>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</si>
  <si>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</si>
  <si>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</si>
  <si>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</si>
  <si>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</si>
  <si>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</si>
  <si>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</si>
  <si>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</si>
  <si>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KFS-SB-BYT</t>
  </si>
  <si>
    <t>КФ сушка 90 одноуровневая</t>
  </si>
  <si>
    <t>компл.№1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</si>
  <si>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</si>
  <si>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</si>
  <si>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</si>
  <si>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</si>
  <si>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</si>
  <si>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</si>
  <si>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</si>
  <si>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KFP-SP-PPGK_71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</si>
  <si>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</si>
  <si>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</si>
  <si>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</si>
  <si>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</si>
  <si>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</si>
  <si>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</si>
  <si>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</si>
  <si>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</si>
  <si>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</si>
  <si>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</si>
  <si>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</si>
  <si>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</si>
  <si>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</si>
  <si>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</si>
  <si>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</si>
  <si>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</si>
  <si>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</si>
  <si>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</si>
  <si>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</si>
  <si>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</si>
  <si>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</si>
  <si>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</si>
  <si>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</si>
  <si>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</si>
  <si>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</si>
  <si>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</si>
  <si>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</si>
  <si>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</si>
  <si>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</si>
  <si>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</si>
  <si>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</si>
  <si>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</si>
  <si>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</si>
  <si>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</si>
  <si>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</si>
  <si>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</si>
  <si>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</si>
  <si>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</si>
  <si>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</si>
  <si>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</si>
  <si>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</si>
  <si>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</si>
  <si>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</si>
  <si>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</si>
  <si>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</si>
  <si>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</si>
  <si>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</si>
  <si>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</si>
  <si>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</si>
  <si>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</si>
  <si>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</si>
  <si>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</si>
  <si>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</si>
  <si>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</si>
  <si>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</si>
  <si>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</si>
  <si>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</si>
  <si>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</si>
  <si>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</si>
  <si>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</si>
  <si>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</si>
  <si>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</si>
  <si>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</si>
  <si>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</si>
  <si>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</si>
  <si>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</si>
  <si>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</si>
  <si>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</si>
  <si>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</si>
  <si>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</si>
  <si>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</si>
  <si>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</si>
  <si>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</si>
  <si>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</si>
  <si>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</si>
  <si>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</si>
  <si>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</si>
  <si>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</si>
  <si>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</si>
  <si>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</si>
  <si>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</si>
  <si>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</si>
  <si>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</si>
  <si>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</si>
  <si>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</si>
  <si>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</si>
  <si>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</si>
  <si>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</si>
  <si>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</si>
  <si>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</si>
  <si>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</si>
  <si>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</si>
  <si>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</si>
  <si>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</si>
  <si>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</si>
  <si>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</si>
  <si>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</si>
  <si>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</si>
  <si>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</si>
  <si>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</si>
  <si>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</si>
  <si>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</si>
  <si>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</si>
  <si>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</si>
  <si>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</si>
  <si>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</si>
  <si>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</si>
  <si>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</si>
  <si>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</si>
  <si>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</si>
  <si>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</si>
  <si>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</si>
  <si>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</si>
  <si>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</si>
  <si>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</si>
  <si>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</si>
  <si>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</si>
  <si>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</si>
  <si>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</si>
  <si>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</si>
  <si>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</si>
  <si>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</si>
  <si>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</si>
  <si>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</si>
  <si>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</si>
  <si>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</si>
  <si>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</si>
  <si>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</si>
  <si>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EPT1D_455</t>
  </si>
  <si>
    <t>EPT1D_595</t>
  </si>
  <si>
    <t>EWV1V_900</t>
  </si>
  <si>
    <t>ESVX1D_720</t>
  </si>
  <si>
    <t>ESVX1D_960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</si>
  <si>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</si>
  <si>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</si>
  <si>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</si>
  <si>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</si>
  <si>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</si>
  <si>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</si>
  <si>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</si>
  <si>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</si>
  <si>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</si>
  <si>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</si>
  <si>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</si>
  <si>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</si>
  <si>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</si>
  <si>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</si>
  <si>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</si>
  <si>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</si>
  <si>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</si>
  <si>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</si>
  <si>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</si>
  <si>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</si>
  <si>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</si>
  <si>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</si>
  <si>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</si>
  <si>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</si>
  <si>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</si>
  <si>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</si>
  <si>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</si>
  <si>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</si>
  <si>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</si>
  <si>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</si>
  <si>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</si>
  <si>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</si>
  <si>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</si>
  <si>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</si>
  <si>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</si>
  <si>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</si>
  <si>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</si>
  <si>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</si>
  <si>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</si>
  <si>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</si>
  <si>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</si>
  <si>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</si>
  <si>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</si>
  <si>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</si>
  <si>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</si>
  <si>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</si>
  <si>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</si>
  <si>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</si>
  <si>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</si>
  <si>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</si>
  <si>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</si>
  <si>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</si>
  <si>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</si>
  <si>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</si>
  <si>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</si>
  <si>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</si>
  <si>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</si>
  <si>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</si>
  <si>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</si>
  <si>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</si>
  <si>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</si>
  <si>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</si>
  <si>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</si>
  <si>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</si>
  <si>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</si>
  <si>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</si>
  <si>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</si>
  <si>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</si>
  <si>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</si>
  <si>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</si>
  <si>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</si>
  <si>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</si>
  <si>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</si>
  <si>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</si>
  <si>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</si>
  <si>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</si>
  <si>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</si>
  <si>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</si>
  <si>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</si>
  <si>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</si>
  <si>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</si>
  <si>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</si>
  <si>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</si>
  <si>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</si>
  <si>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</si>
  <si>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</si>
  <si>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</si>
  <si>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</si>
  <si>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</si>
  <si>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</si>
  <si>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</si>
  <si>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</si>
  <si>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</si>
  <si>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</si>
  <si>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</si>
  <si>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</si>
  <si>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</si>
  <si>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</si>
  <si>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</si>
  <si>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</si>
  <si>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</si>
  <si>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</si>
  <si>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</si>
  <si>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</si>
  <si>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</si>
  <si>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</si>
  <si>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</si>
  <si>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</si>
  <si>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</si>
  <si>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</si>
  <si>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</si>
  <si>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</si>
  <si>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</si>
  <si>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</si>
  <si>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</si>
  <si>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</si>
  <si>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</si>
  <si>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</si>
  <si>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</si>
  <si>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</si>
  <si>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</si>
  <si>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</si>
  <si>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</si>
  <si>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</si>
  <si>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</si>
  <si>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</si>
  <si>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</si>
  <si>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</si>
  <si>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</si>
  <si>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</si>
  <si>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</si>
  <si>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</si>
  <si>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</si>
  <si>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</si>
  <si>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</si>
  <si>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</si>
  <si>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</si>
  <si>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</si>
  <si>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</si>
  <si>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</si>
  <si>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</si>
  <si>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</si>
  <si>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</si>
  <si>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</si>
  <si>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</si>
  <si>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</si>
  <si>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</si>
  <si>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</si>
  <si>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</si>
  <si>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</si>
  <si>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</si>
  <si>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</si>
  <si>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</si>
  <si>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</si>
  <si>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</si>
  <si>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</si>
  <si>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</si>
  <si>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</si>
  <si>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</si>
  <si>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</si>
  <si>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</si>
  <si>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</si>
  <si>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</si>
  <si>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</si>
  <si>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</si>
  <si>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</si>
  <si>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</si>
  <si>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</si>
  <si>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</si>
  <si>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</si>
  <si>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</si>
  <si>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</si>
  <si>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</si>
  <si>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</si>
  <si>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</si>
  <si>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</si>
  <si>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</si>
  <si>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</si>
  <si>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</si>
  <si>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</si>
  <si>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</si>
  <si>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</si>
  <si>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</si>
  <si>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</si>
  <si>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</si>
  <si>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</si>
  <si>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</si>
  <si>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</si>
  <si>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</si>
  <si>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</si>
  <si>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</si>
  <si>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</si>
  <si>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</si>
  <si>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</si>
  <si>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</si>
  <si>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</si>
  <si>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</si>
  <si>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</si>
  <si>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</si>
  <si>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</si>
  <si>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</si>
  <si>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</si>
  <si>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</si>
  <si>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</si>
  <si>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</si>
  <si>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</si>
  <si>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</si>
  <si>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</si>
  <si>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</si>
  <si>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</si>
  <si>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</si>
  <si>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</si>
  <si>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</si>
  <si>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</si>
  <si>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</si>
  <si>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</si>
  <si>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</si>
  <si>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</si>
  <si>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</si>
  <si>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</si>
  <si>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</si>
  <si>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</si>
  <si>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</si>
  <si>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</si>
  <si>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</si>
  <si>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</si>
  <si>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</si>
  <si>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</si>
  <si>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</si>
  <si>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</si>
  <si>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</si>
  <si>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</si>
  <si>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</si>
  <si>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</si>
  <si>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</si>
  <si>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</si>
  <si>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</si>
  <si>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</si>
  <si>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</si>
  <si>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</si>
  <si>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</si>
  <si>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</si>
  <si>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</si>
  <si>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</si>
  <si>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</si>
  <si>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</si>
  <si>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</si>
  <si>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</si>
  <si>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</si>
  <si>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</si>
  <si>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</si>
  <si>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</si>
  <si>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</si>
  <si>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</si>
  <si>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</si>
  <si>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</si>
  <si>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</si>
  <si>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</si>
  <si>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</si>
  <si>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</si>
  <si>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</si>
  <si>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</si>
  <si>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</si>
  <si>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</si>
  <si>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</si>
  <si>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</si>
  <si>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</si>
  <si>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</si>
  <si>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</si>
  <si>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</si>
  <si>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</si>
  <si>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</si>
  <si>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</si>
  <si>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</si>
  <si>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</si>
  <si>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</si>
  <si>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</si>
  <si>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</si>
  <si>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</si>
  <si>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</si>
  <si>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</si>
  <si>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</si>
  <si>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</si>
  <si>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</si>
  <si>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</si>
  <si>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</si>
  <si>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</si>
  <si>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</si>
  <si>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</si>
  <si>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</si>
  <si>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</si>
  <si>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</si>
  <si>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</si>
  <si>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</si>
  <si>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</si>
  <si>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</si>
  <si>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EPTG2D_455 Gola+2 двери +1 Ниша под технику_455</t>
  </si>
  <si>
    <t>EPTG2D_595 Gola+2 двери +1 Ниша под технику_595</t>
  </si>
  <si>
    <t>EPTP1D_595 1 подъемник+1 дверь+2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</si>
  <si>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</si>
  <si>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</si>
  <si>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</si>
  <si>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</si>
  <si>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</si>
  <si>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</si>
  <si>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</si>
  <si>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</si>
  <si>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</si>
  <si>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</si>
  <si>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</si>
  <si>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</si>
  <si>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</si>
  <si>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</si>
  <si>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</si>
  <si>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</si>
  <si>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</si>
  <si>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</si>
  <si>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</si>
  <si>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</si>
  <si>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</si>
  <si>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</si>
  <si>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</si>
  <si>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</si>
  <si>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</si>
  <si>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</si>
  <si>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</si>
  <si>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</si>
  <si>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</si>
  <si>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</si>
  <si>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</si>
  <si>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</si>
  <si>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</si>
  <si>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</si>
  <si>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</si>
  <si>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</si>
  <si>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</si>
  <si>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</si>
  <si>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</si>
  <si>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</si>
  <si>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</si>
  <si>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</si>
  <si>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</si>
  <si>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</si>
  <si>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</si>
  <si>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</si>
  <si>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</si>
  <si>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</si>
  <si>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</si>
  <si>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</si>
  <si>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</si>
  <si>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</si>
  <si>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</si>
  <si>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</si>
  <si>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</si>
  <si>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</si>
  <si>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</si>
  <si>
    <t>EMV1DL</t>
  </si>
  <si>
    <t>EMV2DL</t>
  </si>
  <si>
    <t>EHV1D_312</t>
  </si>
  <si>
    <t>EHV2D_312</t>
  </si>
  <si>
    <t>EPN2D_380_1510</t>
  </si>
  <si>
    <t>EPN2D_380_1510 2 двери + 1 Ниша под технику (настр.)</t>
  </si>
  <si>
    <t>EPN1B1D_380_1510</t>
  </si>
  <si>
    <t>EPN1B1D_380_1510 1 дверь + 1 ящик + 1 Ниша под технику (настр.)</t>
  </si>
  <si>
    <t>Комплектация 3Т</t>
  </si>
  <si>
    <t>Модули требующие изменений</t>
  </si>
  <si>
    <t>Модули, которых еще не было</t>
  </si>
  <si>
    <t>Ал.витрина</t>
  </si>
  <si>
    <t>EMV1DL 1 дверь + ал.витрина+ подсветка</t>
  </si>
  <si>
    <t>EMV2DL 2 двери + ал.витрина+ подсветка</t>
  </si>
  <si>
    <t>EHV2D_312 2 двери + Вытяжка + настр.ниша</t>
  </si>
  <si>
    <t>EHV1D_312 1 дверь + Вытяжка + настр.ниша</t>
  </si>
  <si>
    <t>Еще одна комплектация №1</t>
  </si>
  <si>
    <t>Комплектация №1</t>
  </si>
  <si>
    <t>Комплектация №1T</t>
  </si>
  <si>
    <t>Не заполнять</t>
  </si>
  <si>
    <t>Период</t>
  </si>
  <si>
    <t>Регистратор</t>
  </si>
  <si>
    <t>Номер строки</t>
  </si>
  <si>
    <t>Контрагент</t>
  </si>
  <si>
    <t>Входящие параметры</t>
  </si>
  <si>
    <t>Ограничивающие параметры</t>
  </si>
  <si>
    <t>Коэффициент</t>
  </si>
  <si>
    <t>Добавка</t>
  </si>
  <si>
    <t>Способ расчета цены</t>
  </si>
  <si>
    <t>Формула расчета</t>
  </si>
  <si>
    <t>Не учитывать нестандарт</t>
  </si>
  <si>
    <t>Не учитывать скидку</t>
  </si>
  <si>
    <t>Индивидуальный объемный коэффициент</t>
  </si>
  <si>
    <t>Кратность</t>
  </si>
  <si>
    <t>23.05.2025</t>
  </si>
  <si>
    <t>Заявка на разработку изделия 000026353 от 23.05.2025 9:18:38</t>
  </si>
  <si>
    <t>JP053</t>
  </si>
  <si>
    <t>EAST 3 гр.пленок глух/витр. 16 мм 565</t>
  </si>
  <si>
    <t>За м2</t>
  </si>
  <si>
    <t>EAST 3 гр.пленок решетка 16 мм 565</t>
  </si>
  <si>
    <t>EAST 1 гр.пленок глух/витр. 16 мм</t>
  </si>
  <si>
    <t>EAST 1 гр.пленок решетка 16 мм</t>
  </si>
  <si>
    <t>EAST 2 гр.пленок глух/витр. 16 мм 566</t>
  </si>
  <si>
    <t>EAST 2 гр.пленок решетка 16 мм 566</t>
  </si>
  <si>
    <t>WEST 1 гр.пленок глух/витр. 16 мм</t>
  </si>
  <si>
    <t>WEST 1 гр.пленок решетка 16 мм</t>
  </si>
  <si>
    <t>WEST 2 гр.пленок глух/витр. 16 мм +237</t>
  </si>
  <si>
    <t>WEST 2 гр.пленок решетка 16 мм +237</t>
  </si>
  <si>
    <t>WEST 3 гр.пленок глух/витр. 16 мм</t>
  </si>
  <si>
    <t>WEST 3 гр.пленок решетка 16 мм</t>
  </si>
  <si>
    <t>WEST 4 гр.пленок глух/витр. 16 мм</t>
  </si>
  <si>
    <t>WEST 4 гр.пленок решетка 16 мм</t>
  </si>
  <si>
    <t>EAST 1 гр.пленок глух/витр. 18_19 мм</t>
  </si>
  <si>
    <t>EAST 1 гр.пленок решетка 19 мм</t>
  </si>
  <si>
    <t>EAST 2 гр.пленок глух/витр. 18_19 мм 566</t>
  </si>
  <si>
    <t>EAST 2 гр.пленок решетка 19 мм 566</t>
  </si>
  <si>
    <t>EAST 3 гр.пленок глух/витр. 18_19 мм 565</t>
  </si>
  <si>
    <t>EAST 3 гр.пленок решетка 19 мм 565</t>
  </si>
  <si>
    <t>WEST 1 гр.пленок глух/витр. 18_19 мм</t>
  </si>
  <si>
    <t>WEST 1 гр.пленок решетка 19 мм</t>
  </si>
  <si>
    <t>WEST 2 гр.пленок глух/витр. 18_19 мм +237</t>
  </si>
  <si>
    <t>WEST 2 гр.пленок решетка 19 мм +237</t>
  </si>
  <si>
    <t>WEST 3 гр.пленок глух/витр. 18_19 мм</t>
  </si>
  <si>
    <t>WEST 3 гр.пленок решетка 19 мм</t>
  </si>
  <si>
    <t>WEST 4 гр.пленок глух/витр. 18_19 мм</t>
  </si>
  <si>
    <t>WEST 4 гр.пленок решетка 19 мм</t>
  </si>
  <si>
    <t>WEST 3 гр.пленок глух/витр. 22 мм 28.03.22</t>
  </si>
  <si>
    <t>ЕВРОДИЗАЙН</t>
  </si>
  <si>
    <t>EAST 3 гр.пленок глух/витр. 16 мм 28.03.22 (Для Евродизайн)</t>
  </si>
  <si>
    <t>28.05.2025</t>
  </si>
  <si>
    <t>Заявка на разработку изделия 000026356 от 28.05.2025 8:43:02</t>
  </si>
  <si>
    <t>EP2D(DZS)</t>
  </si>
  <si>
    <t>материал исполнения</t>
  </si>
  <si>
    <t>Равно коэффициенту</t>
  </si>
  <si>
    <t>K+K*0.008*Окр((H-2.04)/0.01,0)+K*0.0065*Окр((W-0.6)/0.01,0) +?((G-0.56)&gt;0,K*0.03*Окр((G-0.56)/0.01,0),0)</t>
  </si>
  <si>
    <t>Заявка на разработку изделия 000026357 от 28.05.2025 10:34:41</t>
  </si>
  <si>
    <t>EP2D(DZT)</t>
  </si>
  <si>
    <t>29.05.2025</t>
  </si>
  <si>
    <t>Заявка на разработку изделия 000026358 от 29.05.2025 12:05:11</t>
  </si>
  <si>
    <t>JO796</t>
  </si>
  <si>
    <t>11.06.2025</t>
  </si>
  <si>
    <t>Заявка на разработку изделия 000026362 от 11.06.2025 10:39:20</t>
  </si>
  <si>
    <t>EHV1D_312(DZV)</t>
  </si>
  <si>
    <t>K+K*0.0095*Окр((H-0.72)/0.01,0)+K*0.0065*Окр((W-0.5)/0.01,0) +?((G-0.315)&gt;0,K*0.03*Окр((G-0.315)/0.01,0),0)</t>
  </si>
  <si>
    <t>материал исполнения premium</t>
  </si>
  <si>
    <t>По формуле и входящие параметры</t>
  </si>
  <si>
    <t>Заявка на разработку изделия 000026363 от 11.06.2025 11:22:15</t>
  </si>
  <si>
    <t>EVG1D(DZU)</t>
  </si>
  <si>
    <t>K+K*0.008*Окр((H-0.72)/0.01,0)+K*0.0065*Окр((W-0.3)/0.01,0) +?((G-0.315)&gt;0,K*0.03*Окр((G-0.315)/0.01,0),0)</t>
  </si>
  <si>
    <t>16.06.2025</t>
  </si>
  <si>
    <t>Заявка на разработку изделия 000026438 от 16.06.2025 0:00:00</t>
  </si>
  <si>
    <t>Полка отдельностоящая_S</t>
  </si>
  <si>
    <t>полка из ДСП белая и бежевая</t>
  </si>
  <si>
    <t>Заявка на разработку изделия 000026364 от 16.06.2025 0:00:00</t>
  </si>
  <si>
    <t>K+K*0.0095*Окр((H-0.72)/0.01,0)+K*0.0065*Окр((W-0.3)/0.01,0) +?((G-0.56)&gt;0,K*0.03*Окр((G-0.56)/0.01,0),0)</t>
  </si>
  <si>
    <t>Заявка на разработку изделия 000026365 от 16.06.2025 0:00:00</t>
  </si>
  <si>
    <t>K+K*0.008*Окр((H-0.72)/0.01,0)+K*0.0065*Окр((W-0.3)/0.01,0) +?((G-0.56)&gt;0,K*0.03*Окр((G-0.56)/0.01,0),0)</t>
  </si>
  <si>
    <t>Заявка на разработку изделия 000026366 от 16.06.2025 0:00:00</t>
  </si>
  <si>
    <t>Заявка на разработку изделия 000026368 от 16.06.2025 0:00:00</t>
  </si>
  <si>
    <t>K+K*0.008*Окр((H-0.72)/0.01,0)+K*0.0065*Окр((W-0.45)/0.01,0) +?((G-0.56)&gt;0,K*0.03*Окр((G-0.56)/0.01,0),0)</t>
  </si>
  <si>
    <t>Заявка на разработку изделия 000026369 от 16.06.2025 0:00:00</t>
  </si>
  <si>
    <t>K+K*0.0065*Окр((H-0.72)/0.01,0)+K*0.0065*Окр((W-0.45)/0.01,0) +?((G-0.56)&gt;0,K*0.03*Окр((G-0.56)/0.01,0),0)</t>
  </si>
  <si>
    <t>Заявка на разработку изделия 000026370 от 16.06.2025 0:00:00</t>
  </si>
  <si>
    <t>K+K*0.008*Окр((H-0.72)/0.01,0)+K*0.0065*Окр((W-0.75)/0.01,0) +?((G-0.560)&gt;0,K*0.03*Окр((G-0.560)/0.01,0),0)</t>
  </si>
  <si>
    <t>Заявка на разработку изделия 000026372 от 16.06.2025 0:00:00</t>
  </si>
  <si>
    <t>K+K*0.008*Окр((H-0.72)/0.01,0)+K*0.0065*Окр((W-0.75)/0.01,0)</t>
  </si>
  <si>
    <t>Заявка на разработку изделия 000026374 от 16.06.2025 0:00:00</t>
  </si>
  <si>
    <t>K+K*0.008*Окр((H-0.72)/0.01,0)+K*0.0065*Окр((W-0.3)/0.01,0)</t>
  </si>
  <si>
    <t>Заявка на разработку изделия 000026376 от 16.06.2025 0:00:00</t>
  </si>
  <si>
    <t>Заявка на разработку изделия 000026377 от 16.06.2025 0:00:00</t>
  </si>
  <si>
    <t>Заявка на разработку изделия 000026378 от 16.06.2025 0:00:00</t>
  </si>
  <si>
    <t>Заявка на разработку изделия 000026380 от 16.06.2025 0:00:00</t>
  </si>
  <si>
    <t>K+K*0.008*Окр((H-0.72)/0.01,0)+K*0.0065*Окр((W-0.45)/0.01,0)</t>
  </si>
  <si>
    <t>Заявка на разработку изделия 000026375 от 16.06.2025 0:00:00</t>
  </si>
  <si>
    <t>Заявка на разработку изделия 000026382 от 16.06.2025 0:00:00</t>
  </si>
  <si>
    <t>K+K*0.008*Окр((H-0.72)/0.01,0)+K*0.0065*Окр((W-0.315)/0.01,0) +?((G-0.56)&gt;0,K*0.03*Окр((G-0.56)/0.01,0),0)</t>
  </si>
  <si>
    <t>Заявка на разработку изделия 000026383 от 16.06.2025 0:00:00</t>
  </si>
  <si>
    <t>Заявка на разработку изделия 000026384 от 16.06.2025 0:00:00</t>
  </si>
  <si>
    <t>Заявка на разработку изделия 000026385 от 16.06.2025 0:00:00</t>
  </si>
  <si>
    <t>Заявка на разработку изделия 000026367 от 16.06.2025 0:00:00</t>
  </si>
  <si>
    <t>EMN1K</t>
  </si>
  <si>
    <t>Заявка на разработку изделия 000026388 от 16.06.2025 0:00:00</t>
  </si>
  <si>
    <t>ENG1K</t>
  </si>
  <si>
    <t>Заявка на разработку изделия 000026389 от 16.06.2025 0:00:00</t>
  </si>
  <si>
    <t>Заявка на разработку изделия 000026390 от 16.06.2025 0:00:00</t>
  </si>
  <si>
    <t>Заявка на разработку изделия 000026391 от 16.06.2025 0:00:00</t>
  </si>
  <si>
    <t>Заявка на разработку изделия 000026393 от 16.06.2025 0:00:00</t>
  </si>
  <si>
    <t>Заявка на разработку изделия 000026394 от 16.06.2025 0:00:00</t>
  </si>
  <si>
    <t>Заявка на разработку изделия 000026419 от 16.06.2025 0:00:00</t>
  </si>
  <si>
    <t>K+K*0.008*Окр((H-1.32)/0.01,0)+K*0.0065*Окр((W-0.6)/0.01,0) +?((G-0.56)&gt;0,K*0.03*Окр((G-0.56)/0.01,0),0)</t>
  </si>
  <si>
    <t>Заявка на разработку изделия 000026421 от 16.06.2025 0:00:00</t>
  </si>
  <si>
    <t>EPT1D</t>
  </si>
  <si>
    <t>Заявка на разработку изделия 000026423 от 16.06.2025 0:00:00</t>
  </si>
  <si>
    <t>Заявка на разработку изделия 000026397 от 16.06.2025 0:00:00</t>
  </si>
  <si>
    <t>Заявка на разработку изделия 000026399 от 16.06.2025 0:00:00</t>
  </si>
  <si>
    <t>Заявка на разработку изделия 000026401 от 16.06.2025 0:00:00</t>
  </si>
  <si>
    <t>Заявка на разработку изделия 000026407 от 16.06.2025 0:00:00</t>
  </si>
  <si>
    <t>K+K*0.008*Окр((H-0.72)/0.01,0)+K*0.0065*Окр((W-0.6)/0.01,0)</t>
  </si>
  <si>
    <t>Заявка на разработку изделия 000026428 от 16.06.2025 0:00:00</t>
  </si>
  <si>
    <t>K+K*0.008*Окр((H-2.04)/0.01,0)+K*0.0065*Окр((W-0.6)/0.01,0)</t>
  </si>
  <si>
    <t>Заявка на разработку изделия 000026429 от 16.06.2025 0:00:00</t>
  </si>
  <si>
    <t>Заявка на разработку изделия 000026433 от 16.06.2025 0:00:00</t>
  </si>
  <si>
    <t>EPTP1D</t>
  </si>
  <si>
    <t>Заявка на разработку изделия 000026426 от 16.06.2025 0:00:00</t>
  </si>
  <si>
    <t>Заявка на разработку изделия 000026432 от 16.06.2025 0:00:00</t>
  </si>
  <si>
    <t>EPT2B1D</t>
  </si>
  <si>
    <t>Заявка на разработку изделия 000026436 от 16.06.2025 0:00:00</t>
  </si>
  <si>
    <t>K+K*0.008*Окр((H-2.28)/0.01,0)+K*0.0065*Окр((W-0.6)/0.01,0) +?((G-0.56)&gt;0,K*0.03*Окр((G-0.56)/0.01,0),0)</t>
  </si>
  <si>
    <t>Заявка на разработку изделия 000026412 от 16.06.2025 0:00:00</t>
  </si>
  <si>
    <t>Заявка на разработку изделия 000026413 от 16.06.2025 0:00:00</t>
  </si>
  <si>
    <t>Заявка на разработку изделия 000026402 от 16.06.2025 0:00:00</t>
  </si>
  <si>
    <t>EUV1D</t>
  </si>
  <si>
    <t>Заявка на разработку изделия 000026408 от 16.06.2025 0:00:00</t>
  </si>
  <si>
    <t>EWV1D</t>
  </si>
  <si>
    <t>K+K*0.0095*Окр((H-0.72)/0.01,0)+K*0.0065*Окр((W-0.45)/0.01,0) +?((G-0.315)&gt;0,K*0.03*Окр((G-0.315)/0.01,0),0)</t>
  </si>
  <si>
    <t>Заявка на разработку изделия 000026409 от 16.06.2025 0:00:00</t>
  </si>
  <si>
    <t>EWV2D</t>
  </si>
  <si>
    <t>Заявка на разработку изделия 000026403 от 16.06.2025 0:00:00</t>
  </si>
  <si>
    <t>K+K*0.0095*Окр((H-0.68)/0.01,0)+K*0.0065*Окр((W-0.5)/0.01,0) +?((G-0.315)&gt;0,K*0.03*Окр((G-0.315)/0.01,0),0)</t>
  </si>
  <si>
    <t>Заявка на разработку изделия 000026418 от 16.06.2025 0:00:00</t>
  </si>
  <si>
    <t>EWV1V</t>
  </si>
  <si>
    <t>Заявка на разработку изделия 000026414 от 16.06.2025 0:00:00</t>
  </si>
  <si>
    <t>Заявка на разработку изделия 000026410 от 16.06.2025 0:00:00</t>
  </si>
  <si>
    <t>EWV2V</t>
  </si>
  <si>
    <t>K+K*0.008*Окр((H-0.72)/0.01,0)+K*0.0065*Окр((W-0.45)/0.01,0) +?((G-0.315)&gt;0,K*0.03*Окр((G-0.315)/0.01,0),0)</t>
  </si>
  <si>
    <t>Заявка на разработку изделия 000026416 от 16.06.2025 0:00:00</t>
  </si>
  <si>
    <t>K+K*0.008*Окр((H-0.72)/0.01,0)+K*0.0065*Окр((W-0.1)/0.01,0) +?((G-0.56)&gt;0,K*0.03*Окр((G-0.56)/0.01,0),0)</t>
  </si>
  <si>
    <t>Заявка на разработку изделия 000026411 от 16.06.2025 0:00:00</t>
  </si>
  <si>
    <t>K+K*0.008*Окр((H-0.72)/0.01,0)+K*0.0065*Окр((W-0.315)/0.01,0)</t>
  </si>
  <si>
    <t>Заявка на разработку изделия 000026405 от 16.06.2025 0:00:00</t>
  </si>
  <si>
    <t>Заявка на разработку изделия 000026386 от 16.06.2025 0:00:00</t>
  </si>
  <si>
    <t>Заявка на разработку изделия 000026387 от 16.06.2025 0:00:00</t>
  </si>
  <si>
    <t>Заявка на разработку изделия 000026415 от 16.06.2025 0:00:00</t>
  </si>
  <si>
    <t>EUVG1D</t>
  </si>
  <si>
    <t>Заявка на разработку изделия 000026381 от 16.06.2025 0:00:00</t>
  </si>
  <si>
    <t>K+K*0.008*Окр((H-0.72)/0.01,0)+K*0.0065*Окр((W-0.23)/0.01,0) +?((G-0.54)&gt;0,K*0.03*Окр((G-0.54)/0.01,0),0)</t>
  </si>
  <si>
    <t>Заявка на разработку изделия 000026417 от 16.06.2025 0:00:00</t>
  </si>
  <si>
    <t>K+K*0.008*Окр((H-0.96)/0.01,0)+K*0.0065*Окр((W-0.21)/0.01,0) +?((G-0.315)&gt;0,K*0.03*Окр((G-0.315)/0.01,0),0)</t>
  </si>
  <si>
    <t>Заявка на разработку изделия 000026422 от 16.06.2025 0:00:00</t>
  </si>
  <si>
    <t>K+K*0.008*Окр((H-1.32)/0.01,0)+K*0.0065*Окр((W-0.6)/0.01,0)</t>
  </si>
  <si>
    <t>Заявка на разработку изделия 000026373 от 16.06.2025 0:00:00</t>
  </si>
  <si>
    <t>Заявка на разработку изделия 000026371 от 16.06.2025 0:00:00</t>
  </si>
  <si>
    <t>Заявка на разработку изделия 000026392 от 16.06.2025 0:00:00</t>
  </si>
  <si>
    <t>Заявка на разработку изделия 000026427 от 16.06.2025 0:00:00</t>
  </si>
  <si>
    <t>Заявка на разработку изделия 000026431 от 16.06.2025 0:00:00</t>
  </si>
  <si>
    <t>EPTG2D</t>
  </si>
  <si>
    <t>Заявка на разработку изделия 000026435 от 16.06.2025 0:00:00</t>
  </si>
  <si>
    <t>EPTG1B1D</t>
  </si>
  <si>
    <t>Заявка на разработку изделия 000026424 от 16.06.2025 0:00:00</t>
  </si>
  <si>
    <t>EPG2D</t>
  </si>
  <si>
    <t>Заявка на разработку изделия 000026425 от 16.06.2025 0:00:00</t>
  </si>
  <si>
    <t>EPG2DM</t>
  </si>
  <si>
    <t>Заявка на разработку изделия 000026420 от 16.06.2025 0:00:00</t>
  </si>
  <si>
    <t>Заявка на разработку изделия 000026437 от 16.06.2025 0:00:00</t>
  </si>
  <si>
    <t>Комплекты фурнитуры</t>
  </si>
  <si>
    <t>KFP-SB-PPHF</t>
  </si>
  <si>
    <t>КФ крепежа корпуса 1, 19</t>
  </si>
  <si>
    <t>КФ крепежа корпуса 12, 20</t>
  </si>
  <si>
    <t>КФ крепежа корпуса 13,18</t>
  </si>
  <si>
    <t>КФ петля полунакладная угловая 45/95 град. с крест</t>
  </si>
  <si>
    <t>КФ петли накл.110 гр. с крестообр. планкой</t>
  </si>
  <si>
    <t>КФ Aventos HK 03</t>
  </si>
  <si>
    <t>KFPr-SB-Z(заглушки 5мм)</t>
  </si>
  <si>
    <t>KFPr-SB-ZKK(заглушки 15мм) 8шт</t>
  </si>
  <si>
    <t>KFPr-SB-ZKK(заглушки 15мм) 4шт</t>
  </si>
  <si>
    <t>KFPr-SB-SMRZ_16мм КФ Шурупы</t>
  </si>
  <si>
    <t>КФ опора пластиковая 120_150</t>
  </si>
  <si>
    <t>KFS-SB-60</t>
  </si>
  <si>
    <t>KFS-SB-80</t>
  </si>
  <si>
    <t>KFS-SB-90</t>
  </si>
  <si>
    <t>KFPr-SB-ZP - заглушки для KFPr-SB-POD</t>
  </si>
  <si>
    <t>KFS-SB-45</t>
  </si>
  <si>
    <t>KFP-SB-GT120</t>
  </si>
  <si>
    <t>КФ петли SENS накл.110 гр. с крестообр. планкой</t>
  </si>
  <si>
    <t>Комплекты светильников</t>
  </si>
  <si>
    <t>КФ сушка 90 двухуровневая</t>
  </si>
  <si>
    <t>КФ сушка 45 двухуровневая</t>
  </si>
  <si>
    <t>КФ сушка 60 двухуровневая</t>
  </si>
  <si>
    <t>КФ сушка 80 двухуровневая</t>
  </si>
  <si>
    <t>КФ крепления ящика Hettich</t>
  </si>
  <si>
    <t>КФ крепежа корпуса 17</t>
  </si>
  <si>
    <t>КФ петли под фасад из ал.профиля</t>
  </si>
  <si>
    <t>КФ EMV1DL/2DL + рассеиватель</t>
  </si>
  <si>
    <t>Заявка на разработку изделия 000026439 от 16.06.2025 0:00:00</t>
  </si>
  <si>
    <t>Панель</t>
  </si>
  <si>
    <t>материал исполнения premium полки</t>
  </si>
  <si>
    <t>Заявка на разработку изделия 000026443 от 16.06.2025 0:00:00</t>
  </si>
  <si>
    <t>Глухой для верх.ряда RS02</t>
  </si>
  <si>
    <t>(0-5]</t>
  </si>
  <si>
    <t>Глухой для нижн.ряда RS03</t>
  </si>
  <si>
    <t>Глухой для с ручкой-раковиной RS01</t>
  </si>
  <si>
    <t>Глухой в алюминиевом профиле 810</t>
  </si>
  <si>
    <t>Глухой МД Softline Marine</t>
  </si>
  <si>
    <t>Бленда Softline Marine</t>
  </si>
  <si>
    <t>За МП По высоте</t>
  </si>
  <si>
    <t>Заявка на разработку изделия 000026398 от 16.06.2025 0:00:00</t>
  </si>
  <si>
    <t>K+K*0.008*Окр((H-0.72)/0.01,0)+K*0.0065*Окр((W-0.6)/0.01,0) +?((G-0.350)&gt;0,K*0.003*Окр((G-0.350)/0.01,0),0)</t>
  </si>
  <si>
    <t>Заявка на разработку изделия 000026396 от 16.06.2025 0:00:00</t>
  </si>
  <si>
    <t>K+K*0.008*Окр((H-0.72)/0.01,0)+K*0.0065*Окр((W-0.3)/0.01,0) +?((G-0.315)&gt;0,K*0.003*Окр((G-0.315)/0.01,0),0)</t>
  </si>
  <si>
    <t>Заявка на разработку изделия 000026379 от 16.06.2025 0:00:00</t>
  </si>
  <si>
    <t>Заявка на разработку изделия 000026441 от 16.06.2025 0:00:00</t>
  </si>
  <si>
    <t>Цоколь для опор 120 мм</t>
  </si>
  <si>
    <t>идеальный цоколь</t>
  </si>
  <si>
    <t>Заявка на разработку изделия 000026440 от 16.06.2025 0:00:00</t>
  </si>
  <si>
    <t>Цоколь для опор 150 мм</t>
  </si>
  <si>
    <t>Заявка на разработку изделия 000026404 от 16.06.2025 0:00:00</t>
  </si>
  <si>
    <t>Заявка на разработку изделия 000026406 от 16.06.2025 0:00:00</t>
  </si>
  <si>
    <t>Заявка на разработку изделия 000026434 от 16.06.2025 0:00:00</t>
  </si>
  <si>
    <t>EPN1B1D</t>
  </si>
  <si>
    <t>Заявка на разработку изделия 000026430 от 16.06.2025 0:00:00</t>
  </si>
  <si>
    <t>EPN2D</t>
  </si>
  <si>
    <t>Заявка на разработку изделия 000026395 от 16.06.2025 0:00:00</t>
  </si>
  <si>
    <t>Заявка на разработку изделия 000026445 от 16.06.2025 0:00:00</t>
  </si>
  <si>
    <t>Профиль подсветки вр.гор.</t>
  </si>
  <si>
    <t>профиль рассеиватель HLBL</t>
  </si>
  <si>
    <t>Заявка на разработку изделия 000026400 от 16.06.2025 0:00:00</t>
  </si>
  <si>
    <t>Заявка на разработку изделия 000026444 от 16.06.2025 8:42:33</t>
  </si>
  <si>
    <t>JP057</t>
  </si>
  <si>
    <t>Названия столбцов</t>
  </si>
  <si>
    <t>Общий итог</t>
  </si>
  <si>
    <t>Названия строк</t>
  </si>
  <si>
    <t>Сумма по полю Коэффициент</t>
  </si>
  <si>
    <t>EPT2B1D_382 1 дверь+2 ящика+1 Ниша под технику_382</t>
  </si>
  <si>
    <t>EPT2B1D_455 1 дверь+2 ящика + 1 Ниша под технику_455</t>
  </si>
  <si>
    <t>EPT2B1D_595 1 дверь+2 ящика + 1 Ниша под технику_595</t>
  </si>
  <si>
    <t>Заказ 849 для проверки</t>
  </si>
  <si>
    <t>КФ НСТ20</t>
  </si>
  <si>
    <t>КФ EMV1DL/2DL</t>
  </si>
  <si>
    <t>560 КРОКУС КРЕМОВЫЙ</t>
  </si>
  <si>
    <t>561 БАУНТИ</t>
  </si>
  <si>
    <t>562 ДЮНА</t>
  </si>
  <si>
    <t>563 ТОФФИ</t>
  </si>
  <si>
    <t>564 ОРЕХ ЛУЧИСТЫЙ</t>
  </si>
  <si>
    <t>565 МОНТЕ АНТИК</t>
  </si>
  <si>
    <t>566 ЛОФТ ДЮНА</t>
  </si>
  <si>
    <t>559 СЛОНОВАЯ КОСТЬ</t>
  </si>
  <si>
    <t>КФ НСТ12</t>
  </si>
  <si>
    <t>КФ НСТ 12</t>
  </si>
  <si>
    <t>Комплект петли Hettich с доводчиком для алюм.профиля</t>
  </si>
  <si>
    <t>1. Проставить параметры из 1С (высота, ширина, глубина)</t>
  </si>
  <si>
    <t>2. Проставить формулы расчета полок</t>
  </si>
  <si>
    <t>3. Проставить формулы расчета фасадов</t>
  </si>
  <si>
    <t>4. Проставить всю фурнитуру</t>
  </si>
  <si>
    <t>5.Посчитать комплектацию (правильно просуммировать навески и опоры)</t>
  </si>
  <si>
    <t>(несколько элементов)</t>
  </si>
  <si>
    <t>Color</t>
  </si>
  <si>
    <t>Contour</t>
  </si>
  <si>
    <t>Тип НСТ</t>
  </si>
  <si>
    <t>1: Габариты/Проработка ниши для техники(НСТ без наценки)</t>
  </si>
  <si>
    <t>2: изменения конструктива</t>
  </si>
  <si>
    <t>Освещение</t>
  </si>
  <si>
    <t>Линейная подсветка</t>
  </si>
  <si>
    <t>Открывание</t>
  </si>
  <si>
    <t>Левое</t>
  </si>
  <si>
    <t>Правое</t>
  </si>
  <si>
    <t>Опоры</t>
  </si>
  <si>
    <t>Поворотный</t>
  </si>
  <si>
    <t>Складной(2 фасада)</t>
  </si>
  <si>
    <t>ЛДСП</t>
  </si>
  <si>
    <t>Стекло</t>
  </si>
  <si>
    <t xml:space="preserve">Комплектация </t>
  </si>
  <si>
    <t>Комплектация №1 - алюмин рама с доводчиками</t>
  </si>
  <si>
    <t>Комплектация №1T - алюмин рама с Tip-ON</t>
  </si>
  <si>
    <t>Комплектация №2(петли Hettich; складной подъемник Hafele поворотный)</t>
  </si>
  <si>
    <t>Комплектация №2Р Ящики с доводчиком Hettich</t>
  </si>
  <si>
    <t>Комплектация №2T Ящики с push to open Hettich</t>
  </si>
  <si>
    <t>Комплектация №3(петли, ящики, подъемники Hafele(ящики с доп. доводчиком)</t>
  </si>
  <si>
    <t>Комплектация №3Т(петли Hafele с Tip-On)</t>
  </si>
  <si>
    <t>Вопрос</t>
  </si>
  <si>
    <t>Номер заказа</t>
  </si>
  <si>
    <t>Номер контрагента по БЗ</t>
  </si>
  <si>
    <t>Заявка №</t>
  </si>
  <si>
    <t>Дата</t>
  </si>
  <si>
    <t>Комплектация:</t>
  </si>
  <si>
    <t>Тип продукции:</t>
  </si>
  <si>
    <t>Кухни Sidak</t>
  </si>
  <si>
    <t>Тип НСТ:</t>
  </si>
  <si>
    <t>Высота:</t>
  </si>
  <si>
    <t>Ширина:</t>
  </si>
  <si>
    <t>Глубина:</t>
  </si>
  <si>
    <t>Материал</t>
  </si>
  <si>
    <t>Техника / ниша(верх)*</t>
  </si>
  <si>
    <t>Техника / ниша(низ)*</t>
  </si>
  <si>
    <t>Модель фасада</t>
  </si>
  <si>
    <t>Толщина фасада</t>
  </si>
  <si>
    <t>Проверьте : Размеры на эскизе и в заявке совпадают?</t>
  </si>
  <si>
    <t>Коротко опишите необходимые изменения</t>
  </si>
  <si>
    <t>Заявка к заказу №</t>
  </si>
  <si>
    <t>На изготовление НСТ</t>
  </si>
  <si>
    <t>От дизайнера</t>
  </si>
  <si>
    <t>От представительства / мебельного салона:</t>
  </si>
  <si>
    <t>TextBoxNumber_order</t>
  </si>
  <si>
    <t>TextBoxName_Kontr</t>
  </si>
  <si>
    <t>TextBoxNubmer_Kontr</t>
  </si>
  <si>
    <t>TextBoxNumber_Zayav</t>
  </si>
  <si>
    <t>TextBoxDate</t>
  </si>
  <si>
    <t>ComboBoxTypeMod</t>
  </si>
  <si>
    <t>ComboBoxModule</t>
  </si>
  <si>
    <t>ComboBoxType_NST</t>
  </si>
  <si>
    <t>TextBoxVys_NST</t>
  </si>
  <si>
    <t>TextBoxShir_NST</t>
  </si>
  <si>
    <t>TextBoxGlub_NST</t>
  </si>
  <si>
    <t>ComboBoxColor_korp</t>
  </si>
  <si>
    <t>ComboBoxLighting</t>
  </si>
  <si>
    <t>ComboBoxType_open</t>
  </si>
  <si>
    <t>ComboBoxType_opor</t>
  </si>
  <si>
    <t>ComboBoxType_pod</t>
  </si>
  <si>
    <t>TextBoxColPolki</t>
  </si>
  <si>
    <t>ComboBoxMat_polki</t>
  </si>
  <si>
    <t>TextBoxLink_niz</t>
  </si>
  <si>
    <t>TextBoxLink_verh</t>
  </si>
  <si>
    <t>ComboBoxCollerction_Fas</t>
  </si>
  <si>
    <t>TextBoxTolshina_Fas</t>
  </si>
  <si>
    <t>ComboBoxVopros</t>
  </si>
  <si>
    <t>TextBoxOpisanie</t>
  </si>
  <si>
    <t>TextBoxFIO</t>
  </si>
  <si>
    <t>ComboBoxPredstavitel</t>
  </si>
  <si>
    <t>Наименование элемента</t>
  </si>
  <si>
    <t>Адрес ячейки</t>
  </si>
  <si>
    <t>B1</t>
  </si>
  <si>
    <t>D1</t>
  </si>
  <si>
    <t>F1</t>
  </si>
  <si>
    <t>H1</t>
  </si>
  <si>
    <t>J1</t>
  </si>
  <si>
    <t>ComboBoxKompl</t>
  </si>
  <si>
    <t>B2</t>
  </si>
  <si>
    <t>B5</t>
  </si>
  <si>
    <t>B6</t>
  </si>
  <si>
    <t>Параметры НЕСТАНДАРТА</t>
  </si>
  <si>
    <t>B7</t>
  </si>
  <si>
    <t>B8</t>
  </si>
  <si>
    <t>Цвет корпуса</t>
  </si>
  <si>
    <t>B11</t>
  </si>
  <si>
    <t>B12</t>
  </si>
  <si>
    <t>B13</t>
  </si>
  <si>
    <t>B14</t>
  </si>
  <si>
    <t>B15</t>
  </si>
  <si>
    <t>C17</t>
  </si>
  <si>
    <t>E17</t>
  </si>
  <si>
    <t>ТЕХНИКА</t>
  </si>
  <si>
    <t>ФАСАДЫ</t>
  </si>
  <si>
    <t>МЕСТО ДЛЯ ЭСКИЗА</t>
  </si>
  <si>
    <t>B18</t>
  </si>
  <si>
    <t>B19</t>
  </si>
  <si>
    <t>B21</t>
  </si>
  <si>
    <t>G21</t>
  </si>
  <si>
    <t>E23</t>
  </si>
  <si>
    <t>E24</t>
  </si>
  <si>
    <t>I53</t>
  </si>
  <si>
    <t>H55</t>
  </si>
  <si>
    <t>23.06.2025</t>
  </si>
  <si>
    <t>Камынин</t>
  </si>
  <si>
    <t>МСК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</si>
</sst>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0.000"/>
    <numFmt numFmtId="167" formatCode="0.000000"/>
    <numFmt numFmtId="168" formatCode="#,##0.0000"/>
    <numFmt numFmtId="169" formatCode="0.000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0"/>
      <name val="Times New Roman"/>
      <family val="1"/>
      <charset val="204"/>
    </font>
    <font>
      <sz val="8"/>
      <name val="Arial"/>
      <family val="2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6.5"/>
      <color theme="1"/>
      <name val="Calibri"/>
      <family val="2"/>
      <charset val="204"/>
      <scheme val="minor"/>
    </font>
    <font>
      <u/>
      <sz val="9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FFFFFF"/>
        <bgColor auto="1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8F6C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</borders>
  <cellStyleXfs count="2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0" borderId="0"/>
    <xf numFmtId="0" fontId="8" fillId="0" borderId="0"/>
    <xf numFmtId="44" fontId="2" fillId="0" borderId="0" applyFont="0" applyFill="0" applyBorder="0" applyAlignment="0" applyProtection="0"/>
    <xf numFmtId="0" fontId="27" fillId="0" borderId="0"/>
    <xf numFmtId="0" fontId="30" fillId="6" borderId="0" applyNumberFormat="0" applyBorder="0" applyAlignment="0" applyProtection="0"/>
    <xf numFmtId="0" fontId="8" fillId="0" borderId="0"/>
    <xf numFmtId="0" fontId="38" fillId="0" borderId="0"/>
    <xf numFmtId="0" fontId="39" fillId="0" borderId="0"/>
    <xf numFmtId="0" fontId="38" fillId="0" borderId="0"/>
    <xf numFmtId="0" fontId="2" fillId="0" borderId="0"/>
    <xf numFmtId="0" fontId="9" fillId="0" borderId="0"/>
    <xf numFmtId="0" fontId="45" fillId="0" borderId="0"/>
    <xf numFmtId="0" fontId="9" fillId="0" borderId="0"/>
    <xf numFmtId="0" fontId="49" fillId="0" borderId="0"/>
  </cellStyleXfs>
  <cellXfs count="31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11" fillId="0" borderId="0" xfId="5" applyFont="1"/>
    <xf numFmtId="165" fontId="11" fillId="0" borderId="7" xfId="6" applyFont="1" applyFill="1" applyBorder="1" applyAlignment="1">
      <alignment vertical="center"/>
    </xf>
    <xf numFmtId="0" fontId="18" fillId="0" borderId="0" xfId="5" applyFont="1"/>
    <xf numFmtId="165" fontId="11" fillId="4" borderId="7" xfId="6" applyFont="1" applyFill="1" applyBorder="1" applyAlignment="1">
      <alignment vertical="center"/>
    </xf>
    <xf numFmtId="165" fontId="11" fillId="5" borderId="15" xfId="6" applyFont="1" applyFill="1" applyBorder="1" applyAlignment="1">
      <alignment vertical="center"/>
    </xf>
    <xf numFmtId="165" fontId="11" fillId="5" borderId="17" xfId="6" applyFont="1" applyFill="1" applyBorder="1" applyAlignment="1">
      <alignment vertical="center"/>
    </xf>
    <xf numFmtId="165" fontId="11" fillId="5" borderId="19" xfId="6" applyFont="1" applyFill="1" applyBorder="1" applyAlignment="1">
      <alignment vertical="center"/>
    </xf>
    <xf numFmtId="165" fontId="18" fillId="5" borderId="17" xfId="6" applyFont="1" applyFill="1" applyBorder="1" applyAlignment="1">
      <alignment vertical="center"/>
    </xf>
    <xf numFmtId="165" fontId="18" fillId="3" borderId="17" xfId="6" applyFont="1" applyFill="1" applyBorder="1" applyAlignment="1">
      <alignment vertical="center"/>
    </xf>
    <xf numFmtId="165" fontId="11" fillId="3" borderId="15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21" fillId="0" borderId="0" xfId="0" applyFont="1"/>
    <xf numFmtId="0" fontId="23" fillId="0" borderId="0" xfId="5" applyFont="1" applyAlignment="1">
      <alignment horizontal="center" vertical="center" wrapText="1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0" fontId="22" fillId="0" borderId="0" xfId="9" applyFont="1" applyAlignment="1">
      <alignment horizontal="center" vertical="center" wrapText="1"/>
    </xf>
    <xf numFmtId="1" fontId="23" fillId="0" borderId="0" xfId="5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44" fontId="22" fillId="0" borderId="0" xfId="10" applyFont="1" applyFill="1" applyBorder="1" applyAlignment="1">
      <alignment horizontal="center" vertical="center"/>
    </xf>
    <xf numFmtId="0" fontId="22" fillId="0" borderId="0" xfId="5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" fontId="31" fillId="0" borderId="0" xfId="12" applyNumberFormat="1" applyFont="1" applyFill="1" applyBorder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0" fontId="31" fillId="0" borderId="0" xfId="12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1" fillId="0" borderId="0" xfId="14" applyFont="1" applyAlignment="1">
      <alignment horizontal="lef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vertical="center" wrapText="1"/>
    </xf>
    <xf numFmtId="0" fontId="31" fillId="0" borderId="0" xfId="12" applyFont="1" applyFill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23" fillId="4" borderId="0" xfId="0" applyFont="1" applyFill="1" applyAlignment="1">
      <alignment horizontal="center" vertical="center" wrapText="1"/>
    </xf>
    <xf numFmtId="0" fontId="23" fillId="5" borderId="0" xfId="5" applyFont="1" applyFill="1" applyAlignment="1">
      <alignment horizontal="center" vertical="center"/>
    </xf>
    <xf numFmtId="44" fontId="40" fillId="4" borderId="0" xfId="10" applyFont="1" applyFill="1" applyBorder="1" applyAlignment="1">
      <alignment horizontal="center" vertical="center" wrapText="1"/>
    </xf>
    <xf numFmtId="0" fontId="28" fillId="0" borderId="2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37" fontId="42" fillId="0" borderId="0" xfId="4" applyNumberFormat="1" applyFont="1" applyFill="1" applyBorder="1" applyAlignment="1">
      <alignment horizontal="center" vertical="center" wrapText="1"/>
    </xf>
    <xf numFmtId="37" fontId="36" fillId="0" borderId="0" xfId="4" applyNumberFormat="1" applyFont="1" applyFill="1" applyBorder="1" applyAlignment="1">
      <alignment vertical="center" wrapText="1"/>
    </xf>
    <xf numFmtId="0" fontId="42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9" applyFont="1" applyAlignment="1">
      <alignment vertical="center" wrapText="1"/>
    </xf>
    <xf numFmtId="0" fontId="34" fillId="0" borderId="0" xfId="9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37" fontId="36" fillId="0" borderId="0" xfId="4" applyNumberFormat="1" applyFont="1" applyFill="1" applyBorder="1" applyAlignment="1">
      <alignment horizontal="center" vertical="center" wrapText="1"/>
    </xf>
    <xf numFmtId="0" fontId="36" fillId="0" borderId="0" xfId="9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22" fillId="0" borderId="0" xfId="9" applyFont="1" applyAlignment="1">
      <alignment vertical="center" wrapText="1"/>
    </xf>
    <xf numFmtId="0" fontId="35" fillId="0" borderId="0" xfId="9" applyFont="1" applyAlignment="1">
      <alignment vertical="center" wrapText="1"/>
    </xf>
    <xf numFmtId="0" fontId="31" fillId="0" borderId="0" xfId="9" applyFont="1" applyAlignment="1">
      <alignment horizontal="center" vertical="center" wrapText="1"/>
    </xf>
    <xf numFmtId="0" fontId="31" fillId="0" borderId="0" xfId="9" applyFont="1" applyAlignment="1">
      <alignment vertical="center" wrapText="1"/>
    </xf>
    <xf numFmtId="37" fontId="34" fillId="0" borderId="0" xfId="4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4" fillId="0" borderId="0" xfId="5" applyFont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3" fillId="0" borderId="20" xfId="0" applyNumberFormat="1" applyFont="1" applyBorder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7" fillId="0" borderId="0" xfId="9" applyFont="1" applyAlignment="1">
      <alignment vertical="center" wrapText="1"/>
    </xf>
    <xf numFmtId="0" fontId="31" fillId="0" borderId="0" xfId="8" applyFont="1" applyAlignment="1">
      <alignment vertical="center" wrapText="1"/>
    </xf>
    <xf numFmtId="1" fontId="34" fillId="0" borderId="0" xfId="9" applyNumberFormat="1" applyFont="1" applyAlignment="1">
      <alignment horizontal="center" vertical="center" wrapText="1"/>
    </xf>
    <xf numFmtId="1" fontId="34" fillId="0" borderId="0" xfId="4" applyNumberFormat="1" applyFont="1" applyFill="1" applyBorder="1" applyAlignment="1">
      <alignment horizontal="center" vertical="center" wrapText="1"/>
    </xf>
    <xf numFmtId="49" fontId="31" fillId="0" borderId="0" xfId="0" applyNumberFormat="1" applyFont="1" applyAlignment="1">
      <alignment vertical="center"/>
    </xf>
    <xf numFmtId="0" fontId="34" fillId="0" borderId="0" xfId="8" applyFont="1" applyAlignment="1">
      <alignment horizontal="center" vertical="center" wrapText="1"/>
    </xf>
    <xf numFmtId="0" fontId="22" fillId="0" borderId="0" xfId="5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horizontal="left" vertical="center" wrapText="1"/>
    </xf>
    <xf numFmtId="1" fontId="34" fillId="0" borderId="0" xfId="5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 wrapText="1"/>
    </xf>
    <xf numFmtId="1" fontId="31" fillId="0" borderId="8" xfId="4" applyNumberFormat="1" applyFont="1" applyFill="1" applyBorder="1" applyAlignment="1">
      <alignment horizontal="center" vertical="center" wrapText="1"/>
    </xf>
    <xf numFmtId="1" fontId="31" fillId="0" borderId="13" xfId="4" applyNumberFormat="1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3" fillId="0" borderId="0" xfId="9" applyFont="1" applyAlignment="1">
      <alignment horizontal="center" vertical="center" wrapText="1"/>
    </xf>
    <xf numFmtId="0" fontId="23" fillId="2" borderId="0" xfId="9" applyFont="1" applyFill="1" applyAlignment="1">
      <alignment horizontal="center" vertical="center" wrapText="1"/>
    </xf>
    <xf numFmtId="0" fontId="22" fillId="0" borderId="24" xfId="5" applyFont="1" applyBorder="1" applyAlignment="1">
      <alignment horizontal="center" vertical="center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center" vertical="center" wrapText="1"/>
    </xf>
    <xf numFmtId="37" fontId="36" fillId="0" borderId="0" xfId="4" applyNumberFormat="1" applyFont="1" applyFill="1" applyAlignment="1">
      <alignment horizontal="center" vertical="center" wrapText="1"/>
    </xf>
    <xf numFmtId="37" fontId="42" fillId="0" borderId="0" xfId="4" applyNumberFormat="1" applyFont="1" applyFill="1" applyAlignment="1">
      <alignment horizontal="center" vertical="center" wrapText="1"/>
    </xf>
    <xf numFmtId="1" fontId="34" fillId="0" borderId="0" xfId="4" applyNumberFormat="1" applyFont="1" applyFill="1" applyAlignment="1">
      <alignment horizontal="center" vertical="center" wrapText="1"/>
    </xf>
    <xf numFmtId="0" fontId="21" fillId="2" borderId="0" xfId="0" applyFont="1" applyFill="1"/>
    <xf numFmtId="0" fontId="21" fillId="2" borderId="24" xfId="0" applyFont="1" applyFill="1" applyBorder="1"/>
    <xf numFmtId="165" fontId="2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0" fillId="0" borderId="0" xfId="0" applyFont="1"/>
    <xf numFmtId="0" fontId="46" fillId="0" borderId="0" xfId="0" applyFont="1"/>
    <xf numFmtId="0" fontId="24" fillId="0" borderId="0" xfId="16" applyFont="1" applyAlignment="1">
      <alignment horizontal="center" vertical="center"/>
    </xf>
    <xf numFmtId="1" fontId="24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23" fillId="0" borderId="0" xfId="5" applyNumberFormat="1" applyFont="1" applyAlignment="1">
      <alignment horizontal="center" vertical="center" wrapText="1"/>
    </xf>
    <xf numFmtId="164" fontId="23" fillId="0" borderId="0" xfId="5" applyNumberFormat="1" applyFont="1" applyAlignment="1">
      <alignment horizontal="center" vertical="center" wrapText="1"/>
    </xf>
    <xf numFmtId="0" fontId="22" fillId="0" borderId="24" xfId="5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9" fontId="22" fillId="0" borderId="0" xfId="3" applyFont="1" applyFill="1" applyBorder="1" applyAlignment="1">
      <alignment horizontal="center" vertical="center" wrapText="1"/>
    </xf>
    <xf numFmtId="37" fontId="31" fillId="0" borderId="0" xfId="4" applyNumberFormat="1" applyFont="1" applyFill="1" applyBorder="1" applyAlignment="1">
      <alignment vertical="center" wrapText="1"/>
    </xf>
    <xf numFmtId="164" fontId="23" fillId="0" borderId="0" xfId="5" applyNumberFormat="1" applyFont="1" applyAlignment="1">
      <alignment horizontal="center" vertical="center"/>
    </xf>
    <xf numFmtId="37" fontId="22" fillId="0" borderId="0" xfId="6" applyNumberFormat="1" applyFont="1" applyFill="1" applyBorder="1" applyAlignment="1">
      <alignment horizontal="center" vertical="center" wrapText="1"/>
    </xf>
    <xf numFmtId="0" fontId="23" fillId="0" borderId="0" xfId="16" applyFont="1" applyAlignment="1">
      <alignment horizontal="center" vertical="center" wrapText="1"/>
    </xf>
    <xf numFmtId="0" fontId="40" fillId="4" borderId="0" xfId="9" applyFont="1" applyFill="1" applyAlignment="1">
      <alignment horizontal="center" vertical="center" wrapText="1"/>
    </xf>
    <xf numFmtId="1" fontId="22" fillId="0" borderId="0" xfId="9" applyNumberFormat="1" applyFont="1" applyAlignment="1">
      <alignment horizontal="center" vertical="center" wrapText="1"/>
    </xf>
    <xf numFmtId="44" fontId="40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 wrapText="1" shrinkToFit="1"/>
    </xf>
    <xf numFmtId="0" fontId="46" fillId="8" borderId="0" xfId="0" applyFont="1" applyFill="1" applyAlignment="1">
      <alignment horizontal="center" vertical="center"/>
    </xf>
    <xf numFmtId="1" fontId="46" fillId="8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28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7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" fontId="46" fillId="0" borderId="25" xfId="0" applyNumberFormat="1" applyFont="1" applyBorder="1" applyAlignment="1">
      <alignment horizontal="center" vertical="center"/>
    </xf>
    <xf numFmtId="0" fontId="23" fillId="0" borderId="0" xfId="5" applyFont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" fontId="46" fillId="5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164" fontId="46" fillId="0" borderId="0" xfId="0" applyNumberFormat="1" applyFont="1" applyFill="1" applyBorder="1" applyAlignment="1">
      <alignment horizontal="center" vertical="center"/>
    </xf>
    <xf numFmtId="164" fontId="46" fillId="0" borderId="22" xfId="0" applyNumberFormat="1" applyFont="1" applyFill="1" applyBorder="1" applyAlignment="1">
      <alignment horizontal="center" vertical="center"/>
    </xf>
    <xf numFmtId="2" fontId="46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7" borderId="0" xfId="0" applyFill="1"/>
    <xf numFmtId="49" fontId="3" fillId="10" borderId="0" xfId="1" applyNumberFormat="1" applyFont="1" applyFill="1" applyAlignment="1">
      <alignment vertical="center" wrapText="1" shrinkToFit="1"/>
    </xf>
    <xf numFmtId="49" fontId="3" fillId="7" borderId="0" xfId="1" applyNumberFormat="1" applyFont="1" applyFill="1" applyAlignment="1">
      <alignment vertical="center" wrapText="1" shrinkToFit="1"/>
    </xf>
    <xf numFmtId="49" fontId="3" fillId="9" borderId="0" xfId="1" applyNumberFormat="1" applyFont="1" applyFill="1" applyAlignment="1">
      <alignment vertical="center" wrapText="1" shrinkToFit="1"/>
    </xf>
    <xf numFmtId="49" fontId="3" fillId="11" borderId="0" xfId="1" applyNumberFormat="1" applyFont="1" applyFill="1" applyAlignment="1">
      <alignment vertical="center" wrapText="1" shrinkToFit="1"/>
    </xf>
    <xf numFmtId="0" fontId="0" fillId="0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46" fillId="12" borderId="0" xfId="0" applyFont="1" applyFill="1" applyAlignment="1">
      <alignment horizontal="center" vertical="center"/>
    </xf>
    <xf numFmtId="0" fontId="46" fillId="12" borderId="0" xfId="0" applyFont="1" applyFill="1" applyAlignment="1">
      <alignment horizontal="left" vertical="center" wrapText="1"/>
    </xf>
    <xf numFmtId="0" fontId="46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left"/>
    </xf>
    <xf numFmtId="49" fontId="48" fillId="12" borderId="0" xfId="1" applyNumberFormat="1" applyFont="1" applyFill="1" applyAlignment="1">
      <alignment vertical="center" wrapText="1" shrinkToFit="1"/>
    </xf>
    <xf numFmtId="0" fontId="50" fillId="14" borderId="26" xfId="21" applyFont="1" applyFill="1" applyBorder="1" applyAlignment="1">
      <alignment horizontal="left" vertical="top"/>
    </xf>
    <xf numFmtId="0" fontId="49" fillId="0" borderId="0" xfId="21"/>
    <xf numFmtId="0" fontId="51" fillId="15" borderId="26" xfId="21" applyFont="1" applyFill="1" applyBorder="1" applyAlignment="1">
      <alignment horizontal="left" vertical="top"/>
    </xf>
    <xf numFmtId="1" fontId="51" fillId="15" borderId="26" xfId="21" applyNumberFormat="1" applyFont="1" applyFill="1" applyBorder="1" applyAlignment="1">
      <alignment horizontal="right" vertical="top"/>
    </xf>
    <xf numFmtId="168" fontId="51" fillId="15" borderId="26" xfId="21" applyNumberFormat="1" applyFont="1" applyFill="1" applyBorder="1" applyAlignment="1">
      <alignment horizontal="right" vertical="top"/>
    </xf>
    <xf numFmtId="0" fontId="51" fillId="15" borderId="26" xfId="21" applyFont="1" applyFill="1" applyBorder="1" applyAlignment="1">
      <alignment horizontal="right" vertical="top"/>
    </xf>
    <xf numFmtId="169" fontId="51" fillId="15" borderId="26" xfId="21" applyNumberFormat="1" applyFont="1" applyFill="1" applyBorder="1" applyAlignment="1">
      <alignment horizontal="right" vertical="top"/>
    </xf>
    <xf numFmtId="0" fontId="49" fillId="0" borderId="0" xfId="2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10" fillId="0" borderId="0" xfId="4" applyNumberFormat="1" applyFont="1" applyFill="1" applyBorder="1" applyAlignment="1">
      <alignment horizontal="center" vertical="center"/>
    </xf>
    <xf numFmtId="164" fontId="46" fillId="0" borderId="0" xfId="0" applyNumberFormat="1" applyFont="1" applyFill="1" applyAlignment="1">
      <alignment horizontal="center" vertical="center"/>
    </xf>
    <xf numFmtId="2" fontId="46" fillId="0" borderId="0" xfId="0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164" fontId="46" fillId="0" borderId="21" xfId="0" applyNumberFormat="1" applyFont="1" applyFill="1" applyBorder="1" applyAlignment="1">
      <alignment horizontal="center" vertical="center"/>
    </xf>
    <xf numFmtId="0" fontId="8" fillId="0" borderId="0" xfId="5" applyFill="1" applyAlignment="1">
      <alignment horizontal="center"/>
    </xf>
    <xf numFmtId="0" fontId="46" fillId="0" borderId="21" xfId="0" applyFont="1" applyFill="1" applyBorder="1" applyAlignment="1">
      <alignment horizontal="center" vertical="center"/>
    </xf>
    <xf numFmtId="2" fontId="41" fillId="0" borderId="0" xfId="0" applyNumberFormat="1" applyFont="1" applyFill="1" applyAlignment="1">
      <alignment horizontal="center" vertical="center"/>
    </xf>
    <xf numFmtId="0" fontId="46" fillId="0" borderId="22" xfId="0" applyFont="1" applyFill="1" applyBorder="1" applyAlignment="1">
      <alignment horizontal="center" vertical="center"/>
    </xf>
    <xf numFmtId="165" fontId="11" fillId="4" borderId="12" xfId="6" applyFont="1" applyFill="1" applyBorder="1" applyAlignment="1">
      <alignment vertical="center"/>
    </xf>
    <xf numFmtId="0" fontId="11" fillId="8" borderId="0" xfId="5" applyFont="1" applyFill="1"/>
    <xf numFmtId="0" fontId="23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center" vertical="center"/>
    </xf>
    <xf numFmtId="2" fontId="11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left"/>
    </xf>
    <xf numFmtId="2" fontId="11" fillId="0" borderId="7" xfId="5" applyNumberFormat="1" applyFont="1" applyBorder="1" applyAlignment="1">
      <alignment horizontal="left" vertical="center" wrapText="1"/>
    </xf>
    <xf numFmtId="0" fontId="19" fillId="0" borderId="11" xfId="8" applyFont="1" applyBorder="1" applyAlignment="1">
      <alignment horizontal="left"/>
    </xf>
    <xf numFmtId="2" fontId="11" fillId="4" borderId="7" xfId="5" applyNumberFormat="1" applyFont="1" applyFill="1" applyBorder="1" applyAlignment="1">
      <alignment horizontal="left" vertical="center" wrapText="1"/>
    </xf>
    <xf numFmtId="2" fontId="11" fillId="16" borderId="27" xfId="5" applyNumberFormat="1" applyFont="1" applyFill="1" applyBorder="1" applyAlignment="1">
      <alignment horizontal="left" vertical="center" wrapText="1"/>
    </xf>
    <xf numFmtId="2" fontId="11" fillId="5" borderId="14" xfId="5" applyNumberFormat="1" applyFont="1" applyFill="1" applyBorder="1" applyAlignment="1">
      <alignment horizontal="left" vertical="center" wrapText="1"/>
    </xf>
    <xf numFmtId="2" fontId="11" fillId="5" borderId="16" xfId="5" applyNumberFormat="1" applyFont="1" applyFill="1" applyBorder="1" applyAlignment="1">
      <alignment horizontal="left" vertical="center" wrapText="1"/>
    </xf>
    <xf numFmtId="2" fontId="11" fillId="5" borderId="18" xfId="5" applyNumberFormat="1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 vertical="center"/>
    </xf>
    <xf numFmtId="0" fontId="0" fillId="13" borderId="0" xfId="0" applyFill="1" applyAlignment="1">
      <alignment horizontal="left"/>
    </xf>
    <xf numFmtId="165" fontId="11" fillId="13" borderId="7" xfId="6" applyFont="1" applyFill="1" applyBorder="1" applyAlignment="1">
      <alignment vertical="center"/>
    </xf>
    <xf numFmtId="0" fontId="11" fillId="13" borderId="0" xfId="5" applyFont="1" applyFill="1"/>
    <xf numFmtId="2" fontId="11" fillId="13" borderId="7" xfId="5" applyNumberFormat="1" applyFont="1" applyFill="1" applyBorder="1" applyAlignment="1">
      <alignment horizontal="left" vertical="center" wrapText="1"/>
    </xf>
    <xf numFmtId="0" fontId="27" fillId="13" borderId="23" xfId="11" applyFill="1" applyBorder="1" applyAlignment="1">
      <alignment horizontal="left"/>
    </xf>
    <xf numFmtId="3" fontId="27" fillId="13" borderId="23" xfId="11" applyNumberFormat="1" applyFill="1" applyBorder="1" applyAlignment="1">
      <alignment horizontal="right"/>
    </xf>
    <xf numFmtId="0" fontId="19" fillId="13" borderId="11" xfId="8" applyFont="1" applyFill="1" applyBorder="1" applyAlignment="1">
      <alignment horizontal="left"/>
    </xf>
    <xf numFmtId="4" fontId="27" fillId="13" borderId="7" xfId="20" applyNumberFormat="1" applyFont="1" applyFill="1" applyBorder="1" applyAlignment="1">
      <alignment horizontal="right"/>
    </xf>
    <xf numFmtId="0" fontId="46" fillId="17" borderId="0" xfId="0" applyFont="1" applyFill="1" applyAlignment="1">
      <alignment horizontal="center" vertical="center"/>
    </xf>
    <xf numFmtId="164" fontId="10" fillId="17" borderId="0" xfId="0" applyNumberFormat="1" applyFont="1" applyFill="1" applyAlignment="1">
      <alignment horizontal="center" vertical="center"/>
    </xf>
    <xf numFmtId="164" fontId="46" fillId="17" borderId="0" xfId="0" applyNumberFormat="1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0" xfId="0" applyFill="1"/>
    <xf numFmtId="0" fontId="0" fillId="0" borderId="0" xfId="0" applyAlignment="1">
      <alignment horizontal="left" indent="1"/>
    </xf>
    <xf numFmtId="49" fontId="3" fillId="17" borderId="0" xfId="2" applyNumberFormat="1" applyFont="1" applyFill="1" applyAlignment="1">
      <alignment horizontal="center" vertical="center" wrapText="1" shrinkToFit="1"/>
    </xf>
    <xf numFmtId="1" fontId="46" fillId="17" borderId="0" xfId="0" applyNumberFormat="1" applyFont="1" applyFill="1" applyAlignment="1">
      <alignment horizontal="center" vertical="center"/>
    </xf>
    <xf numFmtId="0" fontId="46" fillId="17" borderId="0" xfId="0" applyFont="1" applyFill="1" applyAlignment="1">
      <alignment horizontal="left" vertical="center"/>
    </xf>
    <xf numFmtId="2" fontId="46" fillId="17" borderId="0" xfId="0" applyNumberFormat="1" applyFont="1" applyFill="1" applyAlignment="1">
      <alignment horizontal="center" vertical="center"/>
    </xf>
    <xf numFmtId="2" fontId="0" fillId="17" borderId="0" xfId="0" applyNumberFormat="1" applyFill="1" applyAlignment="1">
      <alignment horizontal="center" vertical="center"/>
    </xf>
    <xf numFmtId="166" fontId="0" fillId="17" borderId="0" xfId="0" applyNumberFormat="1" applyFill="1" applyAlignment="1">
      <alignment horizontal="center" vertical="center"/>
    </xf>
    <xf numFmtId="2" fontId="11" fillId="5" borderId="7" xfId="5" applyNumberFormat="1" applyFont="1" applyFill="1" applyBorder="1" applyAlignment="1">
      <alignment horizontal="left" vertical="center" wrapText="1"/>
    </xf>
    <xf numFmtId="165" fontId="11" fillId="5" borderId="7" xfId="6" applyFont="1" applyFill="1" applyBorder="1" applyAlignment="1">
      <alignment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1" fontId="46" fillId="0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left" vertical="center"/>
    </xf>
    <xf numFmtId="0" fontId="0" fillId="0" borderId="0" xfId="0" applyFill="1"/>
    <xf numFmtId="1" fontId="46" fillId="0" borderId="0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7" xfId="0" applyFont="1" applyBorder="1"/>
    <xf numFmtId="0" fontId="2" fillId="0" borderId="0" xfId="0" applyFont="1"/>
    <xf numFmtId="0" fontId="2" fillId="0" borderId="10" xfId="0" applyFont="1" applyBorder="1" applyAlignment="1">
      <alignment horizontal="center" vertical="center" wrapText="1"/>
    </xf>
    <xf numFmtId="0" fontId="2" fillId="0" borderId="8" xfId="0" applyFont="1" applyBorder="1" applyAlignment="1">
      <alignment vertical="center" wrapText="1"/>
    </xf>
    <xf numFmtId="0" fontId="2" fillId="0" borderId="8" xfId="0" applyFont="1" applyBorder="1"/>
    <xf numFmtId="0" fontId="2" fillId="0" borderId="20" xfId="0" applyFont="1" applyBorder="1" applyAlignment="1">
      <alignment vertical="center" wrapText="1"/>
    </xf>
    <xf numFmtId="0" fontId="2" fillId="0" borderId="13" xfId="0" applyFont="1" applyBorder="1"/>
    <xf numFmtId="0" fontId="52" fillId="0" borderId="0" xfId="0" applyFont="1"/>
    <xf numFmtId="0" fontId="52" fillId="0" borderId="29" xfId="0" applyFont="1" applyBorder="1"/>
    <xf numFmtId="0" fontId="52" fillId="0" borderId="0" xfId="0" applyFont="1" applyBorder="1"/>
    <xf numFmtId="0" fontId="54" fillId="0" borderId="0" xfId="0" applyFont="1" applyBorder="1" applyAlignment="1">
      <alignment horizontal="center" vertical="center"/>
    </xf>
    <xf numFmtId="0" fontId="52" fillId="0" borderId="34" xfId="0" applyFont="1" applyBorder="1"/>
    <xf numFmtId="0" fontId="52" fillId="0" borderId="35" xfId="0" applyFont="1" applyBorder="1"/>
    <xf numFmtId="0" fontId="52" fillId="0" borderId="0" xfId="0" applyFont="1" applyAlignment="1">
      <alignment horizontal="right"/>
    </xf>
    <xf numFmtId="0" fontId="55" fillId="0" borderId="0" xfId="0" applyFont="1" applyFill="1" applyAlignment="1">
      <alignment horizontal="left" vertical="center"/>
    </xf>
    <xf numFmtId="0" fontId="55" fillId="0" borderId="0" xfId="0" applyFont="1" applyFill="1" applyAlignment="1">
      <alignment horizontal="center" vertical="center"/>
    </xf>
    <xf numFmtId="0" fontId="52" fillId="0" borderId="20" xfId="0" applyFont="1" applyBorder="1"/>
    <xf numFmtId="0" fontId="52" fillId="0" borderId="0" xfId="0" applyFont="1" applyFill="1" applyBorder="1" applyAlignment="1">
      <alignment horizontal="right"/>
    </xf>
    <xf numFmtId="0" fontId="53" fillId="0" borderId="0" xfId="0" applyFont="1" applyFill="1" applyBorder="1" applyAlignment="1">
      <alignment horizontal="left"/>
    </xf>
    <xf numFmtId="0" fontId="56" fillId="0" borderId="0" xfId="0" applyFont="1" applyFill="1" applyBorder="1" applyAlignment="1">
      <alignment horizontal="right"/>
    </xf>
    <xf numFmtId="0" fontId="52" fillId="0" borderId="0" xfId="0" applyFont="1" applyBorder="1" applyAlignment="1">
      <alignment horizontal="right" vertical="center"/>
    </xf>
    <xf numFmtId="0" fontId="52" fillId="0" borderId="39" xfId="0" applyFont="1" applyBorder="1"/>
    <xf numFmtId="0" fontId="52" fillId="0" borderId="34" xfId="0" applyFont="1" applyBorder="1" applyAlignment="1">
      <alignment horizontal="right"/>
    </xf>
    <xf numFmtId="0" fontId="53" fillId="18" borderId="0" xfId="0" applyFont="1" applyFill="1" applyBorder="1" applyAlignment="1">
      <alignment horizontal="center"/>
    </xf>
    <xf numFmtId="0" fontId="53" fillId="18" borderId="0" xfId="0" applyFont="1" applyFill="1" applyBorder="1" applyAlignment="1">
      <alignment horizontal="center" vertical="center"/>
    </xf>
    <xf numFmtId="0" fontId="53" fillId="18" borderId="0" xfId="0" applyFont="1" applyFill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14" fontId="53" fillId="18" borderId="0" xfId="0" applyNumberFormat="1" applyFont="1" applyFill="1" applyBorder="1" applyAlignment="1">
      <alignment horizontal="center" vertical="center"/>
    </xf>
    <xf numFmtId="0" fontId="52" fillId="0" borderId="29" xfId="0" applyFont="1" applyBorder="1" applyAlignment="1">
      <alignment horizontal="right" vertical="center"/>
    </xf>
    <xf numFmtId="0" fontId="53" fillId="18" borderId="29" xfId="0" applyFont="1" applyFill="1" applyBorder="1" applyAlignment="1">
      <alignment horizontal="center" vertical="center"/>
    </xf>
    <xf numFmtId="0" fontId="56" fillId="0" borderId="29" xfId="0" applyFont="1" applyBorder="1" applyAlignment="1">
      <alignment horizontal="right" vertical="center"/>
    </xf>
    <xf numFmtId="0" fontId="52" fillId="0" borderId="36" xfId="0" applyFont="1" applyBorder="1" applyAlignment="1">
      <alignment horizontal="right"/>
    </xf>
    <xf numFmtId="0" fontId="52" fillId="0" borderId="38" xfId="0" applyFont="1" applyBorder="1" applyAlignment="1">
      <alignment horizontal="right"/>
    </xf>
    <xf numFmtId="0" fontId="52" fillId="0" borderId="12" xfId="0" applyFont="1" applyBorder="1" applyAlignment="1">
      <alignment horizontal="right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23" fillId="0" borderId="24" xfId="5" applyFont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left" vertical="center" wrapText="1"/>
    </xf>
    <xf numFmtId="0" fontId="52" fillId="18" borderId="0" xfId="0" applyFont="1" applyFill="1" applyAlignment="1">
      <alignment horizontal="left" vertical="center" wrapText="1"/>
    </xf>
    <xf numFmtId="0" fontId="52" fillId="18" borderId="0" xfId="0" applyFont="1" applyFill="1" applyAlignment="1">
      <alignment horizontal="center"/>
    </xf>
    <xf numFmtId="0" fontId="52" fillId="18" borderId="0" xfId="0" applyFont="1" applyFill="1" applyBorder="1" applyAlignment="1">
      <alignment horizontal="center"/>
    </xf>
    <xf numFmtId="0" fontId="52" fillId="18" borderId="30" xfId="0" applyFont="1" applyFill="1" applyBorder="1" applyAlignment="1">
      <alignment horizontal="center"/>
    </xf>
    <xf numFmtId="0" fontId="52" fillId="18" borderId="29" xfId="0" applyFont="1" applyFill="1" applyBorder="1" applyAlignment="1">
      <alignment horizontal="center"/>
    </xf>
    <xf numFmtId="0" fontId="52" fillId="18" borderId="35" xfId="0" applyFont="1" applyFill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53" fillId="18" borderId="0" xfId="0" applyFont="1" applyFill="1" applyBorder="1" applyAlignment="1">
      <alignment horizontal="center" vertical="center"/>
    </xf>
    <xf numFmtId="14" fontId="52" fillId="18" borderId="0" xfId="0" applyNumberFormat="1" applyFont="1" applyFill="1" applyAlignment="1">
      <alignment horizontal="center"/>
    </xf>
    <xf numFmtId="0" fontId="53" fillId="18" borderId="20" xfId="0" applyFont="1" applyFill="1" applyBorder="1" applyAlignment="1">
      <alignment horizontal="center"/>
    </xf>
    <xf numFmtId="0" fontId="53" fillId="18" borderId="0" xfId="0" applyFont="1" applyFill="1" applyBorder="1" applyAlignment="1">
      <alignment horizontal="center"/>
    </xf>
    <xf numFmtId="0" fontId="24" fillId="0" borderId="31" xfId="0" applyFont="1" applyFill="1" applyBorder="1" applyAlignment="1">
      <alignment horizontal="center"/>
    </xf>
    <xf numFmtId="0" fontId="24" fillId="0" borderId="32" xfId="0" applyFont="1" applyFill="1" applyBorder="1" applyAlignment="1">
      <alignment horizontal="center"/>
    </xf>
    <xf numFmtId="0" fontId="24" fillId="0" borderId="33" xfId="0" applyFont="1" applyFill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53" fillId="18" borderId="29" xfId="0" applyFont="1" applyFill="1" applyBorder="1" applyAlignment="1">
      <alignment horizontal="center" vertical="center"/>
    </xf>
    <xf numFmtId="0" fontId="53" fillId="18" borderId="13" xfId="0" applyFont="1" applyFill="1" applyBorder="1" applyAlignment="1">
      <alignment horizontal="center"/>
    </xf>
    <xf numFmtId="0" fontId="53" fillId="18" borderId="37" xfId="0" applyFont="1" applyFill="1" applyBorder="1" applyAlignment="1">
      <alignment horizontal="center"/>
    </xf>
    <xf numFmtId="0" fontId="53" fillId="18" borderId="28" xfId="0" applyFont="1" applyFill="1" applyBorder="1" applyAlignment="1">
      <alignment horizontal="center"/>
    </xf>
    <xf numFmtId="0" fontId="53" fillId="18" borderId="27" xfId="0" applyFont="1" applyFill="1" applyBorder="1" applyAlignment="1">
      <alignment horizontal="center"/>
    </xf>
    <xf numFmtId="0" fontId="53" fillId="18" borderId="29" xfId="0" applyFont="1" applyFill="1" applyBorder="1" applyAlignment="1">
      <alignment horizontal="center"/>
    </xf>
    <xf numFmtId="0" fontId="52" fillId="18" borderId="0" xfId="0" applyFont="1" applyFill="1" applyAlignment="1">
      <alignment horizontal="center" vertical="center"/>
    </xf>
    <xf numFmtId="0" fontId="56" fillId="0" borderId="29" xfId="0" applyFont="1" applyBorder="1" applyAlignment="1">
      <alignment horizontal="right" vertical="center"/>
    </xf>
  </cellXfs>
  <cellStyles count="22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" xfId="21" xr:uid="{9A330146-9A6B-43F4-AD20-D1ACD72F472A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73"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colors>
    <mruColors>
      <color rgb="FFA8F6CF"/>
      <color rgb="FFA6F8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5.emf"/><Relationship Id="rId21" Type="http://schemas.openxmlformats.org/officeDocument/2006/relationships/image" Target="../media/image41.emf"/><Relationship Id="rId42" Type="http://schemas.openxmlformats.org/officeDocument/2006/relationships/image" Target="../media/image59.emf"/><Relationship Id="rId47" Type="http://schemas.openxmlformats.org/officeDocument/2006/relationships/image" Target="../media/image64.emf"/><Relationship Id="rId63" Type="http://schemas.openxmlformats.org/officeDocument/2006/relationships/image" Target="../media/image80.emf"/><Relationship Id="rId68" Type="http://schemas.openxmlformats.org/officeDocument/2006/relationships/image" Target="../media/image15.emf"/><Relationship Id="rId16" Type="http://schemas.openxmlformats.org/officeDocument/2006/relationships/image" Target="../media/image36.emf"/><Relationship Id="rId11" Type="http://schemas.openxmlformats.org/officeDocument/2006/relationships/image" Target="../media/image31.emf"/><Relationship Id="rId32" Type="http://schemas.openxmlformats.org/officeDocument/2006/relationships/image" Target="../media/image51.emf"/><Relationship Id="rId37" Type="http://schemas.openxmlformats.org/officeDocument/2006/relationships/image" Target="../media/image56.emf"/><Relationship Id="rId53" Type="http://schemas.openxmlformats.org/officeDocument/2006/relationships/image" Target="../media/image70.emf"/><Relationship Id="rId58" Type="http://schemas.openxmlformats.org/officeDocument/2006/relationships/image" Target="../media/image75.emf"/><Relationship Id="rId74" Type="http://schemas.openxmlformats.org/officeDocument/2006/relationships/image" Target="../media/image9.emf"/><Relationship Id="rId79" Type="http://schemas.openxmlformats.org/officeDocument/2006/relationships/image" Target="../media/image4.emf"/><Relationship Id="rId5" Type="http://schemas.openxmlformats.org/officeDocument/2006/relationships/image" Target="../media/image27.emf"/><Relationship Id="rId61" Type="http://schemas.openxmlformats.org/officeDocument/2006/relationships/image" Target="../media/image78.emf"/><Relationship Id="rId82" Type="http://schemas.openxmlformats.org/officeDocument/2006/relationships/image" Target="../media/image1.emf"/><Relationship Id="rId19" Type="http://schemas.openxmlformats.org/officeDocument/2006/relationships/image" Target="../media/image39.emf"/><Relationship Id="rId14" Type="http://schemas.openxmlformats.org/officeDocument/2006/relationships/image" Target="../media/image34.emf"/><Relationship Id="rId22" Type="http://schemas.openxmlformats.org/officeDocument/2006/relationships/image" Target="../media/image42.emf"/><Relationship Id="rId27" Type="http://schemas.openxmlformats.org/officeDocument/2006/relationships/image" Target="../media/image46.emf"/><Relationship Id="rId30" Type="http://schemas.openxmlformats.org/officeDocument/2006/relationships/image" Target="../media/image49.emf"/><Relationship Id="rId35" Type="http://schemas.openxmlformats.org/officeDocument/2006/relationships/image" Target="../media/image54.emf"/><Relationship Id="rId43" Type="http://schemas.openxmlformats.org/officeDocument/2006/relationships/image" Target="../media/image60.emf"/><Relationship Id="rId48" Type="http://schemas.openxmlformats.org/officeDocument/2006/relationships/image" Target="../media/image65.emf"/><Relationship Id="rId56" Type="http://schemas.openxmlformats.org/officeDocument/2006/relationships/image" Target="../media/image73.emf"/><Relationship Id="rId64" Type="http://schemas.openxmlformats.org/officeDocument/2006/relationships/image" Target="../media/image17.emf"/><Relationship Id="rId69" Type="http://schemas.openxmlformats.org/officeDocument/2006/relationships/image" Target="../media/image14.emf"/><Relationship Id="rId77" Type="http://schemas.openxmlformats.org/officeDocument/2006/relationships/image" Target="../media/image6.emf"/><Relationship Id="rId8" Type="http://schemas.openxmlformats.org/officeDocument/2006/relationships/image" Target="../media/image21.emf"/><Relationship Id="rId51" Type="http://schemas.openxmlformats.org/officeDocument/2006/relationships/image" Target="../media/image68.emf"/><Relationship Id="rId72" Type="http://schemas.openxmlformats.org/officeDocument/2006/relationships/image" Target="../media/image11.emf"/><Relationship Id="rId80" Type="http://schemas.openxmlformats.org/officeDocument/2006/relationships/image" Target="../media/image3.emf"/><Relationship Id="rId3" Type="http://schemas.openxmlformats.org/officeDocument/2006/relationships/image" Target="../media/image25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5" Type="http://schemas.openxmlformats.org/officeDocument/2006/relationships/image" Target="../media/image20.emf"/><Relationship Id="rId33" Type="http://schemas.openxmlformats.org/officeDocument/2006/relationships/image" Target="../media/image52.emf"/><Relationship Id="rId38" Type="http://schemas.openxmlformats.org/officeDocument/2006/relationships/image" Target="../media/image19.emf"/><Relationship Id="rId46" Type="http://schemas.openxmlformats.org/officeDocument/2006/relationships/image" Target="../media/image63.emf"/><Relationship Id="rId59" Type="http://schemas.openxmlformats.org/officeDocument/2006/relationships/image" Target="../media/image76.emf"/><Relationship Id="rId67" Type="http://schemas.openxmlformats.org/officeDocument/2006/relationships/image" Target="../media/image16.emf"/><Relationship Id="rId20" Type="http://schemas.openxmlformats.org/officeDocument/2006/relationships/image" Target="../media/image40.emf"/><Relationship Id="rId41" Type="http://schemas.openxmlformats.org/officeDocument/2006/relationships/image" Target="../media/image58.emf"/><Relationship Id="rId54" Type="http://schemas.openxmlformats.org/officeDocument/2006/relationships/image" Target="../media/image71.emf"/><Relationship Id="rId62" Type="http://schemas.openxmlformats.org/officeDocument/2006/relationships/image" Target="../media/image79.emf"/><Relationship Id="rId70" Type="http://schemas.openxmlformats.org/officeDocument/2006/relationships/image" Target="../media/image13.emf"/><Relationship Id="rId75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5" Type="http://schemas.openxmlformats.org/officeDocument/2006/relationships/image" Target="../media/image35.emf"/><Relationship Id="rId23" Type="http://schemas.openxmlformats.org/officeDocument/2006/relationships/image" Target="../media/image43.emf"/><Relationship Id="rId28" Type="http://schemas.openxmlformats.org/officeDocument/2006/relationships/image" Target="../media/image47.emf"/><Relationship Id="rId36" Type="http://schemas.openxmlformats.org/officeDocument/2006/relationships/image" Target="../media/image55.emf"/><Relationship Id="rId49" Type="http://schemas.openxmlformats.org/officeDocument/2006/relationships/image" Target="../media/image66.emf"/><Relationship Id="rId57" Type="http://schemas.openxmlformats.org/officeDocument/2006/relationships/image" Target="../media/image74.emf"/><Relationship Id="rId10" Type="http://schemas.openxmlformats.org/officeDocument/2006/relationships/image" Target="../media/image30.emf"/><Relationship Id="rId31" Type="http://schemas.openxmlformats.org/officeDocument/2006/relationships/image" Target="../media/image50.emf"/><Relationship Id="rId44" Type="http://schemas.openxmlformats.org/officeDocument/2006/relationships/image" Target="../media/image61.emf"/><Relationship Id="rId52" Type="http://schemas.openxmlformats.org/officeDocument/2006/relationships/image" Target="../media/image69.emf"/><Relationship Id="rId60" Type="http://schemas.openxmlformats.org/officeDocument/2006/relationships/image" Target="../media/image77.emf"/><Relationship Id="rId65" Type="http://schemas.openxmlformats.org/officeDocument/2006/relationships/image" Target="../media/image81.emf"/><Relationship Id="rId73" Type="http://schemas.openxmlformats.org/officeDocument/2006/relationships/image" Target="../media/image10.emf"/><Relationship Id="rId78" Type="http://schemas.openxmlformats.org/officeDocument/2006/relationships/image" Target="../media/image5.emf"/><Relationship Id="rId81" Type="http://schemas.openxmlformats.org/officeDocument/2006/relationships/image" Target="../media/image2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9" Type="http://schemas.openxmlformats.org/officeDocument/2006/relationships/image" Target="../media/image18.emf"/><Relationship Id="rId34" Type="http://schemas.openxmlformats.org/officeDocument/2006/relationships/image" Target="../media/image53.emf"/><Relationship Id="rId50" Type="http://schemas.openxmlformats.org/officeDocument/2006/relationships/image" Target="../media/image67.emf"/><Relationship Id="rId55" Type="http://schemas.openxmlformats.org/officeDocument/2006/relationships/image" Target="../media/image72.emf"/><Relationship Id="rId76" Type="http://schemas.openxmlformats.org/officeDocument/2006/relationships/image" Target="../media/image7.emf"/><Relationship Id="rId7" Type="http://schemas.openxmlformats.org/officeDocument/2006/relationships/image" Target="../media/image22.emf"/><Relationship Id="rId71" Type="http://schemas.openxmlformats.org/officeDocument/2006/relationships/image" Target="../media/image12.emf"/><Relationship Id="rId2" Type="http://schemas.openxmlformats.org/officeDocument/2006/relationships/image" Target="../media/image24.emf"/><Relationship Id="rId29" Type="http://schemas.openxmlformats.org/officeDocument/2006/relationships/image" Target="../media/image48.emf"/><Relationship Id="rId24" Type="http://schemas.openxmlformats.org/officeDocument/2006/relationships/image" Target="../media/image44.emf"/><Relationship Id="rId40" Type="http://schemas.openxmlformats.org/officeDocument/2006/relationships/image" Target="../media/image57.emf"/><Relationship Id="rId45" Type="http://schemas.openxmlformats.org/officeDocument/2006/relationships/image" Target="../media/image62.emf"/><Relationship Id="rId66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7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7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7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7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7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7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7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7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7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7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55" name="EHV2D_312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7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43</xdr:row>
          <xdr:rowOff>9525</xdr:rowOff>
        </xdr:from>
        <xdr:to>
          <xdr:col>1</xdr:col>
          <xdr:colOff>2028825</xdr:colOff>
          <xdr:row>43</xdr:row>
          <xdr:rowOff>2143125</xdr:rowOff>
        </xdr:to>
        <xdr:sp macro="" textlink="">
          <xdr:nvSpPr>
            <xdr:cNvPr id="5257" name="EHV1D_312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7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258" name="EMV1DL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7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59" name="EMV2DL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7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260" name="EPN2D_380_151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7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261" name="EPN1B1D_380_1510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7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mynin\Downloads\&#1047;&#1072;&#1103;&#1074;&#1082;&#1072;%20&#8470;%2041-43%20&#1051;&#1077;&#1073;&#1077;&#1076;&#1077;&#1074;%20&#1044;.&#1041;..xlsx" TargetMode="External"/><Relationship Id="rId1" Type="http://schemas.openxmlformats.org/officeDocument/2006/relationships/externalLinkPath" Target="/Users/Kamynin/Downloads/&#1047;&#1072;&#1103;&#1074;&#1082;&#1072;%20&#8470;%2041-43%20&#1051;&#1077;&#1073;&#1077;&#1076;&#1077;&#1074;%20&#1044;.&#1041;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42"/>
      <sheetName val="41"/>
      <sheetName val="Тип НСТ"/>
      <sheetName val="Лист1"/>
      <sheetName val="Лист2"/>
      <sheetName val="Лист3"/>
    </sheetNames>
    <sheetDataSet>
      <sheetData sheetId="0"/>
      <sheetData sheetId="1"/>
      <sheetData sheetId="2">
        <row r="2">
          <cell r="C2">
            <v>120</v>
          </cell>
          <cell r="D2" t="str">
            <v>LA - Врезной сверху</v>
          </cell>
          <cell r="E2" t="str">
            <v>левое</v>
          </cell>
          <cell r="H2" t="str">
            <v>ЛДСП</v>
          </cell>
          <cell r="I2" t="str">
            <v>1: Габариты/Проработка ниши для техники(НСТ без наценки)</v>
          </cell>
        </row>
        <row r="3">
          <cell r="C3">
            <v>150</v>
          </cell>
          <cell r="D3" t="str">
            <v>LB - Врезной снизу</v>
          </cell>
          <cell r="E3" t="str">
            <v>правое</v>
          </cell>
          <cell r="H3" t="str">
            <v>Стекло</v>
          </cell>
          <cell r="I3" t="str">
            <v>2: изменения конструктива</v>
          </cell>
        </row>
        <row r="4">
          <cell r="C4" t="str">
            <v>нет</v>
          </cell>
          <cell r="D4" t="str">
            <v>LC - Врезной сверху и снизу</v>
          </cell>
          <cell r="E4" t="str">
            <v>подъемник</v>
          </cell>
          <cell r="H4" t="str">
            <v>Нет</v>
          </cell>
        </row>
        <row r="5">
          <cell r="D5" t="str">
            <v>LD - Врезные 2 сверху</v>
          </cell>
          <cell r="E5" t="str">
            <v>ящик</v>
          </cell>
          <cell r="H5" t="str">
            <v>указано на эскизе</v>
          </cell>
        </row>
        <row r="6">
          <cell r="D6" t="str">
            <v>LE - Врезные 2 сверху, 1 снизу</v>
          </cell>
        </row>
        <row r="7">
          <cell r="D7" t="str">
            <v>нет</v>
          </cell>
        </row>
        <row r="8">
          <cell r="F8" t="str">
            <v>Поворотный</v>
          </cell>
        </row>
        <row r="9">
          <cell r="F9" t="str">
            <v>Складной(2 фасада)</v>
          </cell>
        </row>
        <row r="10">
          <cell r="F10" t="str">
            <v>Нет</v>
          </cell>
        </row>
        <row r="11">
          <cell r="A11" t="str">
            <v>Кухни Sidak</v>
          </cell>
        </row>
        <row r="16">
          <cell r="A16" t="str">
            <v>Комплектация №1 - алюмин рама с доводчиками</v>
          </cell>
        </row>
        <row r="17">
          <cell r="A17" t="str">
            <v>Комплектация №1T - алюмин рама с Tip-ON</v>
          </cell>
        </row>
        <row r="18">
          <cell r="A18" t="str">
            <v>Комплектация №2(петли Hettich; складной подъемник Hafele поворотный)</v>
          </cell>
        </row>
        <row r="19">
          <cell r="A19" t="str">
            <v>Комплектация №2Р Ящики с доводчиком Hettich</v>
          </cell>
        </row>
        <row r="20">
          <cell r="A20" t="str">
            <v>Комплектация №2T Ящики с push to open Hettich</v>
          </cell>
        </row>
        <row r="21">
          <cell r="A21" t="str">
            <v>Комплектация №3(петли, ящики, подъемники Hafele(ящики с доп. доводчиком)</v>
          </cell>
        </row>
        <row r="22">
          <cell r="A22" t="str">
            <v>Комплектация №3Т(петли Hafele с Tip-On)</v>
          </cell>
        </row>
      </sheetData>
      <sheetData sheetId="3">
        <row r="2">
          <cell r="A2" t="str">
            <v>ENO</v>
          </cell>
        </row>
        <row r="3">
          <cell r="A3" t="str">
            <v>EMN1D</v>
          </cell>
        </row>
        <row r="4">
          <cell r="A4" t="str">
            <v xml:space="preserve">EMN2D </v>
          </cell>
        </row>
        <row r="5">
          <cell r="A5" t="str">
            <v>EMN1K</v>
          </cell>
        </row>
        <row r="6">
          <cell r="A6" t="str">
            <v>EWN1D</v>
          </cell>
        </row>
        <row r="7">
          <cell r="A7" t="str">
            <v>EWN2D</v>
          </cell>
        </row>
        <row r="8">
          <cell r="A8" t="str">
            <v>EUN1D</v>
          </cell>
        </row>
        <row r="9">
          <cell r="A9" t="str">
            <v>EUN1D_150</v>
          </cell>
        </row>
        <row r="10">
          <cell r="A10" t="str">
            <v>EWU1D</v>
          </cell>
        </row>
        <row r="11">
          <cell r="A11" t="str">
            <v>EWU1D_150</v>
          </cell>
        </row>
        <row r="12">
          <cell r="A12" t="str">
            <v>EDN1D</v>
          </cell>
        </row>
        <row r="13">
          <cell r="A13" t="str">
            <v>EWD1D</v>
          </cell>
        </row>
        <row r="14">
          <cell r="A14" t="str">
            <v>EMN1B1D</v>
          </cell>
        </row>
        <row r="15">
          <cell r="A15" t="str">
            <v>EMN1B2D</v>
          </cell>
        </row>
        <row r="16">
          <cell r="A16" t="str">
            <v>EMN4B</v>
          </cell>
        </row>
        <row r="17">
          <cell r="A17" t="str">
            <v>EMN3B</v>
          </cell>
        </row>
        <row r="18">
          <cell r="A18" t="str">
            <v>EMN2B</v>
          </cell>
        </row>
        <row r="19">
          <cell r="A19" t="str">
            <v>ETN1B</v>
          </cell>
        </row>
        <row r="20">
          <cell r="A20" t="str">
            <v>ESNX1D</v>
          </cell>
        </row>
        <row r="21">
          <cell r="A21" t="str">
            <v>ERN</v>
          </cell>
        </row>
        <row r="22">
          <cell r="A22" t="str">
            <v>ERN1D</v>
          </cell>
        </row>
        <row r="23">
          <cell r="A23" t="str">
            <v>ENG1D</v>
          </cell>
        </row>
        <row r="24">
          <cell r="A24" t="str">
            <v>ENG2D</v>
          </cell>
        </row>
        <row r="25">
          <cell r="A25" t="str">
            <v>ENG2B</v>
          </cell>
        </row>
        <row r="26">
          <cell r="A26" t="str">
            <v>ENG3B</v>
          </cell>
        </row>
        <row r="27">
          <cell r="A27" t="str">
            <v>ENG1K</v>
          </cell>
        </row>
        <row r="28">
          <cell r="A28" t="str">
            <v>EWG1D</v>
          </cell>
        </row>
        <row r="29">
          <cell r="A29" t="str">
            <v>EWG2D</v>
          </cell>
        </row>
        <row r="30">
          <cell r="A30" t="str">
            <v>EUG1D</v>
          </cell>
        </row>
        <row r="31">
          <cell r="A31" t="str">
            <v>EUG1D_150</v>
          </cell>
        </row>
        <row r="32">
          <cell r="A32" t="str">
            <v>EP1D</v>
          </cell>
        </row>
        <row r="33">
          <cell r="A33" t="str">
            <v>EPG1D, EPG1DM</v>
          </cell>
        </row>
        <row r="34">
          <cell r="A34" t="str">
            <v>EPT1D</v>
          </cell>
        </row>
        <row r="35">
          <cell r="A35" t="str">
            <v>EPT1B</v>
          </cell>
        </row>
        <row r="36">
          <cell r="A36" t="str">
            <v>EPT1B2</v>
          </cell>
        </row>
        <row r="37">
          <cell r="A37" t="str">
            <v>EPT2B</v>
          </cell>
        </row>
        <row r="38">
          <cell r="A38" t="str">
            <v>EP2D</v>
          </cell>
        </row>
        <row r="39">
          <cell r="A39" t="str">
            <v>EPG2D, EPG2DM</v>
          </cell>
        </row>
        <row r="40">
          <cell r="A40" t="str">
            <v>EPS2D</v>
          </cell>
        </row>
        <row r="41">
          <cell r="A41" t="str">
            <v>EPSG2D, EPSG2DM</v>
          </cell>
        </row>
        <row r="42">
          <cell r="A42" t="str">
            <v>EP3B1D</v>
          </cell>
        </row>
        <row r="43">
          <cell r="A43" t="str">
            <v>EP2B1D</v>
          </cell>
        </row>
        <row r="44">
          <cell r="A44" t="str">
            <v>EPT2D</v>
          </cell>
        </row>
        <row r="45">
          <cell r="A45" t="str">
            <v>EPTG2D, EPTG2DM</v>
          </cell>
        </row>
        <row r="46">
          <cell r="A46" t="str">
            <v>EPT2B1D</v>
          </cell>
        </row>
        <row r="47">
          <cell r="A47" t="str">
            <v>EPTP1D</v>
          </cell>
        </row>
        <row r="48">
          <cell r="A48" t="str">
            <v>EPT1B1D</v>
          </cell>
        </row>
        <row r="49">
          <cell r="A49" t="str">
            <v>EPTG1B1D, EPTG1B1DM</v>
          </cell>
        </row>
        <row r="50">
          <cell r="A50" t="str">
            <v>EPP2D</v>
          </cell>
        </row>
        <row r="51">
          <cell r="A51" t="str">
            <v>EPSP2D</v>
          </cell>
        </row>
        <row r="52">
          <cell r="A52" t="str">
            <v>EZ1F</v>
          </cell>
        </row>
        <row r="53">
          <cell r="A53" t="str">
            <v>EVO</v>
          </cell>
        </row>
        <row r="54">
          <cell r="A54" t="str">
            <v>EMV1D</v>
          </cell>
        </row>
        <row r="55">
          <cell r="A55" t="str">
            <v>EMV1V (поворотный)</v>
          </cell>
        </row>
        <row r="56">
          <cell r="A56" t="str">
            <v>EMV2D</v>
          </cell>
        </row>
        <row r="57">
          <cell r="A57" t="str">
            <v>EMV2V</v>
          </cell>
        </row>
        <row r="58">
          <cell r="A58" t="str">
            <v>EUV1D</v>
          </cell>
        </row>
        <row r="59">
          <cell r="A59" t="str">
            <v>EHV1D</v>
          </cell>
        </row>
        <row r="60">
          <cell r="A60" t="str">
            <v>EHV2D</v>
          </cell>
        </row>
        <row r="61">
          <cell r="A61" t="str">
            <v>EDV1D</v>
          </cell>
        </row>
        <row r="62">
          <cell r="A62" t="str">
            <v>EWV1D</v>
          </cell>
        </row>
        <row r="63">
          <cell r="A63" t="str">
            <v>EWV2D</v>
          </cell>
        </row>
        <row r="64">
          <cell r="A64" t="str">
            <v>EWV2V</v>
          </cell>
        </row>
        <row r="65">
          <cell r="A65" t="str">
            <v>ERV</v>
          </cell>
        </row>
        <row r="66">
          <cell r="A66" t="str">
            <v>ERV1D</v>
          </cell>
        </row>
        <row r="67">
          <cell r="A67" t="str">
            <v xml:space="preserve">EVG1D </v>
          </cell>
        </row>
        <row r="68">
          <cell r="A68" t="str">
            <v>EVG2D</v>
          </cell>
        </row>
        <row r="69">
          <cell r="A69" t="str">
            <v>EVG2V</v>
          </cell>
        </row>
        <row r="70">
          <cell r="A70" t="str">
            <v>EUVG1D</v>
          </cell>
        </row>
        <row r="71">
          <cell r="A71" t="str">
            <v>ESVX1D</v>
          </cell>
        </row>
      </sheetData>
      <sheetData sheetId="4">
        <row r="2">
          <cell r="A2" t="str">
            <v>EVO</v>
          </cell>
        </row>
        <row r="3">
          <cell r="A3" t="str">
            <v>EMV1D</v>
          </cell>
        </row>
        <row r="4">
          <cell r="A4" t="str">
            <v>EMV1V</v>
          </cell>
        </row>
        <row r="5">
          <cell r="A5" t="str">
            <v>EMV2D</v>
          </cell>
        </row>
        <row r="6">
          <cell r="A6" t="str">
            <v>EMV2V</v>
          </cell>
        </row>
        <row r="7">
          <cell r="A7" t="str">
            <v>EUV1D</v>
          </cell>
        </row>
        <row r="8">
          <cell r="A8" t="str">
            <v>EHV1D</v>
          </cell>
        </row>
        <row r="9">
          <cell r="A9" t="str">
            <v>EHV2D</v>
          </cell>
        </row>
        <row r="10">
          <cell r="A10" t="str">
            <v>EDV1D</v>
          </cell>
        </row>
        <row r="11">
          <cell r="A11" t="str">
            <v xml:space="preserve">EWV1D </v>
          </cell>
        </row>
        <row r="12">
          <cell r="A12" t="str">
            <v>EWV2D</v>
          </cell>
        </row>
        <row r="13">
          <cell r="A13" t="str">
            <v>EWV2V</v>
          </cell>
        </row>
        <row r="14">
          <cell r="A14" t="str">
            <v>ERV</v>
          </cell>
        </row>
        <row r="15">
          <cell r="A15" t="str">
            <v>ERV1D</v>
          </cell>
        </row>
        <row r="16">
          <cell r="A16" t="str">
            <v xml:space="preserve">EVG1D </v>
          </cell>
        </row>
        <row r="17">
          <cell r="A17" t="str">
            <v>EVG2D</v>
          </cell>
        </row>
        <row r="18">
          <cell r="A18" t="str">
            <v>EVG2V</v>
          </cell>
        </row>
        <row r="19">
          <cell r="A19" t="str">
            <v>EUVG1D</v>
          </cell>
        </row>
        <row r="20">
          <cell r="A20" t="str">
            <v>EZ1F</v>
          </cell>
        </row>
        <row r="21">
          <cell r="A21" t="str">
            <v>ESVX1D</v>
          </cell>
        </row>
      </sheetData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мынин Василий Алексеевич" refreshedDate="45826.626009027779" createdVersion="8" refreshedVersion="8" minRefreshableVersion="3" recordCount="335" xr:uid="{6736428D-6245-4ADB-81EA-3BC3285E0A42}">
  <cacheSource type="worksheet">
    <worksheetSource ref="A1:O336" sheet="TDSheet"/>
  </cacheSource>
  <cacheFields count="15">
    <cacheField name="Период" numFmtId="0">
      <sharedItems/>
    </cacheField>
    <cacheField name="Регистратор" numFmtId="0">
      <sharedItems/>
    </cacheField>
    <cacheField name="Номер строки" numFmtId="1">
      <sharedItems containsSemiMixedTypes="0" containsString="0" containsNumber="1" containsInteger="1" minValue="1" maxValue="83"/>
    </cacheField>
    <cacheField name="Изделие" numFmtId="0">
      <sharedItems count="87">
        <s v="JP053"/>
        <s v="EP2D(DZS)"/>
        <s v="EP2D(DZT)"/>
        <s v="JO796"/>
        <s v="EHV1D_312(DZV)"/>
        <s v="EVG1D(DZU)"/>
        <s v="Полка отдельностоящая_S"/>
        <s v="ENO"/>
        <s v="EMN1D"/>
        <s v="EMN2D"/>
        <s v="EWN1D"/>
        <s v="EWN2D"/>
        <s v="EUN1D"/>
        <s v="EWU1D"/>
        <s v="EMN1B1D"/>
        <s v="EMN4B"/>
        <s v="EMN3B"/>
        <s v="EMN2B"/>
        <s v="ETN1B"/>
        <s v="EMN1B2D"/>
        <s v="ERN"/>
        <s v="ERN1D"/>
        <s v="ENG1D"/>
        <s v="ENG2D"/>
        <s v="EMN1K"/>
        <s v="ENG1K"/>
        <s v="EWG1D"/>
        <s v="EWG2D"/>
        <s v="EUG1D"/>
        <s v="EVO"/>
        <s v="EMV1D"/>
        <s v="EP1D"/>
        <s v="EPT1D"/>
        <s v="EP2D"/>
        <s v="EMV1V"/>
        <s v="EMV2D"/>
        <s v="EMV2V"/>
        <s v="EDV1D"/>
        <s v="EP3B1D"/>
        <s v="EP2B1D"/>
        <s v="EPTP1D"/>
        <s v="EPS2D"/>
        <s v="EPT2B1D"/>
        <s v="EPSP2D"/>
        <s v="EVG1D"/>
        <s v="EVG2D"/>
        <s v="EUV1D"/>
        <s v="EWV1D"/>
        <s v="EWV2D"/>
        <s v="EHV1D"/>
        <s v="EWV1V"/>
        <s v="EVG2V"/>
        <s v="EWV2V"/>
        <s v="EZ1F"/>
        <s v="ERV1D"/>
        <s v="EHV2D"/>
        <s v="ENG2B"/>
        <s v="ENG3B"/>
        <s v="EUVG1D"/>
        <s v="ESNX1D"/>
        <s v="ESVX1D"/>
        <s v="EPT1B"/>
        <s v="EWU1D_150"/>
        <s v="EUN1D_150"/>
        <s v="EUG1D_150"/>
        <s v="EPSG2D"/>
        <s v="EPTG2D"/>
        <s v="EPTG1B1D"/>
        <s v="EPG2D"/>
        <s v="EPG2DM"/>
        <s v="EPG1D"/>
        <s v="Комплекты фурнитуры"/>
        <s v="Панель"/>
        <s v="Softline Marine"/>
        <s v="EMV1VN"/>
        <s v="EMV1DN"/>
        <s v="EMN1W1B"/>
        <s v="Цоколь для опор 120 мм"/>
        <s v="Цоколь для опор 150 мм"/>
        <s v="EHV1D_312"/>
        <s v="EHV2D_312"/>
        <s v="EPN1B1D"/>
        <s v="EPN2D"/>
        <s v="EMV1DL"/>
        <s v="Профиль подсветки вр.гор."/>
        <s v="EMV2DL"/>
        <s v="JP057"/>
      </sharedItems>
    </cacheField>
    <cacheField name="Контрагент" numFmtId="0">
      <sharedItems containsBlank="1"/>
    </cacheField>
    <cacheField name="Входящие параметры" numFmtId="0">
      <sharedItems count="125">
        <s v="EAST 3 гр.пленок глух/витр. 16 мм 565"/>
        <s v="EAST 3 гр.пленок решетка 16 мм 565"/>
        <s v="EAST 1 гр.пленок глух/витр. 16 мм"/>
        <s v="EAST 1 гр.пленок решетка 16 мм"/>
        <s v="EAST 2 гр.пленок глух/витр. 16 мм 566"/>
        <s v="EAST 2 гр.пленок решетка 16 мм 566"/>
        <s v="WEST 1 гр.пленок глух/витр. 16 мм"/>
        <s v="WEST 1 гр.пленок решетка 16 мм"/>
        <s v="WEST 2 гр.пленок глух/витр. 16 мм +237"/>
        <s v="WEST 2 гр.пленок решетка 16 мм +237"/>
        <s v="WEST 3 гр.пленок глух/витр. 16 мм"/>
        <s v="WEST 3 гр.пленок решетка 16 мм"/>
        <s v="WEST 4 гр.пленок глух/витр. 16 мм"/>
        <s v="WEST 4 гр.пленок решетка 16 мм"/>
        <s v="EAST 1 гр.пленок глух/витр. 18_19 мм"/>
        <s v="EAST 1 гр.пленок решетка 19 мм"/>
        <s v="EAST 2 гр.пленок глух/витр. 18_19 мм 566"/>
        <s v="EAST 2 гр.пленок решетка 19 мм 566"/>
        <s v="EAST 3 гр.пленок глух/витр. 18_19 мм 565"/>
        <s v="EAST 3 гр.пленок решетка 19 мм 565"/>
        <s v="WEST 1 гр.пленок глух/витр. 18_19 мм"/>
        <s v="WEST 1 гр.пленок решетка 19 мм"/>
        <s v="WEST 2 гр.пленок глух/витр. 18_19 мм +237"/>
        <s v="WEST 2 гр.пленок решетка 19 мм +237"/>
        <s v="WEST 3 гр.пленок глух/витр. 18_19 мм"/>
        <s v="WEST 3 гр.пленок решетка 19 мм"/>
        <s v="WEST 4 гр.пленок глух/витр. 18_19 мм"/>
        <s v="WEST 4 гр.пленок решетка 19 мм"/>
        <s v="WEST 3 гр.пленок глух/витр. 22 мм 28.03.22"/>
        <s v="EAST 3 гр.пленок глух/витр. 16 мм 28.03.22 (Для Евродизайн)"/>
        <s v="материал исполнения"/>
        <s v="материал исполнения premium"/>
        <s v="полка из ДСП белая и бежевая"/>
        <s v="КФ KEKU"/>
        <s v="KFP-SB-PPHF"/>
        <s v="KFN-SB-DWD95_350"/>
        <s v="KFS-SB-BYT_30"/>
        <s v="КФ крепежа корпуса 1, 19"/>
        <s v="КФ крепежа корпуса 2"/>
        <s v="КФ крепежа корпуса 3"/>
        <s v="КФ крепежа корпуса 4"/>
        <s v="КФ крепежа корпуса 5"/>
        <s v="КФ крепежа корпуса 6"/>
        <s v="КФ крепежа корпуса 7"/>
        <s v="КФ крепежа корпуса 8"/>
        <s v="КФ крепежа корпуса 9"/>
        <s v="КФ крепежа корпуса 10"/>
        <s v="КФ крепежа корпуса 14"/>
        <s v="КФ крепежа корпуса 15"/>
        <s v="КФ крепежа корпуса 16"/>
        <s v="КФ крепежа корпуса 11"/>
        <s v="КФ крепежа корпуса 12, 20"/>
        <s v="КФ крепежа корпуса 13,18"/>
        <s v="КФ Сушка AFF 600"/>
        <s v="КФ Сушка AFF 800"/>
        <s v="КФ Сушка AFF 900"/>
        <s v="КФ петля полунакладная угловая 45/95 град. с крест"/>
        <s v="КФ петли накл.110 гр. с крестообр. планкой"/>
        <s v="КФ петли вклад. 95 гр. с крестообр. Планкой"/>
        <s v="КФ Aventos HK-S 02_Gr"/>
        <s v="КФ Aventos HK-S 04_Gr"/>
        <s v="КФ Aventos HK 03"/>
        <s v="КФ навесы для шкафа"/>
        <s v="КФ для полки 4"/>
        <s v="КФ для полки 5"/>
        <s v="КФ для стеклянной полки 4"/>
        <s v="КФ для стеклянной полки 5"/>
        <s v="KFPr-SB-Z(заглушки 5мм)"/>
        <s v="KFPr-SB-ZKK(заглушки 15мм) 8шт"/>
        <s v="KFPr-SB-ZKK(заглушки 15мм) 4шт"/>
        <s v="KFPr-SB-SPL"/>
        <s v="KFPr-SB-SMRZ_16мм КФ Шурупы"/>
        <s v="КФ  крепления профиля Gola"/>
        <s v="КФ евровинт"/>
        <s v="KFP-SP-PPGK_71"/>
        <s v="КФ ящика Matrix (H=175 мм)_450_GR"/>
        <s v="КФ ящика Matrix (H=89 мм)_450_GR"/>
        <s v="KFP-SP-PPGK"/>
        <s v="KFP-SB-GT110"/>
        <s v="KFP-SB-GT45"/>
        <s v="KFP-SB-GT90"/>
        <s v="KFN-SB-M54"/>
        <s v="KFN-SB-M86"/>
        <s v="KFN-SB-MD"/>
        <s v="KFP-SB-N45"/>
        <s v="KFP-SB-P95"/>
        <s v="KFP-SB-N110"/>
        <s v="KFP-SP-PPA"/>
        <s v="KFP-SB-PY94"/>
        <s v="KFPr-SB-POD"/>
        <s v="КФ опора пластиковая 120_150"/>
        <s v="KFPr-SB-StK"/>
        <s v="KFS-SB-60"/>
        <s v="KFS-SB-80"/>
        <s v="KFS-SB-90"/>
        <s v="KFPr-SB-ZP - заглушки для KFPr-SB-POD"/>
        <s v="KFN-SB-M15"/>
        <s v="KFS-SB-45"/>
        <s v="KFS-SB-BYT"/>
        <s v="KFP-SB-GT120"/>
        <s v="КФ петли SENS накл.110 гр. с крестообр. планкой"/>
        <s v="Комплекты светильников"/>
        <s v="КФ сушка 90 двухуровневая"/>
        <s v="КФ сушка 45 двухуровневая"/>
        <s v="КФ сушка 60 двухуровневая"/>
        <s v="КФ сушка 80 двухуровневая"/>
        <s v="КФ сушка 45 одноуровневая"/>
        <s v="КФ сушка 60 одноуровневая"/>
        <s v="КФ сушка 90 одноуровневая"/>
        <s v="Комплект для ящика Hettich ATIRA Серый, NL-470, H-70"/>
        <s v="Комплект для ящика Hettich ATIRA Серый с реллингом, NL-470, H-176"/>
        <s v="КФ крепления ящика Hettich"/>
        <s v="КФ крепежа корпуса 17"/>
        <s v="Корзина выдв.посудосуш.600 мм + напр. L450 Hettich (ХРОМ)"/>
        <s v="КФ петли под фасад из ал.профиля"/>
        <s v="КФ EMV1DL/2DL + рассеиватель"/>
        <s v="материал исполнения premium полки"/>
        <s v="Глухой для верх.ряда RS02"/>
        <s v="Глухой для нижн.ряда RS03"/>
        <s v="Глухой для с ручкой-раковиной RS01"/>
        <s v="Глухой в алюминиевом профиле 810"/>
        <s v="Глухой МД Softline Marine"/>
        <s v="Бленда Softline Marine"/>
        <s v="идеальный цоколь"/>
        <s v="профиль рассеиватель HLBL"/>
      </sharedItems>
    </cacheField>
    <cacheField name="Ограничивающие параметры" numFmtId="0">
      <sharedItems containsBlank="1"/>
    </cacheField>
    <cacheField name="Коэффициент" numFmtId="0">
      <sharedItems containsSemiMixedTypes="0" containsString="0" containsNumber="1" minValue="0.01" maxValue="28110.6"/>
    </cacheField>
    <cacheField name="Добавка" numFmtId="0">
      <sharedItems containsNonDate="0" containsString="0" containsBlank="1"/>
    </cacheField>
    <cacheField name="Способ расчета цены" numFmtId="0">
      <sharedItems count="4">
        <s v="За м2"/>
        <s v="Равно коэффициенту"/>
        <s v="По формуле и входящие параметры"/>
        <s v="За МП По высоте"/>
      </sharedItems>
    </cacheField>
    <cacheField name="Формула расчета" numFmtId="0">
      <sharedItems containsBlank="1" count="27">
        <m/>
        <s v="K+K*0.008*Окр((H-2.04)/0.01,0)+K*0.0065*Окр((W-0.6)/0.01,0) +?((G-0.56)&gt;0,K*0.03*Окр((G-0.56)/0.01,0),0)"/>
        <s v="K+K*0.0095*Окр((H-0.72)/0.01,0)+K*0.0065*Окр((W-0.5)/0.01,0) +?((G-0.315)&gt;0,K*0.03*Окр((G-0.315)/0.01,0),0)"/>
        <s v="K+K*0.008*Окр((H-0.72)/0.01,0)+K*0.0065*Окр((W-0.3)/0.01,0) +?((G-0.315)&gt;0,K*0.03*Окр((G-0.315)/0.01,0),0)"/>
        <s v="K+K*0.0095*Окр((H-0.72)/0.01,0)+K*0.0065*Окр((W-0.3)/0.01,0) +?((G-0.56)&gt;0,K*0.03*Окр((G-0.56)/0.01,0),0)"/>
        <s v="K+K*0.008*Окр((H-0.72)/0.01,0)+K*0.0065*Окр((W-0.3)/0.01,0) +?((G-0.56)&gt;0,K*0.03*Окр((G-0.56)/0.01,0),0)"/>
        <s v="K+K*0.008*Окр((H-0.72)/0.01,0)+K*0.0065*Окр((W-0.45)/0.01,0) +?((G-0.56)&gt;0,K*0.03*Окр((G-0.56)/0.01,0),0)"/>
        <s v="K+K*0.0065*Окр((H-0.72)/0.01,0)+K*0.0065*Окр((W-0.45)/0.01,0) +?((G-0.56)&gt;0,K*0.03*Окр((G-0.56)/0.01,0),0)"/>
        <s v="K+K*0.008*Окр((H-0.72)/0.01,0)+K*0.0065*Окр((W-0.75)/0.01,0) +?((G-0.560)&gt;0,K*0.03*Окр((G-0.560)/0.01,0),0)"/>
        <s v="K+K*0.008*Окр((H-0.72)/0.01,0)+K*0.0065*Окр((W-0.75)/0.01,0)"/>
        <s v="K+K*0.008*Окр((H-0.72)/0.01,0)+K*0.0065*Окр((W-0.3)/0.01,0)"/>
        <s v="K+K*0.008*Окр((H-0.72)/0.01,0)+K*0.0065*Окр((W-0.45)/0.01,0)"/>
        <s v="K+K*0.008*Окр((H-0.72)/0.01,0)+K*0.0065*Окр((W-0.315)/0.01,0) +?((G-0.56)&gt;0,K*0.03*Окр((G-0.56)/0.01,0),0)"/>
        <s v="K+K*0.008*Окр((H-1.32)/0.01,0)+K*0.0065*Окр((W-0.6)/0.01,0) +?((G-0.56)&gt;0,K*0.03*Окр((G-0.56)/0.01,0),0)"/>
        <s v="K+K*0.008*Окр((H-0.72)/0.01,0)+K*0.0065*Окр((W-0.6)/0.01,0)"/>
        <s v="K+K*0.008*Окр((H-2.04)/0.01,0)+K*0.0065*Окр((W-0.6)/0.01,0)"/>
        <s v="K+K*0.008*Окр((H-2.28)/0.01,0)+K*0.0065*Окр((W-0.6)/0.01,0) +?((G-0.56)&gt;0,K*0.03*Окр((G-0.56)/0.01,0),0)"/>
        <s v="K+K*0.0095*Окр((H-0.72)/0.01,0)+K*0.0065*Окр((W-0.45)/0.01,0) +?((G-0.315)&gt;0,K*0.03*Окр((G-0.315)/0.01,0),0)"/>
        <s v="K+K*0.0095*Окр((H-0.68)/0.01,0)+K*0.0065*Окр((W-0.5)/0.01,0) +?((G-0.315)&gt;0,K*0.03*Окр((G-0.315)/0.01,0),0)"/>
        <s v="K+K*0.008*Окр((H-0.72)/0.01,0)+K*0.0065*Окр((W-0.45)/0.01,0) +?((G-0.315)&gt;0,K*0.03*Окр((G-0.315)/0.01,0),0)"/>
        <s v="K+K*0.008*Окр((H-0.72)/0.01,0)+K*0.0065*Окр((W-0.1)/0.01,0) +?((G-0.56)&gt;0,K*0.03*Окр((G-0.56)/0.01,0),0)"/>
        <s v="K+K*0.008*Окр((H-0.72)/0.01,0)+K*0.0065*Окр((W-0.315)/0.01,0)"/>
        <s v="K+K*0.008*Окр((H-0.72)/0.01,0)+K*0.0065*Окр((W-0.23)/0.01,0) +?((G-0.54)&gt;0,K*0.03*Окр((G-0.54)/0.01,0),0)"/>
        <s v="K+K*0.008*Окр((H-0.96)/0.01,0)+K*0.0065*Окр((W-0.21)/0.01,0) +?((G-0.315)&gt;0,K*0.03*Окр((G-0.315)/0.01,0),0)"/>
        <s v="K+K*0.008*Окр((H-1.32)/0.01,0)+K*0.0065*Окр((W-0.6)/0.01,0)"/>
        <s v="K+K*0.008*Окр((H-0.72)/0.01,0)+K*0.0065*Окр((W-0.6)/0.01,0) +?((G-0.350)&gt;0,K*0.003*Окр((G-0.350)/0.01,0),0)"/>
        <s v="K+K*0.008*Окр((H-0.72)/0.01,0)+K*0.0065*Окр((W-0.3)/0.01,0) +?((G-0.315)&gt;0,K*0.003*Окр((G-0.315)/0.01,0),0)"/>
      </sharedItems>
    </cacheField>
    <cacheField name="Не учитывать нестандарт" numFmtId="0">
      <sharedItems/>
    </cacheField>
    <cacheField name="Не учитывать скидку" numFmtId="0">
      <sharedItems/>
    </cacheField>
    <cacheField name="Индивидуальный объемный коэффициент" numFmtId="0">
      <sharedItems containsString="0" containsBlank="1" containsNumber="1" containsInteger="1" minValue="1" maxValue="1"/>
    </cacheField>
    <cacheField name="Кратность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">
  <r>
    <s v="23.05.2025"/>
    <s v="Заявка на разработку изделия 000026353 от 23.05.2025 9:18:38"/>
    <n v="3"/>
    <x v="0"/>
    <m/>
    <x v="0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7"/>
    <x v="0"/>
    <m/>
    <x v="1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1"/>
    <x v="0"/>
    <m/>
    <x v="2"/>
    <m/>
    <n v="3394.65"/>
    <m/>
    <x v="0"/>
    <x v="0"/>
    <s v="Нет"/>
    <s v="Нет"/>
    <n v="1"/>
    <m/>
  </r>
  <r>
    <s v="23.05.2025"/>
    <s v="Заявка на разработку изделия 000026353 от 23.05.2025 9:18:38"/>
    <n v="15"/>
    <x v="0"/>
    <m/>
    <x v="3"/>
    <m/>
    <n v="4243.05"/>
    <m/>
    <x v="0"/>
    <x v="0"/>
    <s v="Нет"/>
    <s v="Нет"/>
    <n v="1"/>
    <m/>
  </r>
  <r>
    <s v="23.05.2025"/>
    <s v="Заявка на разработку изделия 000026353 от 23.05.2025 9:18:38"/>
    <n v="2"/>
    <x v="0"/>
    <m/>
    <x v="4"/>
    <m/>
    <n v="4881.45"/>
    <m/>
    <x v="0"/>
    <x v="0"/>
    <s v="Нет"/>
    <s v="Нет"/>
    <n v="1"/>
    <m/>
  </r>
  <r>
    <s v="23.05.2025"/>
    <s v="Заявка на разработку изделия 000026353 от 23.05.2025 9:18:38"/>
    <n v="16"/>
    <x v="0"/>
    <m/>
    <x v="5"/>
    <m/>
    <n v="6100.5"/>
    <m/>
    <x v="0"/>
    <x v="0"/>
    <s v="Нет"/>
    <s v="Нет"/>
    <n v="1"/>
    <m/>
  </r>
  <r>
    <s v="23.05.2025"/>
    <s v="Заявка на разработку изделия 000026353 от 23.05.2025 9:18:38"/>
    <n v="4"/>
    <x v="0"/>
    <m/>
    <x v="6"/>
    <m/>
    <n v="4117.05"/>
    <m/>
    <x v="0"/>
    <x v="0"/>
    <s v="Нет"/>
    <s v="Нет"/>
    <n v="1"/>
    <m/>
  </r>
  <r>
    <s v="23.05.2025"/>
    <s v="Заявка на разработку изделия 000026353 от 23.05.2025 9:18:38"/>
    <n v="18"/>
    <x v="0"/>
    <m/>
    <x v="7"/>
    <m/>
    <n v="5145"/>
    <m/>
    <x v="0"/>
    <x v="0"/>
    <s v="Нет"/>
    <s v="Нет"/>
    <n v="1"/>
    <m/>
  </r>
  <r>
    <s v="23.05.2025"/>
    <s v="Заявка на разработку изделия 000026353 от 23.05.2025 9:18:38"/>
    <n v="5"/>
    <x v="0"/>
    <m/>
    <x v="8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9"/>
    <x v="0"/>
    <m/>
    <x v="9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6"/>
    <x v="0"/>
    <m/>
    <x v="10"/>
    <m/>
    <n v="6754.65"/>
    <m/>
    <x v="0"/>
    <x v="0"/>
    <s v="Нет"/>
    <s v="Нет"/>
    <n v="1"/>
    <m/>
  </r>
  <r>
    <s v="23.05.2025"/>
    <s v="Заявка на разработку изделия 000026353 от 23.05.2025 9:18:38"/>
    <n v="20"/>
    <x v="0"/>
    <m/>
    <x v="11"/>
    <m/>
    <n v="8443.0499999999993"/>
    <m/>
    <x v="0"/>
    <x v="0"/>
    <s v="Нет"/>
    <s v="Нет"/>
    <n v="1"/>
    <m/>
  </r>
  <r>
    <s v="23.05.2025"/>
    <s v="Заявка на разработку изделия 000026353 от 23.05.2025 9:18:38"/>
    <n v="7"/>
    <x v="0"/>
    <m/>
    <x v="12"/>
    <m/>
    <n v="7693.35"/>
    <m/>
    <x v="0"/>
    <x v="0"/>
    <s v="Нет"/>
    <s v="Нет"/>
    <n v="1"/>
    <m/>
  </r>
  <r>
    <s v="23.05.2025"/>
    <s v="Заявка на разработку изделия 000026353 от 23.05.2025 9:18:38"/>
    <n v="21"/>
    <x v="0"/>
    <m/>
    <x v="13"/>
    <m/>
    <n v="9615.9"/>
    <m/>
    <x v="0"/>
    <x v="0"/>
    <s v="Нет"/>
    <s v="Нет"/>
    <n v="1"/>
    <m/>
  </r>
  <r>
    <s v="23.05.2025"/>
    <s v="Заявка на разработку изделия 000026353 от 23.05.2025 9:18:38"/>
    <n v="8"/>
    <x v="0"/>
    <m/>
    <x v="14"/>
    <m/>
    <n v="3734.85"/>
    <m/>
    <x v="0"/>
    <x v="0"/>
    <s v="Нет"/>
    <s v="Нет"/>
    <n v="1"/>
    <m/>
  </r>
  <r>
    <s v="23.05.2025"/>
    <s v="Заявка на разработку изделия 000026353 от 23.05.2025 9:18:38"/>
    <n v="22"/>
    <x v="0"/>
    <m/>
    <x v="15"/>
    <m/>
    <n v="4667.25"/>
    <m/>
    <x v="0"/>
    <x v="0"/>
    <s v="Нет"/>
    <s v="Нет"/>
    <n v="1"/>
    <m/>
  </r>
  <r>
    <s v="23.05.2025"/>
    <s v="Заявка на разработку изделия 000026353 от 23.05.2025 9:18:38"/>
    <n v="9"/>
    <x v="0"/>
    <m/>
    <x v="16"/>
    <m/>
    <n v="5368.65"/>
    <m/>
    <x v="0"/>
    <x v="0"/>
    <s v="Нет"/>
    <s v="Нет"/>
    <n v="1"/>
    <m/>
  </r>
  <r>
    <s v="23.05.2025"/>
    <s v="Заявка на разработку изделия 000026353 от 23.05.2025 9:18:38"/>
    <n v="23"/>
    <x v="0"/>
    <m/>
    <x v="17"/>
    <m/>
    <n v="6710.55"/>
    <m/>
    <x v="0"/>
    <x v="0"/>
    <s v="Нет"/>
    <s v="Нет"/>
    <n v="1"/>
    <m/>
  </r>
  <r>
    <s v="23.05.2025"/>
    <s v="Заявка на разработку изделия 000026353 от 23.05.2025 9:18:38"/>
    <n v="10"/>
    <x v="0"/>
    <m/>
    <x v="18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4"/>
    <x v="0"/>
    <m/>
    <x v="19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1"/>
    <x v="0"/>
    <m/>
    <x v="20"/>
    <m/>
    <n v="4525.5"/>
    <m/>
    <x v="0"/>
    <x v="0"/>
    <s v="Нет"/>
    <s v="Нет"/>
    <n v="1"/>
    <m/>
  </r>
  <r>
    <s v="23.05.2025"/>
    <s v="Заявка на разработку изделия 000026353 от 23.05.2025 9:18:38"/>
    <n v="25"/>
    <x v="0"/>
    <m/>
    <x v="21"/>
    <m/>
    <n v="5656.35"/>
    <m/>
    <x v="0"/>
    <x v="0"/>
    <s v="Нет"/>
    <s v="Нет"/>
    <n v="1"/>
    <m/>
  </r>
  <r>
    <s v="23.05.2025"/>
    <s v="Заявка на разработку изделия 000026353 от 23.05.2025 9:18:38"/>
    <n v="12"/>
    <x v="0"/>
    <m/>
    <x v="22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6"/>
    <x v="0"/>
    <m/>
    <x v="23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3"/>
    <x v="0"/>
    <m/>
    <x v="24"/>
    <m/>
    <n v="7431.9"/>
    <m/>
    <x v="0"/>
    <x v="0"/>
    <s v="Нет"/>
    <s v="Нет"/>
    <n v="1"/>
    <m/>
  </r>
  <r>
    <s v="23.05.2025"/>
    <s v="Заявка на разработку изделия 000026353 от 23.05.2025 9:18:38"/>
    <n v="27"/>
    <x v="0"/>
    <m/>
    <x v="25"/>
    <m/>
    <n v="9289.35"/>
    <m/>
    <x v="0"/>
    <x v="0"/>
    <s v="Нет"/>
    <s v="Нет"/>
    <n v="1"/>
    <m/>
  </r>
  <r>
    <s v="23.05.2025"/>
    <s v="Заявка на разработку изделия 000026353 от 23.05.2025 9:18:38"/>
    <n v="14"/>
    <x v="0"/>
    <m/>
    <x v="26"/>
    <m/>
    <n v="8463"/>
    <m/>
    <x v="0"/>
    <x v="0"/>
    <s v="Нет"/>
    <s v="Нет"/>
    <n v="1"/>
    <m/>
  </r>
  <r>
    <s v="23.05.2025"/>
    <s v="Заявка на разработку изделия 000026353 от 23.05.2025 9:18:38"/>
    <n v="28"/>
    <x v="0"/>
    <m/>
    <x v="27"/>
    <m/>
    <n v="10579.8"/>
    <m/>
    <x v="0"/>
    <x v="0"/>
    <s v="Нет"/>
    <s v="Нет"/>
    <n v="1"/>
    <m/>
  </r>
  <r>
    <s v="23.05.2025"/>
    <s v="Заявка на разработку изделия 000026353 от 23.05.2025 9:18:38"/>
    <n v="31"/>
    <x v="0"/>
    <m/>
    <x v="28"/>
    <m/>
    <n v="8085"/>
    <m/>
    <x v="0"/>
    <x v="0"/>
    <s v="Нет"/>
    <s v="Нет"/>
    <n v="1"/>
    <m/>
  </r>
  <r>
    <s v="23.05.2025"/>
    <s v="Заявка на разработку изделия 000026353 от 23.05.2025 9:18:38"/>
    <n v="30"/>
    <x v="0"/>
    <s v="ЕВРОДИЗАЙН"/>
    <x v="18"/>
    <m/>
    <n v="5605.95"/>
    <m/>
    <x v="0"/>
    <x v="0"/>
    <s v="Да"/>
    <s v="Нет"/>
    <n v="1"/>
    <m/>
  </r>
  <r>
    <s v="23.05.2025"/>
    <s v="Заявка на разработку изделия 000026353 от 23.05.2025 9:18:38"/>
    <n v="29"/>
    <x v="0"/>
    <s v="ЕВРОДИЗАЙН"/>
    <x v="29"/>
    <m/>
    <n v="4916.1000000000004"/>
    <m/>
    <x v="0"/>
    <x v="0"/>
    <s v="Да"/>
    <s v="Нет"/>
    <n v="1"/>
    <m/>
  </r>
  <r>
    <s v="28.05.2025"/>
    <s v="Заявка на разработку изделия 000026356 от 28.05.2025 8:43:02"/>
    <n v="1"/>
    <x v="1"/>
    <m/>
    <x v="30"/>
    <m/>
    <n v="28110.6"/>
    <m/>
    <x v="1"/>
    <x v="1"/>
    <s v="Нет"/>
    <s v="Нет"/>
    <n v="1"/>
    <m/>
  </r>
  <r>
    <s v="28.05.2025"/>
    <s v="Заявка на разработку изделия 000026357 от 28.05.2025 10:34:41"/>
    <n v="1"/>
    <x v="2"/>
    <m/>
    <x v="30"/>
    <m/>
    <n v="22818.5"/>
    <m/>
    <x v="1"/>
    <x v="1"/>
    <s v="Нет"/>
    <s v="Нет"/>
    <n v="1"/>
    <m/>
  </r>
  <r>
    <s v="29.05.2025"/>
    <s v="Заявка на разработку изделия 000026358 от 29.05.2025 12:05:11"/>
    <n v="3"/>
    <x v="3"/>
    <m/>
    <x v="0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7"/>
    <x v="3"/>
    <m/>
    <x v="1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1"/>
    <x v="3"/>
    <m/>
    <x v="2"/>
    <m/>
    <n v="3233"/>
    <m/>
    <x v="0"/>
    <x v="0"/>
    <s v="Нет"/>
    <s v="Нет"/>
    <n v="1"/>
    <m/>
  </r>
  <r>
    <s v="29.05.2025"/>
    <s v="Заявка на разработку изделия 000026358 от 29.05.2025 12:05:11"/>
    <n v="15"/>
    <x v="3"/>
    <m/>
    <x v="3"/>
    <m/>
    <n v="4041"/>
    <m/>
    <x v="0"/>
    <x v="0"/>
    <s v="Нет"/>
    <s v="Нет"/>
    <n v="1"/>
    <m/>
  </r>
  <r>
    <s v="29.05.2025"/>
    <s v="Заявка на разработку изделия 000026358 от 29.05.2025 12:05:11"/>
    <n v="2"/>
    <x v="3"/>
    <m/>
    <x v="4"/>
    <m/>
    <n v="4649"/>
    <m/>
    <x v="0"/>
    <x v="0"/>
    <s v="Нет"/>
    <s v="Нет"/>
    <n v="1"/>
    <m/>
  </r>
  <r>
    <s v="29.05.2025"/>
    <s v="Заявка на разработку изделия 000026358 от 29.05.2025 12:05:11"/>
    <n v="16"/>
    <x v="3"/>
    <m/>
    <x v="5"/>
    <m/>
    <n v="5810"/>
    <m/>
    <x v="0"/>
    <x v="0"/>
    <s v="Нет"/>
    <s v="Нет"/>
    <n v="1"/>
    <m/>
  </r>
  <r>
    <s v="29.05.2025"/>
    <s v="Заявка на разработку изделия 000026358 от 29.05.2025 12:05:11"/>
    <n v="4"/>
    <x v="3"/>
    <m/>
    <x v="6"/>
    <m/>
    <n v="3921"/>
    <m/>
    <x v="0"/>
    <x v="0"/>
    <s v="Нет"/>
    <s v="Нет"/>
    <n v="1"/>
    <m/>
  </r>
  <r>
    <s v="29.05.2025"/>
    <s v="Заявка на разработку изделия 000026358 от 29.05.2025 12:05:11"/>
    <n v="18"/>
    <x v="3"/>
    <m/>
    <x v="7"/>
    <m/>
    <n v="4900"/>
    <m/>
    <x v="0"/>
    <x v="0"/>
    <s v="Нет"/>
    <s v="Нет"/>
    <n v="1"/>
    <m/>
  </r>
  <r>
    <s v="29.05.2025"/>
    <s v="Заявка на разработку изделия 000026358 от 29.05.2025 12:05:11"/>
    <n v="5"/>
    <x v="3"/>
    <m/>
    <x v="8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9"/>
    <x v="3"/>
    <m/>
    <x v="9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6"/>
    <x v="3"/>
    <m/>
    <x v="10"/>
    <m/>
    <n v="6433"/>
    <m/>
    <x v="0"/>
    <x v="0"/>
    <s v="Нет"/>
    <s v="Нет"/>
    <n v="1"/>
    <m/>
  </r>
  <r>
    <s v="29.05.2025"/>
    <s v="Заявка на разработку изделия 000026358 от 29.05.2025 12:05:11"/>
    <n v="20"/>
    <x v="3"/>
    <m/>
    <x v="11"/>
    <m/>
    <n v="8041"/>
    <m/>
    <x v="0"/>
    <x v="0"/>
    <s v="Нет"/>
    <s v="Нет"/>
    <n v="1"/>
    <m/>
  </r>
  <r>
    <s v="29.05.2025"/>
    <s v="Заявка на разработку изделия 000026358 от 29.05.2025 12:05:11"/>
    <n v="7"/>
    <x v="3"/>
    <m/>
    <x v="12"/>
    <m/>
    <n v="7327"/>
    <m/>
    <x v="0"/>
    <x v="0"/>
    <s v="Нет"/>
    <s v="Нет"/>
    <n v="1"/>
    <m/>
  </r>
  <r>
    <s v="29.05.2025"/>
    <s v="Заявка на разработку изделия 000026358 от 29.05.2025 12:05:11"/>
    <n v="21"/>
    <x v="3"/>
    <m/>
    <x v="13"/>
    <m/>
    <n v="9158"/>
    <m/>
    <x v="0"/>
    <x v="0"/>
    <s v="Нет"/>
    <s v="Нет"/>
    <n v="1"/>
    <m/>
  </r>
  <r>
    <s v="29.05.2025"/>
    <s v="Заявка на разработку изделия 000026358 от 29.05.2025 12:05:11"/>
    <n v="8"/>
    <x v="3"/>
    <m/>
    <x v="14"/>
    <m/>
    <n v="3557"/>
    <m/>
    <x v="0"/>
    <x v="0"/>
    <s v="Нет"/>
    <s v="Нет"/>
    <n v="1"/>
    <m/>
  </r>
  <r>
    <s v="29.05.2025"/>
    <s v="Заявка на разработку изделия 000026358 от 29.05.2025 12:05:11"/>
    <n v="22"/>
    <x v="3"/>
    <m/>
    <x v="15"/>
    <m/>
    <n v="4445"/>
    <m/>
    <x v="0"/>
    <x v="0"/>
    <s v="Нет"/>
    <s v="Нет"/>
    <n v="1"/>
    <m/>
  </r>
  <r>
    <s v="29.05.2025"/>
    <s v="Заявка на разработку изделия 000026358 от 29.05.2025 12:05:11"/>
    <n v="9"/>
    <x v="3"/>
    <m/>
    <x v="16"/>
    <m/>
    <n v="5113"/>
    <m/>
    <x v="0"/>
    <x v="0"/>
    <s v="Нет"/>
    <s v="Нет"/>
    <n v="1"/>
    <m/>
  </r>
  <r>
    <s v="29.05.2025"/>
    <s v="Заявка на разработку изделия 000026358 от 29.05.2025 12:05:11"/>
    <n v="23"/>
    <x v="3"/>
    <m/>
    <x v="17"/>
    <m/>
    <n v="6391"/>
    <m/>
    <x v="0"/>
    <x v="0"/>
    <s v="Нет"/>
    <s v="Нет"/>
    <n v="1"/>
    <m/>
  </r>
  <r>
    <s v="29.05.2025"/>
    <s v="Заявка на разработку изделия 000026358 от 29.05.2025 12:05:11"/>
    <n v="10"/>
    <x v="3"/>
    <m/>
    <x v="18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4"/>
    <x v="3"/>
    <m/>
    <x v="19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1"/>
    <x v="3"/>
    <m/>
    <x v="20"/>
    <m/>
    <n v="4310"/>
    <m/>
    <x v="0"/>
    <x v="0"/>
    <s v="Нет"/>
    <s v="Нет"/>
    <n v="1"/>
    <m/>
  </r>
  <r>
    <s v="29.05.2025"/>
    <s v="Заявка на разработку изделия 000026358 от 29.05.2025 12:05:11"/>
    <n v="25"/>
    <x v="3"/>
    <m/>
    <x v="21"/>
    <m/>
    <n v="5387"/>
    <m/>
    <x v="0"/>
    <x v="0"/>
    <s v="Нет"/>
    <s v="Нет"/>
    <n v="1"/>
    <m/>
  </r>
  <r>
    <s v="29.05.2025"/>
    <s v="Заявка на разработку изделия 000026358 от 29.05.2025 12:05:11"/>
    <n v="12"/>
    <x v="3"/>
    <m/>
    <x v="22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6"/>
    <x v="3"/>
    <m/>
    <x v="23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3"/>
    <x v="3"/>
    <m/>
    <x v="24"/>
    <m/>
    <n v="7078"/>
    <m/>
    <x v="0"/>
    <x v="0"/>
    <s v="Нет"/>
    <s v="Нет"/>
    <n v="1"/>
    <m/>
  </r>
  <r>
    <s v="29.05.2025"/>
    <s v="Заявка на разработку изделия 000026358 от 29.05.2025 12:05:11"/>
    <n v="27"/>
    <x v="3"/>
    <m/>
    <x v="25"/>
    <m/>
    <n v="8847"/>
    <m/>
    <x v="0"/>
    <x v="0"/>
    <s v="Нет"/>
    <s v="Нет"/>
    <n v="1"/>
    <m/>
  </r>
  <r>
    <s v="29.05.2025"/>
    <s v="Заявка на разработку изделия 000026358 от 29.05.2025 12:05:11"/>
    <n v="14"/>
    <x v="3"/>
    <m/>
    <x v="26"/>
    <m/>
    <n v="8060"/>
    <m/>
    <x v="0"/>
    <x v="0"/>
    <s v="Нет"/>
    <s v="Нет"/>
    <n v="1"/>
    <m/>
  </r>
  <r>
    <s v="29.05.2025"/>
    <s v="Заявка на разработку изделия 000026358 от 29.05.2025 12:05:11"/>
    <n v="28"/>
    <x v="3"/>
    <m/>
    <x v="27"/>
    <m/>
    <n v="10076"/>
    <m/>
    <x v="0"/>
    <x v="0"/>
    <s v="Нет"/>
    <s v="Нет"/>
    <n v="1"/>
    <m/>
  </r>
  <r>
    <s v="29.05.2025"/>
    <s v="Заявка на разработку изделия 000026358 от 29.05.2025 12:05:11"/>
    <n v="31"/>
    <x v="3"/>
    <m/>
    <x v="28"/>
    <m/>
    <n v="7700"/>
    <m/>
    <x v="0"/>
    <x v="0"/>
    <s v="Нет"/>
    <s v="Нет"/>
    <n v="1"/>
    <m/>
  </r>
  <r>
    <s v="29.05.2025"/>
    <s v="Заявка на разработку изделия 000026358 от 29.05.2025 12:05:11"/>
    <n v="29"/>
    <x v="3"/>
    <m/>
    <x v="29"/>
    <m/>
    <n v="4682"/>
    <m/>
    <x v="0"/>
    <x v="0"/>
    <s v="Да"/>
    <s v="Нет"/>
    <n v="1"/>
    <m/>
  </r>
  <r>
    <s v="29.05.2025"/>
    <s v="Заявка на разработку изделия 000026358 от 29.05.2025 12:05:11"/>
    <n v="30"/>
    <x v="3"/>
    <s v="ЕВРОДИЗАЙН"/>
    <x v="18"/>
    <m/>
    <n v="5339"/>
    <m/>
    <x v="0"/>
    <x v="0"/>
    <s v="Да"/>
    <s v="Нет"/>
    <n v="1"/>
    <m/>
  </r>
  <r>
    <s v="11.06.2025"/>
    <s v="Заявка на разработку изделия 000026362 от 11.06.2025 10:39:20"/>
    <n v="1"/>
    <x v="4"/>
    <m/>
    <x v="30"/>
    <m/>
    <n v="8813.5"/>
    <m/>
    <x v="1"/>
    <x v="2"/>
    <s v="Нет"/>
    <s v="Нет"/>
    <n v="1"/>
    <m/>
  </r>
  <r>
    <s v="11.06.2025"/>
    <s v="Заявка на разработку изделия 000026362 от 11.06.2025 10:39:20"/>
    <n v="2"/>
    <x v="4"/>
    <m/>
    <x v="31"/>
    <m/>
    <n v="3470"/>
    <m/>
    <x v="2"/>
    <x v="2"/>
    <s v="Нет"/>
    <s v="Нет"/>
    <n v="1"/>
    <m/>
  </r>
  <r>
    <s v="11.06.2025"/>
    <s v="Заявка на разработку изделия 000026363 от 11.06.2025 11:22:15"/>
    <n v="1"/>
    <x v="5"/>
    <m/>
    <x v="30"/>
    <m/>
    <n v="6340.2"/>
    <m/>
    <x v="1"/>
    <x v="3"/>
    <s v="Нет"/>
    <s v="Нет"/>
    <n v="1"/>
    <m/>
  </r>
  <r>
    <s v="16.06.2025"/>
    <s v="Заявка на разработку изделия 000026438 от 16.06.2025 0:00:00"/>
    <n v="1"/>
    <x v="6"/>
    <m/>
    <x v="32"/>
    <m/>
    <n v="3094"/>
    <m/>
    <x v="0"/>
    <x v="0"/>
    <s v="Нет"/>
    <s v="Нет"/>
    <n v="1"/>
    <m/>
  </r>
  <r>
    <s v="16.06.2025"/>
    <s v="Заявка на разработку изделия 000026364 от 16.06.2025 0:00:00"/>
    <n v="1"/>
    <x v="7"/>
    <m/>
    <x v="30"/>
    <m/>
    <n v="2350"/>
    <m/>
    <x v="2"/>
    <x v="4"/>
    <s v="Нет"/>
    <s v="Нет"/>
    <n v="1"/>
    <m/>
  </r>
  <r>
    <s v="16.06.2025"/>
    <s v="Заявка на разработку изделия 000026364 от 16.06.2025 0:00:00"/>
    <n v="2"/>
    <x v="7"/>
    <m/>
    <x v="31"/>
    <m/>
    <n v="2620"/>
    <m/>
    <x v="2"/>
    <x v="4"/>
    <s v="Нет"/>
    <s v="Нет"/>
    <n v="1"/>
    <m/>
  </r>
  <r>
    <s v="16.06.2025"/>
    <s v="Заявка на разработку изделия 000026365 от 16.06.2025 0:00:00"/>
    <n v="1"/>
    <x v="8"/>
    <m/>
    <x v="30"/>
    <m/>
    <n v="2350"/>
    <m/>
    <x v="2"/>
    <x v="5"/>
    <s v="Нет"/>
    <s v="Нет"/>
    <n v="1"/>
    <m/>
  </r>
  <r>
    <s v="16.06.2025"/>
    <s v="Заявка на разработку изделия 000026365 от 16.06.2025 0:00:00"/>
    <n v="2"/>
    <x v="8"/>
    <m/>
    <x v="31"/>
    <m/>
    <n v="2620"/>
    <m/>
    <x v="2"/>
    <x v="5"/>
    <s v="Нет"/>
    <s v="Нет"/>
    <n v="1"/>
    <m/>
  </r>
  <r>
    <s v="16.06.2025"/>
    <s v="Заявка на разработку изделия 000026366 от 16.06.2025 0:00:00"/>
    <n v="1"/>
    <x v="9"/>
    <m/>
    <x v="30"/>
    <m/>
    <n v="2350"/>
    <m/>
    <x v="2"/>
    <x v="5"/>
    <s v="Нет"/>
    <s v="Нет"/>
    <n v="1"/>
    <m/>
  </r>
  <r>
    <s v="16.06.2025"/>
    <s v="Заявка на разработку изделия 000026366 от 16.06.2025 0:00:00"/>
    <n v="2"/>
    <x v="9"/>
    <m/>
    <x v="31"/>
    <m/>
    <n v="2620"/>
    <m/>
    <x v="2"/>
    <x v="5"/>
    <s v="Нет"/>
    <s v="Нет"/>
    <n v="1"/>
    <m/>
  </r>
  <r>
    <s v="16.06.2025"/>
    <s v="Заявка на разработку изделия 000026368 от 16.06.2025 0:00:00"/>
    <n v="1"/>
    <x v="10"/>
    <m/>
    <x v="30"/>
    <m/>
    <n v="2380"/>
    <m/>
    <x v="2"/>
    <x v="6"/>
    <s v="Нет"/>
    <s v="Нет"/>
    <n v="1"/>
    <m/>
  </r>
  <r>
    <s v="16.06.2025"/>
    <s v="Заявка на разработку изделия 000026368 от 16.06.2025 0:00:00"/>
    <n v="2"/>
    <x v="10"/>
    <m/>
    <x v="31"/>
    <m/>
    <n v="2690"/>
    <m/>
    <x v="2"/>
    <x v="6"/>
    <s v="Нет"/>
    <s v="Нет"/>
    <n v="1"/>
    <m/>
  </r>
  <r>
    <s v="16.06.2025"/>
    <s v="Заявка на разработку изделия 000026369 от 16.06.2025 0:00:00"/>
    <n v="1"/>
    <x v="11"/>
    <m/>
    <x v="30"/>
    <m/>
    <n v="2380"/>
    <m/>
    <x v="2"/>
    <x v="7"/>
    <s v="Нет"/>
    <s v="Нет"/>
    <n v="1"/>
    <m/>
  </r>
  <r>
    <s v="16.06.2025"/>
    <s v="Заявка на разработку изделия 000026369 от 16.06.2025 0:00:00"/>
    <n v="2"/>
    <x v="11"/>
    <m/>
    <x v="31"/>
    <m/>
    <n v="2690"/>
    <m/>
    <x v="2"/>
    <x v="7"/>
    <s v="Нет"/>
    <s v="Нет"/>
    <n v="1"/>
    <m/>
  </r>
  <r>
    <s v="16.06.2025"/>
    <s v="Заявка на разработку изделия 000026370 от 16.06.2025 0:00:00"/>
    <n v="1"/>
    <x v="12"/>
    <m/>
    <x v="30"/>
    <m/>
    <n v="3200"/>
    <m/>
    <x v="2"/>
    <x v="8"/>
    <s v="Нет"/>
    <s v="Нет"/>
    <n v="1"/>
    <m/>
  </r>
  <r>
    <s v="16.06.2025"/>
    <s v="Заявка на разработку изделия 000026370 от 16.06.2025 0:00:00"/>
    <n v="2"/>
    <x v="12"/>
    <m/>
    <x v="31"/>
    <m/>
    <n v="3630"/>
    <m/>
    <x v="2"/>
    <x v="8"/>
    <s v="Нет"/>
    <s v="Нет"/>
    <n v="1"/>
    <m/>
  </r>
  <r>
    <s v="16.06.2025"/>
    <s v="Заявка на разработку изделия 000026372 от 16.06.2025 0:00:00"/>
    <n v="1"/>
    <x v="13"/>
    <m/>
    <x v="30"/>
    <m/>
    <n v="2980"/>
    <m/>
    <x v="2"/>
    <x v="9"/>
    <s v="Нет"/>
    <s v="Нет"/>
    <n v="1"/>
    <m/>
  </r>
  <r>
    <s v="16.06.2025"/>
    <s v="Заявка на разработку изделия 000026372 от 16.06.2025 0:00:00"/>
    <n v="2"/>
    <x v="13"/>
    <m/>
    <x v="31"/>
    <m/>
    <n v="3420"/>
    <m/>
    <x v="2"/>
    <x v="9"/>
    <s v="Нет"/>
    <s v="Нет"/>
    <n v="1"/>
    <m/>
  </r>
  <r>
    <s v="16.06.2025"/>
    <s v="Заявка на разработку изделия 000026374 от 16.06.2025 0:00:00"/>
    <n v="1"/>
    <x v="14"/>
    <m/>
    <x v="30"/>
    <m/>
    <n v="2640"/>
    <m/>
    <x v="2"/>
    <x v="10"/>
    <s v="Нет"/>
    <s v="Нет"/>
    <n v="1"/>
    <m/>
  </r>
  <r>
    <s v="16.06.2025"/>
    <s v="Заявка на разработку изделия 000026374 от 16.06.2025 0:00:00"/>
    <n v="2"/>
    <x v="14"/>
    <m/>
    <x v="31"/>
    <m/>
    <n v="2940"/>
    <m/>
    <x v="2"/>
    <x v="10"/>
    <s v="Нет"/>
    <s v="Нет"/>
    <n v="1"/>
    <m/>
  </r>
  <r>
    <s v="16.06.2025"/>
    <s v="Заявка на разработку изделия 000026376 от 16.06.2025 0:00:00"/>
    <n v="1"/>
    <x v="15"/>
    <m/>
    <x v="30"/>
    <m/>
    <n v="3510"/>
    <m/>
    <x v="2"/>
    <x v="10"/>
    <s v="Нет"/>
    <s v="Нет"/>
    <n v="1"/>
    <m/>
  </r>
  <r>
    <s v="16.06.2025"/>
    <s v="Заявка на разработку изделия 000026376 от 16.06.2025 0:00:00"/>
    <n v="2"/>
    <x v="15"/>
    <m/>
    <x v="31"/>
    <m/>
    <n v="3880"/>
    <m/>
    <x v="2"/>
    <x v="10"/>
    <s v="Нет"/>
    <s v="Нет"/>
    <n v="1"/>
    <m/>
  </r>
  <r>
    <s v="16.06.2025"/>
    <s v="Заявка на разработку изделия 000026377 от 16.06.2025 0:00:00"/>
    <n v="1"/>
    <x v="16"/>
    <m/>
    <x v="30"/>
    <m/>
    <n v="3060"/>
    <m/>
    <x v="2"/>
    <x v="10"/>
    <s v="Нет"/>
    <s v="Нет"/>
    <n v="1"/>
    <m/>
  </r>
  <r>
    <s v="16.06.2025"/>
    <s v="Заявка на разработку изделия 000026377 от 16.06.2025 0:00:00"/>
    <n v="2"/>
    <x v="16"/>
    <m/>
    <x v="31"/>
    <m/>
    <n v="3420"/>
    <m/>
    <x v="2"/>
    <x v="10"/>
    <s v="Нет"/>
    <s v="Нет"/>
    <n v="1"/>
    <m/>
  </r>
  <r>
    <s v="16.06.2025"/>
    <s v="Заявка на разработку изделия 000026378 от 16.06.2025 0:00:00"/>
    <n v="1"/>
    <x v="17"/>
    <m/>
    <x v="30"/>
    <m/>
    <n v="2960"/>
    <m/>
    <x v="2"/>
    <x v="10"/>
    <s v="Нет"/>
    <s v="Нет"/>
    <n v="1"/>
    <m/>
  </r>
  <r>
    <s v="16.06.2025"/>
    <s v="Заявка на разработку изделия 000026378 от 16.06.2025 0:00:00"/>
    <n v="2"/>
    <x v="17"/>
    <m/>
    <x v="31"/>
    <m/>
    <n v="3290"/>
    <m/>
    <x v="2"/>
    <x v="10"/>
    <s v="Нет"/>
    <s v="Нет"/>
    <n v="1"/>
    <m/>
  </r>
  <r>
    <s v="16.06.2025"/>
    <s v="Заявка на разработку изделия 000026380 от 16.06.2025 0:00:00"/>
    <n v="1"/>
    <x v="18"/>
    <m/>
    <x v="30"/>
    <m/>
    <n v="2760"/>
    <m/>
    <x v="2"/>
    <x v="11"/>
    <s v="Нет"/>
    <s v="Нет"/>
    <n v="1"/>
    <m/>
  </r>
  <r>
    <s v="16.06.2025"/>
    <s v="Заявка на разработку изделия 000026380 от 16.06.2025 0:00:00"/>
    <n v="2"/>
    <x v="18"/>
    <m/>
    <x v="31"/>
    <m/>
    <n v="3190"/>
    <m/>
    <x v="2"/>
    <x v="11"/>
    <s v="Нет"/>
    <s v="Нет"/>
    <n v="1"/>
    <m/>
  </r>
  <r>
    <s v="16.06.2025"/>
    <s v="Заявка на разработку изделия 000026375 от 16.06.2025 0:00:00"/>
    <n v="1"/>
    <x v="19"/>
    <m/>
    <x v="30"/>
    <m/>
    <n v="2640"/>
    <m/>
    <x v="2"/>
    <x v="10"/>
    <s v="Нет"/>
    <s v="Нет"/>
    <n v="1"/>
    <m/>
  </r>
  <r>
    <s v="16.06.2025"/>
    <s v="Заявка на разработку изделия 000026375 от 16.06.2025 0:00:00"/>
    <n v="2"/>
    <x v="19"/>
    <m/>
    <x v="31"/>
    <m/>
    <n v="2940"/>
    <m/>
    <x v="2"/>
    <x v="10"/>
    <s v="Нет"/>
    <s v="Нет"/>
    <n v="1"/>
    <m/>
  </r>
  <r>
    <s v="16.06.2025"/>
    <s v="Заявка на разработку изделия 000026382 от 16.06.2025 0:00:00"/>
    <n v="1"/>
    <x v="20"/>
    <m/>
    <x v="30"/>
    <m/>
    <n v="2270"/>
    <m/>
    <x v="2"/>
    <x v="12"/>
    <s v="Нет"/>
    <s v="Нет"/>
    <n v="1"/>
    <m/>
  </r>
  <r>
    <s v="16.06.2025"/>
    <s v="Заявка на разработку изделия 000026382 от 16.06.2025 0:00:00"/>
    <n v="2"/>
    <x v="20"/>
    <m/>
    <x v="31"/>
    <m/>
    <n v="2540"/>
    <m/>
    <x v="2"/>
    <x v="12"/>
    <s v="Нет"/>
    <s v="Нет"/>
    <n v="1"/>
    <m/>
  </r>
  <r>
    <s v="16.06.2025"/>
    <s v="Заявка на разработку изделия 000026383 от 16.06.2025 0:00:00"/>
    <n v="1"/>
    <x v="21"/>
    <m/>
    <x v="30"/>
    <m/>
    <n v="2270"/>
    <m/>
    <x v="2"/>
    <x v="12"/>
    <s v="Нет"/>
    <s v="Нет"/>
    <n v="1"/>
    <m/>
  </r>
  <r>
    <s v="16.06.2025"/>
    <s v="Заявка на разработку изделия 000026383 от 16.06.2025 0:00:00"/>
    <n v="2"/>
    <x v="21"/>
    <m/>
    <x v="31"/>
    <m/>
    <n v="2540"/>
    <m/>
    <x v="2"/>
    <x v="12"/>
    <s v="Нет"/>
    <s v="Нет"/>
    <n v="1"/>
    <m/>
  </r>
  <r>
    <s v="16.06.2025"/>
    <s v="Заявка на разработку изделия 000026384 от 16.06.2025 0:00:00"/>
    <n v="1"/>
    <x v="22"/>
    <m/>
    <x v="30"/>
    <m/>
    <n v="2538"/>
    <m/>
    <x v="2"/>
    <x v="5"/>
    <s v="Нет"/>
    <s v="Нет"/>
    <n v="1"/>
    <m/>
  </r>
  <r>
    <s v="16.06.2025"/>
    <s v="Заявка на разработку изделия 000026384 от 16.06.2025 0:00:00"/>
    <n v="2"/>
    <x v="22"/>
    <m/>
    <x v="31"/>
    <m/>
    <n v="2829.6"/>
    <m/>
    <x v="2"/>
    <x v="5"/>
    <s v="Нет"/>
    <s v="Нет"/>
    <n v="1"/>
    <m/>
  </r>
  <r>
    <s v="16.06.2025"/>
    <s v="Заявка на разработку изделия 000026385 от 16.06.2025 0:00:00"/>
    <n v="1"/>
    <x v="23"/>
    <m/>
    <x v="30"/>
    <m/>
    <n v="2538"/>
    <m/>
    <x v="2"/>
    <x v="5"/>
    <s v="Нет"/>
    <s v="Нет"/>
    <n v="1"/>
    <m/>
  </r>
  <r>
    <s v="16.06.2025"/>
    <s v="Заявка на разработку изделия 000026385 от 16.06.2025 0:00:00"/>
    <n v="2"/>
    <x v="23"/>
    <m/>
    <x v="31"/>
    <m/>
    <n v="2829.6"/>
    <m/>
    <x v="2"/>
    <x v="5"/>
    <s v="Нет"/>
    <s v="Нет"/>
    <n v="1"/>
    <m/>
  </r>
  <r>
    <s v="16.06.2025"/>
    <s v="Заявка на разработку изделия 000026367 от 16.06.2025 0:00:00"/>
    <n v="1"/>
    <x v="24"/>
    <m/>
    <x v="30"/>
    <m/>
    <n v="2350"/>
    <m/>
    <x v="2"/>
    <x v="5"/>
    <s v="Нет"/>
    <s v="Нет"/>
    <n v="1"/>
    <m/>
  </r>
  <r>
    <s v="16.06.2025"/>
    <s v="Заявка на разработку изделия 000026367 от 16.06.2025 0:00:00"/>
    <n v="2"/>
    <x v="24"/>
    <m/>
    <x v="31"/>
    <m/>
    <n v="2620"/>
    <m/>
    <x v="2"/>
    <x v="5"/>
    <s v="Нет"/>
    <s v="Нет"/>
    <n v="1"/>
    <m/>
  </r>
  <r>
    <s v="16.06.2025"/>
    <s v="Заявка на разработку изделия 000026388 от 16.06.2025 0:00:00"/>
    <n v="1"/>
    <x v="25"/>
    <m/>
    <x v="30"/>
    <m/>
    <n v="2538"/>
    <m/>
    <x v="2"/>
    <x v="5"/>
    <s v="Нет"/>
    <s v="Нет"/>
    <n v="1"/>
    <m/>
  </r>
  <r>
    <s v="16.06.2025"/>
    <s v="Заявка на разработку изделия 000026388 от 16.06.2025 0:00:00"/>
    <n v="2"/>
    <x v="25"/>
    <m/>
    <x v="31"/>
    <m/>
    <n v="2829.6"/>
    <m/>
    <x v="2"/>
    <x v="5"/>
    <s v="Нет"/>
    <s v="Нет"/>
    <n v="1"/>
    <m/>
  </r>
  <r>
    <s v="16.06.2025"/>
    <s v="Заявка на разработку изделия 000026389 от 16.06.2025 0:00:00"/>
    <n v="1"/>
    <x v="26"/>
    <m/>
    <x v="30"/>
    <m/>
    <n v="2538"/>
    <m/>
    <x v="2"/>
    <x v="5"/>
    <s v="Нет"/>
    <s v="Нет"/>
    <n v="1"/>
    <m/>
  </r>
  <r>
    <s v="16.06.2025"/>
    <s v="Заявка на разработку изделия 000026389 от 16.06.2025 0:00:00"/>
    <n v="2"/>
    <x v="26"/>
    <m/>
    <x v="31"/>
    <m/>
    <n v="2829.6"/>
    <m/>
    <x v="2"/>
    <x v="5"/>
    <s v="Нет"/>
    <s v="Нет"/>
    <n v="1"/>
    <m/>
  </r>
  <r>
    <s v="16.06.2025"/>
    <s v="Заявка на разработку изделия 000026390 от 16.06.2025 0:00:00"/>
    <n v="1"/>
    <x v="27"/>
    <m/>
    <x v="30"/>
    <m/>
    <n v="2538"/>
    <m/>
    <x v="2"/>
    <x v="5"/>
    <s v="Нет"/>
    <s v="Нет"/>
    <n v="1"/>
    <m/>
  </r>
  <r>
    <s v="16.06.2025"/>
    <s v="Заявка на разработку изделия 000026390 от 16.06.2025 0:00:00"/>
    <n v="2"/>
    <x v="27"/>
    <m/>
    <x v="31"/>
    <m/>
    <n v="2829.6"/>
    <m/>
    <x v="2"/>
    <x v="5"/>
    <s v="Нет"/>
    <s v="Нет"/>
    <n v="1"/>
    <m/>
  </r>
  <r>
    <s v="16.06.2025"/>
    <s v="Заявка на разработку изделия 000026391 от 16.06.2025 0:00:00"/>
    <n v="1"/>
    <x v="28"/>
    <m/>
    <x v="30"/>
    <m/>
    <n v="3456"/>
    <m/>
    <x v="2"/>
    <x v="3"/>
    <s v="Нет"/>
    <s v="Нет"/>
    <n v="1"/>
    <m/>
  </r>
  <r>
    <s v="16.06.2025"/>
    <s v="Заявка на разработку изделия 000026391 от 16.06.2025 0:00:00"/>
    <n v="2"/>
    <x v="28"/>
    <m/>
    <x v="31"/>
    <m/>
    <n v="3920.4"/>
    <m/>
    <x v="2"/>
    <x v="3"/>
    <s v="Нет"/>
    <s v="Нет"/>
    <n v="1"/>
    <m/>
  </r>
  <r>
    <s v="16.06.2025"/>
    <s v="Заявка на разработку изделия 000026393 от 16.06.2025 0:00:00"/>
    <n v="1"/>
    <x v="29"/>
    <m/>
    <x v="30"/>
    <m/>
    <n v="1780"/>
    <m/>
    <x v="2"/>
    <x v="3"/>
    <s v="Нет"/>
    <s v="Нет"/>
    <n v="1"/>
    <m/>
  </r>
  <r>
    <s v="16.06.2025"/>
    <s v="Заявка на разработку изделия 000026393 от 16.06.2025 0:00:00"/>
    <n v="2"/>
    <x v="29"/>
    <m/>
    <x v="31"/>
    <m/>
    <n v="1960"/>
    <m/>
    <x v="2"/>
    <x v="3"/>
    <s v="Нет"/>
    <s v="Нет"/>
    <n v="1"/>
    <m/>
  </r>
  <r>
    <s v="16.06.2025"/>
    <s v="Заявка на разработку изделия 000026394 от 16.06.2025 0:00:00"/>
    <n v="1"/>
    <x v="30"/>
    <m/>
    <x v="30"/>
    <m/>
    <n v="1780"/>
    <m/>
    <x v="2"/>
    <x v="3"/>
    <s v="Нет"/>
    <s v="Нет"/>
    <n v="1"/>
    <m/>
  </r>
  <r>
    <s v="16.06.2025"/>
    <s v="Заявка на разработку изделия 000026394 от 16.06.2025 0:00:00"/>
    <n v="2"/>
    <x v="30"/>
    <m/>
    <x v="31"/>
    <m/>
    <n v="1960"/>
    <m/>
    <x v="2"/>
    <x v="3"/>
    <s v="Нет"/>
    <s v="Нет"/>
    <n v="1"/>
    <m/>
  </r>
  <r>
    <s v="16.06.2025"/>
    <s v="Заявка на разработку изделия 000026419 от 16.06.2025 0:00:00"/>
    <n v="1"/>
    <x v="31"/>
    <m/>
    <x v="30"/>
    <m/>
    <n v="5220"/>
    <m/>
    <x v="2"/>
    <x v="13"/>
    <s v="Нет"/>
    <s v="Нет"/>
    <n v="1"/>
    <m/>
  </r>
  <r>
    <s v="16.06.2025"/>
    <s v="Заявка на разработку изделия 000026419 от 16.06.2025 0:00:00"/>
    <n v="2"/>
    <x v="31"/>
    <m/>
    <x v="31"/>
    <m/>
    <n v="6930"/>
    <m/>
    <x v="2"/>
    <x v="13"/>
    <s v="Нет"/>
    <s v="Нет"/>
    <n v="1"/>
    <m/>
  </r>
  <r>
    <s v="16.06.2025"/>
    <s v="Заявка на разработку изделия 000026421 от 16.06.2025 0:00:00"/>
    <n v="1"/>
    <x v="32"/>
    <m/>
    <x v="30"/>
    <m/>
    <n v="5220"/>
    <m/>
    <x v="2"/>
    <x v="13"/>
    <s v="Нет"/>
    <s v="Нет"/>
    <n v="1"/>
    <m/>
  </r>
  <r>
    <s v="16.06.2025"/>
    <s v="Заявка на разработку изделия 000026421 от 16.06.2025 0:00:00"/>
    <n v="2"/>
    <x v="32"/>
    <m/>
    <x v="31"/>
    <m/>
    <n v="5930"/>
    <m/>
    <x v="2"/>
    <x v="13"/>
    <s v="Нет"/>
    <s v="Нет"/>
    <n v="1"/>
    <m/>
  </r>
  <r>
    <s v="16.06.2025"/>
    <s v="Заявка на разработку изделия 000026423 от 16.06.2025 0:00:00"/>
    <n v="1"/>
    <x v="33"/>
    <m/>
    <x v="30"/>
    <m/>
    <n v="6990"/>
    <m/>
    <x v="2"/>
    <x v="1"/>
    <s v="Нет"/>
    <s v="Нет"/>
    <n v="1"/>
    <m/>
  </r>
  <r>
    <s v="16.06.2025"/>
    <s v="Заявка на разработку изделия 000026423 от 16.06.2025 0:00:00"/>
    <n v="2"/>
    <x v="33"/>
    <m/>
    <x v="31"/>
    <m/>
    <n v="7910"/>
    <m/>
    <x v="2"/>
    <x v="1"/>
    <s v="Нет"/>
    <s v="Нет"/>
    <n v="1"/>
    <m/>
  </r>
  <r>
    <s v="16.06.2025"/>
    <s v="Заявка на разработку изделия 000026397 от 16.06.2025 0:00:00"/>
    <n v="1"/>
    <x v="34"/>
    <m/>
    <x v="30"/>
    <m/>
    <n v="1780"/>
    <m/>
    <x v="2"/>
    <x v="3"/>
    <s v="Нет"/>
    <s v="Нет"/>
    <n v="1"/>
    <m/>
  </r>
  <r>
    <s v="16.06.2025"/>
    <s v="Заявка на разработку изделия 000026397 от 16.06.2025 0:00:00"/>
    <n v="2"/>
    <x v="34"/>
    <m/>
    <x v="31"/>
    <m/>
    <n v="1960"/>
    <m/>
    <x v="2"/>
    <x v="3"/>
    <s v="Нет"/>
    <s v="Нет"/>
    <n v="1"/>
    <m/>
  </r>
  <r>
    <s v="16.06.2025"/>
    <s v="Заявка на разработку изделия 000026399 от 16.06.2025 0:00:00"/>
    <n v="1"/>
    <x v="35"/>
    <m/>
    <x v="30"/>
    <m/>
    <n v="1780"/>
    <m/>
    <x v="2"/>
    <x v="3"/>
    <s v="Нет"/>
    <s v="Нет"/>
    <n v="1"/>
    <m/>
  </r>
  <r>
    <s v="16.06.2025"/>
    <s v="Заявка на разработку изделия 000026399 от 16.06.2025 0:00:00"/>
    <n v="2"/>
    <x v="35"/>
    <m/>
    <x v="31"/>
    <m/>
    <n v="1960"/>
    <m/>
    <x v="2"/>
    <x v="3"/>
    <s v="Нет"/>
    <s v="Нет"/>
    <n v="1"/>
    <m/>
  </r>
  <r>
    <s v="16.06.2025"/>
    <s v="Заявка на разработку изделия 000026401 от 16.06.2025 0:00:00"/>
    <n v="1"/>
    <x v="36"/>
    <m/>
    <x v="30"/>
    <m/>
    <n v="1780"/>
    <m/>
    <x v="2"/>
    <x v="3"/>
    <s v="Нет"/>
    <s v="Нет"/>
    <n v="1"/>
    <m/>
  </r>
  <r>
    <s v="16.06.2025"/>
    <s v="Заявка на разработку изделия 000026401 от 16.06.2025 0:00:00"/>
    <n v="2"/>
    <x v="36"/>
    <m/>
    <x v="31"/>
    <m/>
    <n v="1960"/>
    <m/>
    <x v="2"/>
    <x v="3"/>
    <s v="Нет"/>
    <s v="Нет"/>
    <n v="1"/>
    <m/>
  </r>
  <r>
    <s v="16.06.2025"/>
    <s v="Заявка на разработку изделия 000026407 от 16.06.2025 0:00:00"/>
    <n v="1"/>
    <x v="37"/>
    <m/>
    <x v="30"/>
    <m/>
    <n v="2820"/>
    <m/>
    <x v="2"/>
    <x v="14"/>
    <s v="Нет"/>
    <s v="Нет"/>
    <n v="1"/>
    <m/>
  </r>
  <r>
    <s v="16.06.2025"/>
    <s v="Заявка на разработку изделия 000026407 от 16.06.2025 0:00:00"/>
    <n v="2"/>
    <x v="37"/>
    <m/>
    <x v="31"/>
    <m/>
    <n v="3110"/>
    <m/>
    <x v="2"/>
    <x v="14"/>
    <s v="Нет"/>
    <s v="Нет"/>
    <n v="1"/>
    <m/>
  </r>
  <r>
    <s v="16.06.2025"/>
    <s v="Заявка на разработку изделия 000026428 от 16.06.2025 0:00:00"/>
    <n v="1"/>
    <x v="38"/>
    <m/>
    <x v="30"/>
    <m/>
    <n v="9310"/>
    <m/>
    <x v="2"/>
    <x v="15"/>
    <s v="Нет"/>
    <s v="Нет"/>
    <n v="1"/>
    <m/>
  </r>
  <r>
    <s v="16.06.2025"/>
    <s v="Заявка на разработку изделия 000026428 от 16.06.2025 0:00:00"/>
    <n v="2"/>
    <x v="38"/>
    <m/>
    <x v="31"/>
    <m/>
    <n v="10640"/>
    <m/>
    <x v="2"/>
    <x v="15"/>
    <s v="Нет"/>
    <s v="Нет"/>
    <n v="1"/>
    <m/>
  </r>
  <r>
    <s v="16.06.2025"/>
    <s v="Заявка на разработку изделия 000026429 от 16.06.2025 0:00:00"/>
    <n v="1"/>
    <x v="39"/>
    <m/>
    <x v="30"/>
    <m/>
    <n v="8710"/>
    <m/>
    <x v="2"/>
    <x v="15"/>
    <s v="Нет"/>
    <s v="Нет"/>
    <n v="1"/>
    <m/>
  </r>
  <r>
    <s v="16.06.2025"/>
    <s v="Заявка на разработку изделия 000026429 от 16.06.2025 0:00:00"/>
    <n v="2"/>
    <x v="39"/>
    <m/>
    <x v="31"/>
    <m/>
    <n v="9950"/>
    <m/>
    <x v="2"/>
    <x v="15"/>
    <s v="Нет"/>
    <s v="Нет"/>
    <n v="1"/>
    <m/>
  </r>
  <r>
    <s v="16.06.2025"/>
    <s v="Заявка на разработку изделия 000026433 от 16.06.2025 0:00:00"/>
    <n v="1"/>
    <x v="40"/>
    <m/>
    <x v="30"/>
    <m/>
    <n v="7500"/>
    <m/>
    <x v="2"/>
    <x v="15"/>
    <s v="Нет"/>
    <s v="Нет"/>
    <n v="1"/>
    <m/>
  </r>
  <r>
    <s v="16.06.2025"/>
    <s v="Заявка на разработку изделия 000026433 от 16.06.2025 0:00:00"/>
    <n v="2"/>
    <x v="40"/>
    <m/>
    <x v="31"/>
    <m/>
    <n v="8590"/>
    <m/>
    <x v="2"/>
    <x v="15"/>
    <s v="Нет"/>
    <s v="Нет"/>
    <n v="1"/>
    <m/>
  </r>
  <r>
    <s v="16.06.2025"/>
    <s v="Заявка на разработку изделия 000026426 от 16.06.2025 0:00:00"/>
    <n v="1"/>
    <x v="41"/>
    <m/>
    <x v="30"/>
    <m/>
    <n v="5750"/>
    <m/>
    <x v="2"/>
    <x v="1"/>
    <s v="Нет"/>
    <s v="Нет"/>
    <n v="1"/>
    <m/>
  </r>
  <r>
    <s v="16.06.2025"/>
    <s v="Заявка на разработку изделия 000026426 от 16.06.2025 0:00:00"/>
    <n v="2"/>
    <x v="41"/>
    <m/>
    <x v="31"/>
    <m/>
    <n v="6560"/>
    <m/>
    <x v="2"/>
    <x v="1"/>
    <s v="Нет"/>
    <s v="Нет"/>
    <n v="1"/>
    <m/>
  </r>
  <r>
    <s v="16.06.2025"/>
    <s v="Заявка на разработку изделия 000026432 от 16.06.2025 0:00:00"/>
    <n v="1"/>
    <x v="42"/>
    <m/>
    <x v="30"/>
    <m/>
    <n v="8640"/>
    <m/>
    <x v="2"/>
    <x v="15"/>
    <s v="Нет"/>
    <s v="Нет"/>
    <n v="1"/>
    <m/>
  </r>
  <r>
    <s v="16.06.2025"/>
    <s v="Заявка на разработку изделия 000026432 от 16.06.2025 0:00:00"/>
    <n v="2"/>
    <x v="42"/>
    <m/>
    <x v="31"/>
    <m/>
    <n v="9880"/>
    <m/>
    <x v="2"/>
    <x v="15"/>
    <s v="Нет"/>
    <s v="Нет"/>
    <n v="1"/>
    <m/>
  </r>
  <r>
    <s v="16.06.2025"/>
    <s v="Заявка на разработку изделия 000026436 от 16.06.2025 0:00:00"/>
    <n v="1"/>
    <x v="43"/>
    <m/>
    <x v="30"/>
    <m/>
    <n v="6800"/>
    <m/>
    <x v="2"/>
    <x v="16"/>
    <s v="Нет"/>
    <s v="Нет"/>
    <n v="1"/>
    <m/>
  </r>
  <r>
    <s v="16.06.2025"/>
    <s v="Заявка на разработку изделия 000026436 от 16.06.2025 0:00:00"/>
    <n v="2"/>
    <x v="43"/>
    <m/>
    <x v="31"/>
    <m/>
    <n v="7810"/>
    <m/>
    <x v="2"/>
    <x v="16"/>
    <s v="Нет"/>
    <s v="Нет"/>
    <n v="1"/>
    <m/>
  </r>
  <r>
    <s v="16.06.2025"/>
    <s v="Заявка на разработку изделия 000026412 от 16.06.2025 0:00:00"/>
    <n v="1"/>
    <x v="44"/>
    <m/>
    <x v="30"/>
    <m/>
    <n v="1780"/>
    <m/>
    <x v="2"/>
    <x v="3"/>
    <s v="Нет"/>
    <s v="Нет"/>
    <n v="1"/>
    <m/>
  </r>
  <r>
    <s v="16.06.2025"/>
    <s v="Заявка на разработку изделия 000026412 от 16.06.2025 0:00:00"/>
    <n v="2"/>
    <x v="44"/>
    <m/>
    <x v="31"/>
    <m/>
    <n v="1960"/>
    <m/>
    <x v="2"/>
    <x v="3"/>
    <s v="Нет"/>
    <s v="Нет"/>
    <n v="1"/>
    <m/>
  </r>
  <r>
    <s v="16.06.2025"/>
    <s v="Заявка на разработку изделия 000026413 от 16.06.2025 0:00:00"/>
    <n v="1"/>
    <x v="45"/>
    <m/>
    <x v="30"/>
    <m/>
    <n v="1780"/>
    <m/>
    <x v="2"/>
    <x v="3"/>
    <s v="Нет"/>
    <s v="Нет"/>
    <n v="1"/>
    <m/>
  </r>
  <r>
    <s v="16.06.2025"/>
    <s v="Заявка на разработку изделия 000026413 от 16.06.2025 0:00:00"/>
    <n v="2"/>
    <x v="45"/>
    <m/>
    <x v="31"/>
    <m/>
    <n v="1960"/>
    <m/>
    <x v="2"/>
    <x v="3"/>
    <s v="Нет"/>
    <s v="Нет"/>
    <n v="1"/>
    <m/>
  </r>
  <r>
    <s v="16.06.2025"/>
    <s v="Заявка на разработку изделия 000026402 от 16.06.2025 0:00:00"/>
    <n v="1"/>
    <x v="46"/>
    <m/>
    <x v="30"/>
    <m/>
    <n v="2960"/>
    <m/>
    <x v="2"/>
    <x v="14"/>
    <s v="Нет"/>
    <s v="Нет"/>
    <n v="1"/>
    <m/>
  </r>
  <r>
    <s v="16.06.2025"/>
    <s v="Заявка на разработку изделия 000026402 от 16.06.2025 0:00:00"/>
    <n v="2"/>
    <x v="46"/>
    <m/>
    <x v="31"/>
    <m/>
    <n v="3270"/>
    <m/>
    <x v="2"/>
    <x v="14"/>
    <s v="Нет"/>
    <s v="Нет"/>
    <n v="1"/>
    <m/>
  </r>
  <r>
    <s v="16.06.2025"/>
    <s v="Заявка на разработку изделия 000026408 от 16.06.2025 0:00:00"/>
    <n v="1"/>
    <x v="47"/>
    <m/>
    <x v="30"/>
    <m/>
    <n v="1710"/>
    <m/>
    <x v="2"/>
    <x v="17"/>
    <s v="Нет"/>
    <s v="Нет"/>
    <n v="1"/>
    <m/>
  </r>
  <r>
    <s v="16.06.2025"/>
    <s v="Заявка на разработку изделия 000026408 от 16.06.2025 0:00:00"/>
    <n v="2"/>
    <x v="47"/>
    <m/>
    <x v="31"/>
    <m/>
    <n v="1880"/>
    <m/>
    <x v="2"/>
    <x v="17"/>
    <s v="Нет"/>
    <s v="Нет"/>
    <n v="1"/>
    <m/>
  </r>
  <r>
    <s v="16.06.2025"/>
    <s v="Заявка на разработку изделия 000026409 от 16.06.2025 0:00:00"/>
    <n v="1"/>
    <x v="48"/>
    <m/>
    <x v="30"/>
    <m/>
    <n v="1710"/>
    <m/>
    <x v="2"/>
    <x v="17"/>
    <s v="Нет"/>
    <s v="Нет"/>
    <n v="1"/>
    <m/>
  </r>
  <r>
    <s v="16.06.2025"/>
    <s v="Заявка на разработку изделия 000026409 от 16.06.2025 0:00:00"/>
    <n v="2"/>
    <x v="48"/>
    <m/>
    <x v="31"/>
    <m/>
    <n v="1880"/>
    <m/>
    <x v="2"/>
    <x v="17"/>
    <s v="Нет"/>
    <s v="Нет"/>
    <n v="1"/>
    <m/>
  </r>
  <r>
    <s v="16.06.2025"/>
    <s v="Заявка на разработку изделия 000026403 от 16.06.2025 0:00:00"/>
    <n v="1"/>
    <x v="49"/>
    <m/>
    <x v="30"/>
    <m/>
    <n v="2860"/>
    <m/>
    <x v="2"/>
    <x v="18"/>
    <s v="Нет"/>
    <s v="Нет"/>
    <n v="1"/>
    <m/>
  </r>
  <r>
    <s v="16.06.2025"/>
    <s v="Заявка на разработку изделия 000026403 от 16.06.2025 0:00:00"/>
    <n v="2"/>
    <x v="49"/>
    <m/>
    <x v="31"/>
    <m/>
    <n v="3210"/>
    <m/>
    <x v="2"/>
    <x v="18"/>
    <s v="Нет"/>
    <s v="Нет"/>
    <n v="1"/>
    <m/>
  </r>
  <r>
    <s v="16.06.2025"/>
    <s v="Заявка на разработку изделия 000026418 от 16.06.2025 0:00:00"/>
    <n v="1"/>
    <x v="50"/>
    <m/>
    <x v="30"/>
    <m/>
    <n v="1710"/>
    <m/>
    <x v="2"/>
    <x v="3"/>
    <s v="Нет"/>
    <s v="Нет"/>
    <n v="1"/>
    <m/>
  </r>
  <r>
    <s v="16.06.2025"/>
    <s v="Заявка на разработку изделия 000026418 от 16.06.2025 0:00:00"/>
    <n v="2"/>
    <x v="50"/>
    <m/>
    <x v="31"/>
    <m/>
    <n v="1880"/>
    <m/>
    <x v="2"/>
    <x v="3"/>
    <s v="Нет"/>
    <s v="Нет"/>
    <n v="1"/>
    <m/>
  </r>
  <r>
    <s v="16.06.2025"/>
    <s v="Заявка на разработку изделия 000026414 от 16.06.2025 0:00:00"/>
    <n v="1"/>
    <x v="51"/>
    <m/>
    <x v="30"/>
    <m/>
    <n v="1780"/>
    <m/>
    <x v="2"/>
    <x v="3"/>
    <s v="Нет"/>
    <s v="Нет"/>
    <n v="1"/>
    <m/>
  </r>
  <r>
    <s v="16.06.2025"/>
    <s v="Заявка на разработку изделия 000026414 от 16.06.2025 0:00:00"/>
    <n v="2"/>
    <x v="51"/>
    <m/>
    <x v="31"/>
    <m/>
    <n v="1960"/>
    <m/>
    <x v="2"/>
    <x v="3"/>
    <s v="Нет"/>
    <s v="Нет"/>
    <n v="1"/>
    <m/>
  </r>
  <r>
    <s v="16.06.2025"/>
    <s v="Заявка на разработку изделия 000026410 от 16.06.2025 0:00:00"/>
    <n v="1"/>
    <x v="52"/>
    <m/>
    <x v="30"/>
    <m/>
    <n v="1710"/>
    <m/>
    <x v="2"/>
    <x v="19"/>
    <s v="Нет"/>
    <s v="Нет"/>
    <n v="1"/>
    <m/>
  </r>
  <r>
    <s v="16.06.2025"/>
    <s v="Заявка на разработку изделия 000026410 от 16.06.2025 0:00:00"/>
    <n v="2"/>
    <x v="52"/>
    <m/>
    <x v="31"/>
    <m/>
    <n v="1880"/>
    <m/>
    <x v="2"/>
    <x v="19"/>
    <s v="Нет"/>
    <s v="Нет"/>
    <n v="1"/>
    <m/>
  </r>
  <r>
    <s v="16.06.2025"/>
    <s v="Заявка на разработку изделия 000026416 от 16.06.2025 0:00:00"/>
    <n v="1"/>
    <x v="53"/>
    <m/>
    <x v="30"/>
    <m/>
    <n v="1940"/>
    <m/>
    <x v="2"/>
    <x v="20"/>
    <s v="Нет"/>
    <s v="Нет"/>
    <n v="1"/>
    <m/>
  </r>
  <r>
    <s v="16.06.2025"/>
    <s v="Заявка на разработку изделия 000026416 от 16.06.2025 0:00:00"/>
    <n v="2"/>
    <x v="53"/>
    <m/>
    <x v="31"/>
    <m/>
    <n v="2170"/>
    <m/>
    <x v="2"/>
    <x v="20"/>
    <s v="Нет"/>
    <s v="Нет"/>
    <n v="1"/>
    <m/>
  </r>
  <r>
    <s v="16.06.2025"/>
    <s v="Заявка на разработку изделия 000026411 от 16.06.2025 0:00:00"/>
    <n v="1"/>
    <x v="54"/>
    <m/>
    <x v="30"/>
    <m/>
    <n v="2120"/>
    <m/>
    <x v="2"/>
    <x v="21"/>
    <s v="Нет"/>
    <s v="Нет"/>
    <n v="1"/>
    <m/>
  </r>
  <r>
    <s v="16.06.2025"/>
    <s v="Заявка на разработку изделия 000026411 от 16.06.2025 0:00:00"/>
    <n v="2"/>
    <x v="54"/>
    <m/>
    <x v="31"/>
    <m/>
    <n v="2320"/>
    <m/>
    <x v="2"/>
    <x v="21"/>
    <s v="Нет"/>
    <s v="Нет"/>
    <n v="1"/>
    <m/>
  </r>
  <r>
    <s v="16.06.2025"/>
    <s v="Заявка на разработку изделия 000026405 от 16.06.2025 0:00:00"/>
    <n v="1"/>
    <x v="55"/>
    <m/>
    <x v="30"/>
    <m/>
    <n v="2860"/>
    <m/>
    <x v="2"/>
    <x v="18"/>
    <s v="Нет"/>
    <s v="Нет"/>
    <n v="1"/>
    <m/>
  </r>
  <r>
    <s v="16.06.2025"/>
    <s v="Заявка на разработку изделия 000026405 от 16.06.2025 0:00:00"/>
    <n v="2"/>
    <x v="55"/>
    <m/>
    <x v="31"/>
    <m/>
    <n v="3210"/>
    <m/>
    <x v="2"/>
    <x v="18"/>
    <s v="Нет"/>
    <s v="Нет"/>
    <n v="1"/>
    <m/>
  </r>
  <r>
    <s v="16.06.2025"/>
    <s v="Заявка на разработку изделия 000026386 от 16.06.2025 0:00:00"/>
    <n v="1"/>
    <x v="56"/>
    <m/>
    <x v="30"/>
    <m/>
    <n v="3196.8"/>
    <m/>
    <x v="2"/>
    <x v="10"/>
    <s v="Нет"/>
    <s v="Нет"/>
    <n v="1"/>
    <m/>
  </r>
  <r>
    <s v="16.06.2025"/>
    <s v="Заявка на разработку изделия 000026386 от 16.06.2025 0:00:00"/>
    <n v="2"/>
    <x v="56"/>
    <m/>
    <x v="31"/>
    <m/>
    <n v="3553.2"/>
    <m/>
    <x v="2"/>
    <x v="10"/>
    <s v="Нет"/>
    <s v="Нет"/>
    <n v="1"/>
    <m/>
  </r>
  <r>
    <s v="16.06.2025"/>
    <s v="Заявка на разработку изделия 000026387 от 16.06.2025 0:00:00"/>
    <n v="1"/>
    <x v="57"/>
    <m/>
    <x v="30"/>
    <m/>
    <n v="3304.8"/>
    <m/>
    <x v="2"/>
    <x v="10"/>
    <s v="Нет"/>
    <s v="Нет"/>
    <n v="1"/>
    <m/>
  </r>
  <r>
    <s v="16.06.2025"/>
    <s v="Заявка на разработку изделия 000026387 от 16.06.2025 0:00:00"/>
    <n v="2"/>
    <x v="57"/>
    <m/>
    <x v="31"/>
    <m/>
    <n v="3693.6"/>
    <m/>
    <x v="2"/>
    <x v="10"/>
    <s v="Нет"/>
    <s v="Нет"/>
    <n v="1"/>
    <m/>
  </r>
  <r>
    <s v="16.06.2025"/>
    <s v="Заявка на разработку изделия 000026415 от 16.06.2025 0:00:00"/>
    <n v="1"/>
    <x v="58"/>
    <m/>
    <x v="30"/>
    <m/>
    <n v="2960"/>
    <m/>
    <x v="2"/>
    <x v="14"/>
    <s v="Нет"/>
    <s v="Нет"/>
    <n v="1"/>
    <m/>
  </r>
  <r>
    <s v="16.06.2025"/>
    <s v="Заявка на разработку изделия 000026415 от 16.06.2025 0:00:00"/>
    <n v="2"/>
    <x v="58"/>
    <m/>
    <x v="31"/>
    <m/>
    <n v="3270"/>
    <m/>
    <x v="2"/>
    <x v="14"/>
    <s v="Нет"/>
    <s v="Нет"/>
    <n v="1"/>
    <m/>
  </r>
  <r>
    <s v="16.06.2025"/>
    <s v="Заявка на разработку изделия 000026381 от 16.06.2025 0:00:00"/>
    <n v="1"/>
    <x v="59"/>
    <m/>
    <x v="30"/>
    <m/>
    <n v="2870"/>
    <m/>
    <x v="2"/>
    <x v="22"/>
    <s v="Нет"/>
    <s v="Нет"/>
    <n v="1"/>
    <m/>
  </r>
  <r>
    <s v="16.06.2025"/>
    <s v="Заявка на разработку изделия 000026381 от 16.06.2025 0:00:00"/>
    <n v="2"/>
    <x v="59"/>
    <m/>
    <x v="31"/>
    <m/>
    <n v="3200"/>
    <m/>
    <x v="2"/>
    <x v="22"/>
    <s v="Нет"/>
    <s v="Нет"/>
    <n v="1"/>
    <m/>
  </r>
  <r>
    <s v="16.06.2025"/>
    <s v="Заявка на разработку изделия 000026417 от 16.06.2025 0:00:00"/>
    <n v="1"/>
    <x v="60"/>
    <m/>
    <x v="30"/>
    <m/>
    <n v="2170"/>
    <m/>
    <x v="2"/>
    <x v="23"/>
    <s v="Нет"/>
    <s v="Нет"/>
    <n v="1"/>
    <m/>
  </r>
  <r>
    <s v="16.06.2025"/>
    <s v="Заявка на разработку изделия 000026417 от 16.06.2025 0:00:00"/>
    <n v="2"/>
    <x v="60"/>
    <m/>
    <x v="31"/>
    <m/>
    <n v="2400"/>
    <m/>
    <x v="2"/>
    <x v="23"/>
    <s v="Нет"/>
    <s v="Нет"/>
    <n v="1"/>
    <m/>
  </r>
  <r>
    <s v="16.06.2025"/>
    <s v="Заявка на разработку изделия 000026422 от 16.06.2025 0:00:00"/>
    <n v="1"/>
    <x v="61"/>
    <m/>
    <x v="30"/>
    <m/>
    <n v="5690"/>
    <m/>
    <x v="2"/>
    <x v="24"/>
    <s v="Нет"/>
    <s v="Нет"/>
    <n v="1"/>
    <m/>
  </r>
  <r>
    <s v="16.06.2025"/>
    <s v="Заявка на разработку изделия 000026422 от 16.06.2025 0:00:00"/>
    <n v="2"/>
    <x v="61"/>
    <m/>
    <x v="31"/>
    <m/>
    <n v="6420"/>
    <m/>
    <x v="2"/>
    <x v="24"/>
    <s v="Нет"/>
    <s v="Нет"/>
    <n v="1"/>
    <m/>
  </r>
  <r>
    <s v="16.06.2025"/>
    <s v="Заявка на разработку изделия 000026373 от 16.06.2025 0:00:00"/>
    <n v="1"/>
    <x v="62"/>
    <m/>
    <x v="30"/>
    <m/>
    <n v="2980"/>
    <m/>
    <x v="2"/>
    <x v="9"/>
    <s v="Нет"/>
    <s v="Нет"/>
    <n v="1"/>
    <m/>
  </r>
  <r>
    <s v="16.06.2025"/>
    <s v="Заявка на разработку изделия 000026373 от 16.06.2025 0:00:00"/>
    <n v="2"/>
    <x v="62"/>
    <m/>
    <x v="31"/>
    <m/>
    <n v="3420"/>
    <m/>
    <x v="2"/>
    <x v="9"/>
    <s v="Нет"/>
    <s v="Нет"/>
    <n v="1"/>
    <m/>
  </r>
  <r>
    <s v="16.06.2025"/>
    <s v="Заявка на разработку изделия 000026371 от 16.06.2025 0:00:00"/>
    <n v="1"/>
    <x v="63"/>
    <m/>
    <x v="30"/>
    <m/>
    <n v="3200"/>
    <m/>
    <x v="2"/>
    <x v="8"/>
    <s v="Нет"/>
    <s v="Нет"/>
    <n v="1"/>
    <m/>
  </r>
  <r>
    <s v="16.06.2025"/>
    <s v="Заявка на разработку изделия 000026371 от 16.06.2025 0:00:00"/>
    <n v="2"/>
    <x v="63"/>
    <m/>
    <x v="31"/>
    <m/>
    <n v="3630"/>
    <m/>
    <x v="2"/>
    <x v="8"/>
    <s v="Нет"/>
    <s v="Нет"/>
    <n v="1"/>
    <m/>
  </r>
  <r>
    <s v="16.06.2025"/>
    <s v="Заявка на разработку изделия 000026392 от 16.06.2025 0:00:00"/>
    <n v="1"/>
    <x v="64"/>
    <m/>
    <x v="30"/>
    <m/>
    <n v="3456"/>
    <m/>
    <x v="2"/>
    <x v="3"/>
    <s v="Нет"/>
    <s v="Нет"/>
    <n v="1"/>
    <m/>
  </r>
  <r>
    <s v="16.06.2025"/>
    <s v="Заявка на разработку изделия 000026392 от 16.06.2025 0:00:00"/>
    <n v="2"/>
    <x v="64"/>
    <m/>
    <x v="31"/>
    <m/>
    <n v="3920.4"/>
    <m/>
    <x v="2"/>
    <x v="3"/>
    <s v="Нет"/>
    <s v="Нет"/>
    <n v="1"/>
    <m/>
  </r>
  <r>
    <s v="16.06.2025"/>
    <s v="Заявка на разработку изделия 000026427 от 16.06.2025 0:00:00"/>
    <n v="1"/>
    <x v="65"/>
    <m/>
    <x v="30"/>
    <m/>
    <n v="6210"/>
    <m/>
    <x v="2"/>
    <x v="1"/>
    <s v="Нет"/>
    <s v="Нет"/>
    <n v="1"/>
    <m/>
  </r>
  <r>
    <s v="16.06.2025"/>
    <s v="Заявка на разработку изделия 000026427 от 16.06.2025 0:00:00"/>
    <n v="2"/>
    <x v="65"/>
    <m/>
    <x v="31"/>
    <m/>
    <n v="7084.8"/>
    <m/>
    <x v="2"/>
    <x v="1"/>
    <s v="Нет"/>
    <s v="Нет"/>
    <n v="1"/>
    <m/>
  </r>
  <r>
    <s v="16.06.2025"/>
    <s v="Заявка на разработку изделия 000026431 от 16.06.2025 0:00:00"/>
    <n v="1"/>
    <x v="66"/>
    <m/>
    <x v="30"/>
    <m/>
    <n v="7905.6"/>
    <m/>
    <x v="2"/>
    <x v="1"/>
    <s v="Нет"/>
    <s v="Нет"/>
    <n v="1"/>
    <m/>
  </r>
  <r>
    <s v="16.06.2025"/>
    <s v="Заявка на разработку изделия 000026431 от 16.06.2025 0:00:00"/>
    <n v="2"/>
    <x v="66"/>
    <m/>
    <x v="31"/>
    <m/>
    <n v="9007.2000000000007"/>
    <m/>
    <x v="2"/>
    <x v="1"/>
    <s v="Нет"/>
    <s v="Нет"/>
    <n v="1"/>
    <m/>
  </r>
  <r>
    <s v="16.06.2025"/>
    <s v="Заявка на разработку изделия 000026435 от 16.06.2025 0:00:00"/>
    <n v="1"/>
    <x v="67"/>
    <m/>
    <x v="30"/>
    <m/>
    <n v="8078.4"/>
    <m/>
    <x v="2"/>
    <x v="15"/>
    <s v="Нет"/>
    <s v="Нет"/>
    <n v="1"/>
    <m/>
  </r>
  <r>
    <s v="16.06.2025"/>
    <s v="Заявка на разработку изделия 000026435 от 16.06.2025 0:00:00"/>
    <n v="2"/>
    <x v="67"/>
    <m/>
    <x v="31"/>
    <m/>
    <n v="9169.2000000000007"/>
    <m/>
    <x v="2"/>
    <x v="15"/>
    <s v="Нет"/>
    <s v="Нет"/>
    <n v="1"/>
    <m/>
  </r>
  <r>
    <s v="16.06.2025"/>
    <s v="Заявка на разработку изделия 000026424 от 16.06.2025 0:00:00"/>
    <n v="1"/>
    <x v="68"/>
    <m/>
    <x v="30"/>
    <m/>
    <n v="7549.2"/>
    <m/>
    <x v="2"/>
    <x v="1"/>
    <s v="Нет"/>
    <s v="Нет"/>
    <n v="1"/>
    <m/>
  </r>
  <r>
    <s v="16.06.2025"/>
    <s v="Заявка на разработку изделия 000026424 от 16.06.2025 0:00:00"/>
    <n v="2"/>
    <x v="68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5 от 16.06.2025 0:00:00"/>
    <n v="1"/>
    <x v="69"/>
    <m/>
    <x v="30"/>
    <m/>
    <n v="7549.2"/>
    <m/>
    <x v="2"/>
    <x v="1"/>
    <s v="Нет"/>
    <s v="Нет"/>
    <n v="1"/>
    <m/>
  </r>
  <r>
    <s v="16.06.2025"/>
    <s v="Заявка на разработку изделия 000026425 от 16.06.2025 0:00:00"/>
    <n v="2"/>
    <x v="69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0 от 16.06.2025 0:00:00"/>
    <n v="1"/>
    <x v="70"/>
    <m/>
    <x v="30"/>
    <m/>
    <n v="5637.6"/>
    <m/>
    <x v="2"/>
    <x v="13"/>
    <s v="Нет"/>
    <s v="Нет"/>
    <n v="1"/>
    <m/>
  </r>
  <r>
    <s v="16.06.2025"/>
    <s v="Заявка на разработку изделия 000026420 от 16.06.2025 0:00:00"/>
    <n v="2"/>
    <x v="70"/>
    <m/>
    <x v="31"/>
    <m/>
    <n v="6404.4"/>
    <m/>
    <x v="2"/>
    <x v="13"/>
    <s v="Нет"/>
    <s v="Нет"/>
    <n v="1"/>
    <m/>
  </r>
  <r>
    <s v="16.06.2025"/>
    <s v="Заявка на разработку изделия 000026437 от 16.06.2025 0:00:00"/>
    <n v="75"/>
    <x v="71"/>
    <m/>
    <x v="33"/>
    <m/>
    <n v="290"/>
    <m/>
    <x v="1"/>
    <x v="0"/>
    <s v="Нет"/>
    <s v="Нет"/>
    <m/>
    <m/>
  </r>
  <r>
    <s v="16.06.2025"/>
    <s v="Заявка на разработку изделия 000026437 от 16.06.2025 0:00:00"/>
    <n v="63"/>
    <x v="71"/>
    <m/>
    <x v="34"/>
    <m/>
    <n v="13990"/>
    <m/>
    <x v="1"/>
    <x v="0"/>
    <s v="Нет"/>
    <s v="Нет"/>
    <m/>
    <m/>
  </r>
  <r>
    <s v="16.06.2025"/>
    <s v="Заявка на разработку изделия 000026437 от 16.06.2025 0:00:00"/>
    <n v="20"/>
    <x v="71"/>
    <m/>
    <x v="35"/>
    <m/>
    <n v="5520"/>
    <m/>
    <x v="1"/>
    <x v="0"/>
    <s v="Нет"/>
    <s v="Нет"/>
    <m/>
    <m/>
  </r>
  <r>
    <s v="16.06.2025"/>
    <s v="Заявка на разработку изделия 000026437 от 16.06.2025 0:00:00"/>
    <n v="45"/>
    <x v="71"/>
    <m/>
    <x v="36"/>
    <m/>
    <n v="11370"/>
    <m/>
    <x v="1"/>
    <x v="0"/>
    <s v="Нет"/>
    <s v="Нет"/>
    <m/>
    <m/>
  </r>
  <r>
    <s v="16.06.2025"/>
    <s v="Заявка на разработку изделия 000026437 от 16.06.2025 0:00:00"/>
    <n v="1"/>
    <x v="71"/>
    <m/>
    <x v="37"/>
    <m/>
    <n v="550"/>
    <m/>
    <x v="1"/>
    <x v="0"/>
    <s v="Нет"/>
    <s v="Нет"/>
    <m/>
    <m/>
  </r>
  <r>
    <s v="16.06.2025"/>
    <s v="Заявка на разработку изделия 000026437 от 16.06.2025 0:00:00"/>
    <n v="2"/>
    <x v="71"/>
    <m/>
    <x v="38"/>
    <m/>
    <n v="460"/>
    <m/>
    <x v="1"/>
    <x v="0"/>
    <s v="Нет"/>
    <s v="Нет"/>
    <m/>
    <m/>
  </r>
  <r>
    <s v="16.06.2025"/>
    <s v="Заявка на разработку изделия 000026437 от 16.06.2025 0:00:00"/>
    <n v="3"/>
    <x v="71"/>
    <m/>
    <x v="39"/>
    <m/>
    <n v="560"/>
    <m/>
    <x v="1"/>
    <x v="0"/>
    <s v="Нет"/>
    <s v="Нет"/>
    <m/>
    <m/>
  </r>
  <r>
    <s v="16.06.2025"/>
    <s v="Заявка на разработку изделия 000026437 от 16.06.2025 0:00:00"/>
    <n v="4"/>
    <x v="71"/>
    <m/>
    <x v="40"/>
    <m/>
    <n v="810"/>
    <m/>
    <x v="1"/>
    <x v="0"/>
    <s v="Нет"/>
    <s v="Нет"/>
    <m/>
    <m/>
  </r>
  <r>
    <s v="16.06.2025"/>
    <s v="Заявка на разработку изделия 000026437 от 16.06.2025 0:00:00"/>
    <n v="5"/>
    <x v="71"/>
    <m/>
    <x v="41"/>
    <m/>
    <n v="700"/>
    <m/>
    <x v="1"/>
    <x v="0"/>
    <s v="Нет"/>
    <s v="Нет"/>
    <m/>
    <m/>
  </r>
  <r>
    <s v="16.06.2025"/>
    <s v="Заявка на разработку изделия 000026437 от 16.06.2025 0:00:00"/>
    <n v="6"/>
    <x v="71"/>
    <m/>
    <x v="42"/>
    <m/>
    <n v="750"/>
    <m/>
    <x v="1"/>
    <x v="0"/>
    <s v="Нет"/>
    <s v="Нет"/>
    <m/>
    <m/>
  </r>
  <r>
    <s v="16.06.2025"/>
    <s v="Заявка на разработку изделия 000026437 от 16.06.2025 0:00:00"/>
    <n v="7"/>
    <x v="71"/>
    <m/>
    <x v="43"/>
    <m/>
    <n v="950"/>
    <m/>
    <x v="1"/>
    <x v="0"/>
    <s v="Нет"/>
    <s v="Нет"/>
    <m/>
    <m/>
  </r>
  <r>
    <s v="16.06.2025"/>
    <s v="Заявка на разработку изделия 000026437 от 16.06.2025 0:00:00"/>
    <n v="8"/>
    <x v="71"/>
    <m/>
    <x v="44"/>
    <m/>
    <n v="750"/>
    <m/>
    <x v="1"/>
    <x v="0"/>
    <s v="Нет"/>
    <s v="Нет"/>
    <m/>
    <m/>
  </r>
  <r>
    <s v="16.06.2025"/>
    <s v="Заявка на разработку изделия 000026437 от 16.06.2025 0:00:00"/>
    <n v="9"/>
    <x v="71"/>
    <m/>
    <x v="45"/>
    <m/>
    <n v="650"/>
    <m/>
    <x v="1"/>
    <x v="0"/>
    <s v="Нет"/>
    <s v="Нет"/>
    <m/>
    <m/>
  </r>
  <r>
    <s v="16.06.2025"/>
    <s v="Заявка на разработку изделия 000026437 от 16.06.2025 0:00:00"/>
    <n v="10"/>
    <x v="71"/>
    <m/>
    <x v="46"/>
    <m/>
    <n v="850"/>
    <m/>
    <x v="1"/>
    <x v="0"/>
    <s v="Нет"/>
    <s v="Нет"/>
    <m/>
    <m/>
  </r>
  <r>
    <s v="16.06.2025"/>
    <s v="Заявка на разработку изделия 000026437 от 16.06.2025 0:00:00"/>
    <n v="14"/>
    <x v="71"/>
    <m/>
    <x v="47"/>
    <m/>
    <n v="340"/>
    <m/>
    <x v="1"/>
    <x v="0"/>
    <s v="Нет"/>
    <s v="Нет"/>
    <m/>
    <m/>
  </r>
  <r>
    <s v="16.06.2025"/>
    <s v="Заявка на разработку изделия 000026437 от 16.06.2025 0:00:00"/>
    <n v="15"/>
    <x v="71"/>
    <m/>
    <x v="48"/>
    <m/>
    <n v="760"/>
    <m/>
    <x v="1"/>
    <x v="0"/>
    <s v="Нет"/>
    <s v="Нет"/>
    <m/>
    <m/>
  </r>
  <r>
    <s v="16.06.2025"/>
    <s v="Заявка на разработку изделия 000026437 от 16.06.2025 0:00:00"/>
    <n v="16"/>
    <x v="71"/>
    <m/>
    <x v="49"/>
    <m/>
    <n v="600"/>
    <m/>
    <x v="1"/>
    <x v="0"/>
    <s v="Нет"/>
    <s v="Нет"/>
    <m/>
    <m/>
  </r>
  <r>
    <s v="16.06.2025"/>
    <s v="Заявка на разработку изделия 000026437 от 16.06.2025 0:00:00"/>
    <n v="11"/>
    <x v="71"/>
    <m/>
    <x v="50"/>
    <m/>
    <n v="740"/>
    <m/>
    <x v="1"/>
    <x v="0"/>
    <s v="Нет"/>
    <s v="Нет"/>
    <m/>
    <m/>
  </r>
  <r>
    <s v="16.06.2025"/>
    <s v="Заявка на разработку изделия 000026437 от 16.06.2025 0:00:00"/>
    <n v="12"/>
    <x v="71"/>
    <m/>
    <x v="51"/>
    <m/>
    <n v="940"/>
    <m/>
    <x v="1"/>
    <x v="0"/>
    <s v="Нет"/>
    <s v="Нет"/>
    <m/>
    <m/>
  </r>
  <r>
    <s v="16.06.2025"/>
    <s v="Заявка на разработку изделия 000026437 от 16.06.2025 0:00:00"/>
    <n v="13"/>
    <x v="71"/>
    <m/>
    <x v="52"/>
    <m/>
    <n v="1130"/>
    <m/>
    <x v="1"/>
    <x v="0"/>
    <s v="Нет"/>
    <s v="Нет"/>
    <m/>
    <m/>
  </r>
  <r>
    <s v="16.06.2025"/>
    <s v="Заявка на разработку изделия 000026437 от 16.06.2025 0:00:00"/>
    <n v="30"/>
    <x v="71"/>
    <m/>
    <x v="53"/>
    <m/>
    <n v="4920"/>
    <m/>
    <x v="1"/>
    <x v="0"/>
    <s v="Нет"/>
    <s v="Нет"/>
    <m/>
    <m/>
  </r>
  <r>
    <s v="16.06.2025"/>
    <s v="Заявка на разработку изделия 000026437 от 16.06.2025 0:00:00"/>
    <n v="31"/>
    <x v="71"/>
    <m/>
    <x v="54"/>
    <m/>
    <n v="5530"/>
    <m/>
    <x v="1"/>
    <x v="0"/>
    <s v="Нет"/>
    <s v="Нет"/>
    <m/>
    <m/>
  </r>
  <r>
    <s v="16.06.2025"/>
    <s v="Заявка на разработку изделия 000026437 от 16.06.2025 0:00:00"/>
    <n v="32"/>
    <x v="71"/>
    <m/>
    <x v="55"/>
    <m/>
    <n v="6130"/>
    <m/>
    <x v="1"/>
    <x v="0"/>
    <s v="Нет"/>
    <s v="Нет"/>
    <m/>
    <m/>
  </r>
  <r>
    <s v="16.06.2025"/>
    <s v="Заявка на разработку изделия 000026437 от 16.06.2025 0:00:00"/>
    <n v="46"/>
    <x v="71"/>
    <m/>
    <x v="56"/>
    <m/>
    <n v="820"/>
    <m/>
    <x v="1"/>
    <x v="0"/>
    <s v="Нет"/>
    <s v="Нет"/>
    <m/>
    <m/>
  </r>
  <r>
    <s v="16.06.2025"/>
    <s v="Заявка на разработку изделия 000026437 от 16.06.2025 0:00:00"/>
    <n v="53"/>
    <x v="71"/>
    <m/>
    <x v="57"/>
    <m/>
    <n v="450"/>
    <m/>
    <x v="1"/>
    <x v="0"/>
    <s v="Нет"/>
    <s v="Нет"/>
    <m/>
    <m/>
  </r>
  <r>
    <s v="16.06.2025"/>
    <s v="Заявка на разработку изделия 000026437 от 16.06.2025 0:00:00"/>
    <n v="49"/>
    <x v="71"/>
    <m/>
    <x v="58"/>
    <m/>
    <n v="1300"/>
    <m/>
    <x v="1"/>
    <x v="0"/>
    <s v="Нет"/>
    <s v="Нет"/>
    <m/>
    <m/>
  </r>
  <r>
    <s v="16.06.2025"/>
    <s v="Заявка на разработку изделия 000026437 от 16.06.2025 0:00:00"/>
    <n v="58"/>
    <x v="71"/>
    <m/>
    <x v="59"/>
    <m/>
    <n v="3740"/>
    <m/>
    <x v="1"/>
    <x v="0"/>
    <s v="Нет"/>
    <s v="Нет"/>
    <m/>
    <m/>
  </r>
  <r>
    <s v="16.06.2025"/>
    <s v="Заявка на разработку изделия 000026437 от 16.06.2025 0:00:00"/>
    <n v="59"/>
    <x v="71"/>
    <m/>
    <x v="60"/>
    <m/>
    <n v="3740"/>
    <m/>
    <x v="1"/>
    <x v="0"/>
    <s v="Нет"/>
    <s v="Нет"/>
    <m/>
    <m/>
  </r>
  <r>
    <s v="16.06.2025"/>
    <s v="Заявка на разработку изделия 000026437 от 16.06.2025 0:00:00"/>
    <n v="60"/>
    <x v="71"/>
    <m/>
    <x v="61"/>
    <m/>
    <n v="5160"/>
    <m/>
    <x v="1"/>
    <x v="0"/>
    <s v="Нет"/>
    <s v="Нет"/>
    <m/>
    <m/>
  </r>
  <r>
    <s v="16.06.2025"/>
    <s v="Заявка на разработку изделия 000026437 от 16.06.2025 0:00:00"/>
    <n v="65"/>
    <x v="71"/>
    <m/>
    <x v="62"/>
    <m/>
    <n v="590"/>
    <m/>
    <x v="1"/>
    <x v="0"/>
    <s v="Нет"/>
    <s v="Нет"/>
    <m/>
    <m/>
  </r>
  <r>
    <s v="16.06.2025"/>
    <s v="Заявка на разработку изделия 000026437 от 16.06.2025 0:00:00"/>
    <n v="77"/>
    <x v="71"/>
    <m/>
    <x v="63"/>
    <m/>
    <n v="0.01"/>
    <m/>
    <x v="1"/>
    <x v="0"/>
    <s v="Нет"/>
    <s v="Нет"/>
    <m/>
    <m/>
  </r>
  <r>
    <s v="16.06.2025"/>
    <s v="Заявка на разработку изделия 000026437 от 16.06.2025 0:00:00"/>
    <n v="78"/>
    <x v="71"/>
    <m/>
    <x v="64"/>
    <m/>
    <n v="0.01"/>
    <m/>
    <x v="1"/>
    <x v="0"/>
    <s v="Нет"/>
    <s v="Нет"/>
    <m/>
    <m/>
  </r>
  <r>
    <s v="16.06.2025"/>
    <s v="Заявка на разработку изделия 000026437 от 16.06.2025 0:00:00"/>
    <n v="79"/>
    <x v="71"/>
    <m/>
    <x v="65"/>
    <m/>
    <n v="0.01"/>
    <m/>
    <x v="1"/>
    <x v="0"/>
    <s v="Нет"/>
    <s v="Нет"/>
    <m/>
    <m/>
  </r>
  <r>
    <s v="16.06.2025"/>
    <s v="Заявка на разработку изделия 000026437 от 16.06.2025 0:00:00"/>
    <n v="80"/>
    <x v="71"/>
    <m/>
    <x v="66"/>
    <m/>
    <n v="0.01"/>
    <m/>
    <x v="1"/>
    <x v="0"/>
    <s v="Нет"/>
    <s v="Нет"/>
    <m/>
    <m/>
  </r>
  <r>
    <s v="16.06.2025"/>
    <s v="Заявка на разработку изделия 000026437 от 16.06.2025 0:00:00"/>
    <n v="69"/>
    <x v="71"/>
    <m/>
    <x v="67"/>
    <m/>
    <n v="0.01"/>
    <m/>
    <x v="1"/>
    <x v="0"/>
    <s v="Нет"/>
    <s v="Нет"/>
    <m/>
    <m/>
  </r>
  <r>
    <s v="16.06.2025"/>
    <s v="Заявка на разработку изделия 000026437 от 16.06.2025 0:00:00"/>
    <n v="70"/>
    <x v="71"/>
    <m/>
    <x v="68"/>
    <m/>
    <n v="0.01"/>
    <m/>
    <x v="1"/>
    <x v="0"/>
    <s v="Нет"/>
    <s v="Нет"/>
    <m/>
    <m/>
  </r>
  <r>
    <s v="16.06.2025"/>
    <s v="Заявка на разработку изделия 000026437 от 16.06.2025 0:00:00"/>
    <n v="71"/>
    <x v="71"/>
    <m/>
    <x v="69"/>
    <m/>
    <n v="0.01"/>
    <m/>
    <x v="1"/>
    <x v="0"/>
    <s v="Нет"/>
    <s v="Нет"/>
    <m/>
    <m/>
  </r>
  <r>
    <s v="16.06.2025"/>
    <s v="Заявка на разработку изделия 000026437 от 16.06.2025 0:00:00"/>
    <n v="68"/>
    <x v="71"/>
    <m/>
    <x v="70"/>
    <m/>
    <n v="30"/>
    <m/>
    <x v="1"/>
    <x v="0"/>
    <s v="Нет"/>
    <s v="Нет"/>
    <m/>
    <m/>
  </r>
  <r>
    <s v="16.06.2025"/>
    <s v="Заявка на разработку изделия 000026437 от 16.06.2025 0:00:00"/>
    <n v="73"/>
    <x v="71"/>
    <m/>
    <x v="71"/>
    <m/>
    <n v="20"/>
    <m/>
    <x v="1"/>
    <x v="0"/>
    <s v="Нет"/>
    <s v="Нет"/>
    <m/>
    <m/>
  </r>
  <r>
    <s v="16.06.2025"/>
    <s v="Заявка на разработку изделия 000026437 от 16.06.2025 0:00:00"/>
    <n v="74"/>
    <x v="71"/>
    <m/>
    <x v="72"/>
    <m/>
    <n v="390"/>
    <m/>
    <x v="1"/>
    <x v="0"/>
    <s v="Нет"/>
    <s v="Нет"/>
    <m/>
    <m/>
  </r>
  <r>
    <s v="16.06.2025"/>
    <s v="Заявка на разработку изделия 000026437 от 16.06.2025 0:00:00"/>
    <n v="76"/>
    <x v="71"/>
    <m/>
    <x v="73"/>
    <m/>
    <n v="10"/>
    <m/>
    <x v="1"/>
    <x v="0"/>
    <s v="Нет"/>
    <s v="Нет"/>
    <m/>
    <m/>
  </r>
  <r>
    <s v="16.06.2025"/>
    <s v="Заявка на разработку изделия 000026437 от 16.06.2025 0:00:00"/>
    <n v="62"/>
    <x v="71"/>
    <m/>
    <x v="74"/>
    <m/>
    <n v="6940"/>
    <m/>
    <x v="1"/>
    <x v="0"/>
    <s v="Нет"/>
    <s v="Нет"/>
    <m/>
    <m/>
  </r>
  <r>
    <s v="16.06.2025"/>
    <s v="Заявка на разработку изделия 000026437 от 16.06.2025 0:00:00"/>
    <n v="28"/>
    <x v="71"/>
    <m/>
    <x v="75"/>
    <m/>
    <n v="5040"/>
    <m/>
    <x v="1"/>
    <x v="0"/>
    <s v="Нет"/>
    <s v="Нет"/>
    <m/>
    <m/>
  </r>
  <r>
    <s v="16.06.2025"/>
    <s v="Заявка на разработку изделия 000026437 от 16.06.2025 0:00:00"/>
    <n v="29"/>
    <x v="71"/>
    <m/>
    <x v="76"/>
    <m/>
    <n v="4140"/>
    <m/>
    <x v="1"/>
    <x v="0"/>
    <s v="Нет"/>
    <s v="Нет"/>
    <m/>
    <m/>
  </r>
  <r>
    <s v="16.06.2025"/>
    <s v="Заявка на разработку изделия 000026437 от 16.06.2025 0:00:00"/>
    <n v="61"/>
    <x v="71"/>
    <m/>
    <x v="77"/>
    <m/>
    <n v="6080"/>
    <m/>
    <x v="1"/>
    <x v="0"/>
    <s v="Нет"/>
    <s v="Нет"/>
    <m/>
    <m/>
  </r>
  <r>
    <s v="16.06.2025"/>
    <s v="Заявка на разработку изделия 000026437 от 16.06.2025 0:00:00"/>
    <n v="54"/>
    <x v="71"/>
    <m/>
    <x v="78"/>
    <m/>
    <n v="620"/>
    <m/>
    <x v="1"/>
    <x v="0"/>
    <s v="Нет"/>
    <s v="Нет"/>
    <m/>
    <m/>
  </r>
  <r>
    <s v="16.06.2025"/>
    <s v="Заявка на разработку изделия 000026437 от 16.06.2025 0:00:00"/>
    <n v="47"/>
    <x v="71"/>
    <m/>
    <x v="79"/>
    <m/>
    <n v="1560"/>
    <m/>
    <x v="1"/>
    <x v="0"/>
    <s v="Нет"/>
    <s v="Нет"/>
    <m/>
    <m/>
  </r>
  <r>
    <s v="16.06.2025"/>
    <s v="Заявка на разработку изделия 000026437 от 16.06.2025 0:00:00"/>
    <n v="50"/>
    <x v="71"/>
    <m/>
    <x v="80"/>
    <m/>
    <n v="1300"/>
    <m/>
    <x v="1"/>
    <x v="0"/>
    <s v="Нет"/>
    <s v="Нет"/>
    <m/>
    <m/>
  </r>
  <r>
    <s v="16.06.2025"/>
    <s v="Заявка на разработку изделия 000026437 от 16.06.2025 0:00:00"/>
    <n v="24"/>
    <x v="71"/>
    <m/>
    <x v="81"/>
    <m/>
    <n v="480"/>
    <m/>
    <x v="1"/>
    <x v="0"/>
    <s v="Нет"/>
    <s v="Нет"/>
    <m/>
    <m/>
  </r>
  <r>
    <s v="16.06.2025"/>
    <s v="Заявка на разработку изделия 000026437 от 16.06.2025 0:00:00"/>
    <n v="26"/>
    <x v="71"/>
    <m/>
    <x v="82"/>
    <m/>
    <n v="370"/>
    <m/>
    <x v="1"/>
    <x v="0"/>
    <s v="Нет"/>
    <s v="Нет"/>
    <m/>
    <m/>
  </r>
  <r>
    <s v="16.06.2025"/>
    <s v="Заявка на разработку изделия 000026437 от 16.06.2025 0:00:00"/>
    <n v="27"/>
    <x v="71"/>
    <m/>
    <x v="83"/>
    <m/>
    <n v="170"/>
    <m/>
    <x v="1"/>
    <x v="0"/>
    <s v="Нет"/>
    <s v="Нет"/>
    <m/>
    <m/>
  </r>
  <r>
    <s v="16.06.2025"/>
    <s v="Заявка на разработку изделия 000026437 от 16.06.2025 0:00:00"/>
    <n v="48"/>
    <x v="71"/>
    <m/>
    <x v="84"/>
    <m/>
    <n v="190"/>
    <m/>
    <x v="1"/>
    <x v="0"/>
    <s v="Нет"/>
    <s v="Нет"/>
    <m/>
    <m/>
  </r>
  <r>
    <s v="16.06.2025"/>
    <s v="Заявка на разработку изделия 000026437 от 16.06.2025 0:00:00"/>
    <n v="52"/>
    <x v="71"/>
    <m/>
    <x v="85"/>
    <m/>
    <n v="200"/>
    <m/>
    <x v="1"/>
    <x v="0"/>
    <s v="Нет"/>
    <s v="Нет"/>
    <m/>
    <m/>
  </r>
  <r>
    <s v="16.06.2025"/>
    <s v="Заявка на разработку изделия 000026437 от 16.06.2025 0:00:00"/>
    <n v="57"/>
    <x v="71"/>
    <m/>
    <x v="86"/>
    <m/>
    <n v="130"/>
    <m/>
    <x v="1"/>
    <x v="0"/>
    <s v="Нет"/>
    <s v="Нет"/>
    <m/>
    <m/>
  </r>
  <r>
    <s v="16.06.2025"/>
    <s v="Заявка на разработку изделия 000026437 от 16.06.2025 0:00:00"/>
    <n v="64"/>
    <x v="71"/>
    <m/>
    <x v="87"/>
    <m/>
    <n v="2290"/>
    <m/>
    <x v="1"/>
    <x v="0"/>
    <s v="Нет"/>
    <s v="Нет"/>
    <m/>
    <m/>
  </r>
  <r>
    <s v="16.06.2025"/>
    <s v="Заявка на разработку изделия 000026437 от 16.06.2025 0:00:00"/>
    <n v="51"/>
    <x v="71"/>
    <m/>
    <x v="88"/>
    <m/>
    <n v="480"/>
    <m/>
    <x v="1"/>
    <x v="0"/>
    <s v="Нет"/>
    <s v="Нет"/>
    <m/>
    <m/>
  </r>
  <r>
    <s v="16.06.2025"/>
    <s v="Заявка на разработку изделия 000026437 от 16.06.2025 0:00:00"/>
    <n v="66"/>
    <x v="71"/>
    <m/>
    <x v="89"/>
    <m/>
    <n v="210"/>
    <m/>
    <x v="1"/>
    <x v="0"/>
    <s v="Нет"/>
    <s v="Нет"/>
    <m/>
    <m/>
  </r>
  <r>
    <s v="16.06.2025"/>
    <s v="Заявка на разработку изделия 000026437 от 16.06.2025 0:00:00"/>
    <n v="19"/>
    <x v="71"/>
    <m/>
    <x v="90"/>
    <m/>
    <n v="280"/>
    <m/>
    <x v="1"/>
    <x v="0"/>
    <s v="Нет"/>
    <s v="Нет"/>
    <m/>
    <m/>
  </r>
  <r>
    <s v="16.06.2025"/>
    <s v="Заявка на разработку изделия 000026437 от 16.06.2025 0:00:00"/>
    <n v="72"/>
    <x v="71"/>
    <m/>
    <x v="91"/>
    <m/>
    <n v="40"/>
    <m/>
    <x v="1"/>
    <x v="0"/>
    <s v="Нет"/>
    <s v="Нет"/>
    <m/>
    <m/>
  </r>
  <r>
    <s v="16.06.2025"/>
    <s v="Заявка на разработку изделия 000026437 от 16.06.2025 0:00:00"/>
    <n v="34"/>
    <x v="71"/>
    <m/>
    <x v="92"/>
    <m/>
    <n v="6330"/>
    <m/>
    <x v="1"/>
    <x v="0"/>
    <s v="Нет"/>
    <s v="Нет"/>
    <m/>
    <m/>
  </r>
  <r>
    <s v="16.06.2025"/>
    <s v="Заявка на разработку изделия 000026437 от 16.06.2025 0:00:00"/>
    <n v="35"/>
    <x v="71"/>
    <m/>
    <x v="93"/>
    <m/>
    <n v="7270"/>
    <m/>
    <x v="1"/>
    <x v="0"/>
    <s v="Нет"/>
    <s v="Нет"/>
    <m/>
    <m/>
  </r>
  <r>
    <s v="16.06.2025"/>
    <s v="Заявка на разработку изделия 000026437 от 16.06.2025 0:00:00"/>
    <n v="36"/>
    <x v="71"/>
    <m/>
    <x v="94"/>
    <m/>
    <n v="7810"/>
    <m/>
    <x v="1"/>
    <x v="0"/>
    <s v="Нет"/>
    <s v="Нет"/>
    <m/>
    <m/>
  </r>
  <r>
    <s v="16.06.2025"/>
    <s v="Заявка на разработку изделия 000026437 от 16.06.2025 0:00:00"/>
    <n v="67"/>
    <x v="71"/>
    <m/>
    <x v="95"/>
    <m/>
    <n v="30"/>
    <m/>
    <x v="1"/>
    <x v="0"/>
    <s v="Нет"/>
    <s v="Нет"/>
    <m/>
    <m/>
  </r>
  <r>
    <s v="16.06.2025"/>
    <s v="Заявка на разработку изделия 000026437 от 16.06.2025 0:00:00"/>
    <n v="25"/>
    <x v="71"/>
    <m/>
    <x v="96"/>
    <m/>
    <n v="950"/>
    <m/>
    <x v="1"/>
    <x v="0"/>
    <s v="Нет"/>
    <s v="Нет"/>
    <m/>
    <m/>
  </r>
  <r>
    <s v="16.06.2025"/>
    <s v="Заявка на разработку изделия 000026437 от 16.06.2025 0:00:00"/>
    <n v="33"/>
    <x v="71"/>
    <m/>
    <x v="97"/>
    <m/>
    <n v="1600"/>
    <m/>
    <x v="1"/>
    <x v="0"/>
    <s v="Нет"/>
    <s v="Нет"/>
    <m/>
    <m/>
  </r>
  <r>
    <s v="16.06.2025"/>
    <s v="Заявка на разработку изделия 000026437 от 16.06.2025 0:00:00"/>
    <n v="44"/>
    <x v="71"/>
    <m/>
    <x v="98"/>
    <m/>
    <n v="11560"/>
    <m/>
    <x v="1"/>
    <x v="0"/>
    <s v="Нет"/>
    <s v="Нет"/>
    <m/>
    <m/>
  </r>
  <r>
    <s v="16.06.2025"/>
    <s v="Заявка на разработку изделия 000026437 от 16.06.2025 0:00:00"/>
    <n v="55"/>
    <x v="71"/>
    <m/>
    <x v="99"/>
    <m/>
    <n v="620"/>
    <m/>
    <x v="1"/>
    <x v="0"/>
    <s v="Нет"/>
    <s v="Нет"/>
    <m/>
    <m/>
  </r>
  <r>
    <s v="16.06.2025"/>
    <s v="Заявка на разработку изделия 000026437 от 16.06.2025 0:00:00"/>
    <n v="56"/>
    <x v="71"/>
    <m/>
    <x v="100"/>
    <m/>
    <n v="620"/>
    <m/>
    <x v="1"/>
    <x v="0"/>
    <s v="Нет"/>
    <s v="Нет"/>
    <m/>
    <m/>
  </r>
  <r>
    <s v="16.06.2025"/>
    <s v="Заявка на разработку изделия 000026437 от 16.06.2025 0:00:00"/>
    <n v="81"/>
    <x v="71"/>
    <m/>
    <x v="101"/>
    <m/>
    <n v="700"/>
    <m/>
    <x v="1"/>
    <x v="0"/>
    <s v="Нет"/>
    <s v="Нет"/>
    <m/>
    <m/>
  </r>
  <r>
    <s v="16.06.2025"/>
    <s v="Заявка на разработку изделия 000026437 от 16.06.2025 0:00:00"/>
    <n v="40"/>
    <x v="71"/>
    <m/>
    <x v="102"/>
    <m/>
    <n v="6130"/>
    <m/>
    <x v="1"/>
    <x v="0"/>
    <s v="Нет"/>
    <s v="Нет"/>
    <m/>
    <m/>
  </r>
  <r>
    <s v="16.06.2025"/>
    <s v="Заявка на разработку изделия 000026437 от 16.06.2025 0:00:00"/>
    <n v="37"/>
    <x v="71"/>
    <m/>
    <x v="103"/>
    <m/>
    <n v="1590"/>
    <m/>
    <x v="1"/>
    <x v="0"/>
    <s v="Нет"/>
    <s v="Нет"/>
    <m/>
    <m/>
  </r>
  <r>
    <s v="16.06.2025"/>
    <s v="Заявка на разработку изделия 000026437 от 16.06.2025 0:00:00"/>
    <n v="38"/>
    <x v="71"/>
    <m/>
    <x v="104"/>
    <m/>
    <n v="4920"/>
    <m/>
    <x v="1"/>
    <x v="0"/>
    <s v="Нет"/>
    <s v="Нет"/>
    <m/>
    <m/>
  </r>
  <r>
    <s v="16.06.2025"/>
    <s v="Заявка на разработку изделия 000026437 от 16.06.2025 0:00:00"/>
    <n v="39"/>
    <x v="71"/>
    <m/>
    <x v="105"/>
    <m/>
    <n v="5530"/>
    <m/>
    <x v="1"/>
    <x v="0"/>
    <s v="Нет"/>
    <s v="Нет"/>
    <m/>
    <m/>
  </r>
  <r>
    <s v="16.06.2025"/>
    <s v="Заявка на разработку изделия 000026437 от 16.06.2025 0:00:00"/>
    <n v="41"/>
    <x v="71"/>
    <m/>
    <x v="106"/>
    <m/>
    <n v="1000"/>
    <m/>
    <x v="1"/>
    <x v="0"/>
    <s v="Нет"/>
    <s v="Нет"/>
    <m/>
    <m/>
  </r>
  <r>
    <s v="16.06.2025"/>
    <s v="Заявка на разработку изделия 000026437 от 16.06.2025 0:00:00"/>
    <n v="42"/>
    <x v="71"/>
    <m/>
    <x v="107"/>
    <m/>
    <n v="1000"/>
    <m/>
    <x v="1"/>
    <x v="0"/>
    <s v="Нет"/>
    <s v="Нет"/>
    <m/>
    <m/>
  </r>
  <r>
    <s v="16.06.2025"/>
    <s v="Заявка на разработку изделия 000026437 от 16.06.2025 0:00:00"/>
    <n v="43"/>
    <x v="71"/>
    <m/>
    <x v="108"/>
    <m/>
    <n v="1000"/>
    <m/>
    <x v="1"/>
    <x v="0"/>
    <s v="Нет"/>
    <s v="Нет"/>
    <m/>
    <m/>
  </r>
  <r>
    <s v="16.06.2025"/>
    <s v="Заявка на разработку изделия 000026437 от 16.06.2025 0:00:00"/>
    <n v="21"/>
    <x v="71"/>
    <m/>
    <x v="109"/>
    <m/>
    <n v="5100"/>
    <m/>
    <x v="1"/>
    <x v="0"/>
    <s v="Нет"/>
    <s v="Нет"/>
    <m/>
    <m/>
  </r>
  <r>
    <s v="16.06.2025"/>
    <s v="Заявка на разработку изделия 000026437 от 16.06.2025 0:00:00"/>
    <n v="22"/>
    <x v="71"/>
    <m/>
    <x v="110"/>
    <m/>
    <n v="6660"/>
    <m/>
    <x v="1"/>
    <x v="0"/>
    <s v="Нет"/>
    <s v="Нет"/>
    <m/>
    <m/>
  </r>
  <r>
    <s v="16.06.2025"/>
    <s v="Заявка на разработку изделия 000026437 от 16.06.2025 0:00:00"/>
    <n v="23"/>
    <x v="71"/>
    <m/>
    <x v="111"/>
    <m/>
    <n v="0.01"/>
    <m/>
    <x v="1"/>
    <x v="0"/>
    <s v="Нет"/>
    <s v="Нет"/>
    <m/>
    <m/>
  </r>
  <r>
    <s v="16.06.2025"/>
    <s v="Заявка на разработку изделия 000026437 от 16.06.2025 0:00:00"/>
    <n v="17"/>
    <x v="71"/>
    <m/>
    <x v="112"/>
    <m/>
    <n v="550"/>
    <m/>
    <x v="1"/>
    <x v="0"/>
    <s v="Нет"/>
    <s v="Нет"/>
    <m/>
    <m/>
  </r>
  <r>
    <s v="16.06.2025"/>
    <s v="Заявка на разработку изделия 000026437 от 16.06.2025 0:00:00"/>
    <n v="82"/>
    <x v="71"/>
    <m/>
    <x v="113"/>
    <m/>
    <n v="8790"/>
    <m/>
    <x v="1"/>
    <x v="0"/>
    <s v="Нет"/>
    <s v="Нет"/>
    <m/>
    <m/>
  </r>
  <r>
    <s v="16.06.2025"/>
    <s v="Заявка на разработку изделия 000026437 от 16.06.2025 0:00:00"/>
    <n v="83"/>
    <x v="71"/>
    <m/>
    <x v="114"/>
    <m/>
    <n v="1200"/>
    <m/>
    <x v="1"/>
    <x v="0"/>
    <s v="Нет"/>
    <s v="Нет"/>
    <m/>
    <m/>
  </r>
  <r>
    <s v="16.06.2025"/>
    <s v="Заявка на разработку изделия 000026437 от 16.06.2025 0:00:00"/>
    <n v="18"/>
    <x v="71"/>
    <m/>
    <x v="115"/>
    <m/>
    <n v="1690"/>
    <m/>
    <x v="1"/>
    <x v="0"/>
    <s v="Нет"/>
    <s v="Нет"/>
    <m/>
    <m/>
  </r>
  <r>
    <s v="16.06.2025"/>
    <s v="Заявка на разработку изделия 000026439 от 16.06.2025 0:00:00"/>
    <n v="1"/>
    <x v="72"/>
    <m/>
    <x v="116"/>
    <m/>
    <n v="2185"/>
    <m/>
    <x v="0"/>
    <x v="0"/>
    <s v="Нет"/>
    <s v="Нет"/>
    <n v="1"/>
    <m/>
  </r>
  <r>
    <s v="16.06.2025"/>
    <s v="Заявка на разработку изделия 000026443 от 16.06.2025 0:00:00"/>
    <n v="1"/>
    <x v="73"/>
    <m/>
    <x v="117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2"/>
    <x v="73"/>
    <m/>
    <x v="118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3"/>
    <x v="73"/>
    <m/>
    <x v="119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4"/>
    <x v="73"/>
    <m/>
    <x v="120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5"/>
    <x v="73"/>
    <m/>
    <x v="121"/>
    <s v="(0-5]"/>
    <n v="3094"/>
    <m/>
    <x v="0"/>
    <x v="0"/>
    <s v="Нет"/>
    <s v="Нет"/>
    <n v="1"/>
    <m/>
  </r>
  <r>
    <s v="16.06.2025"/>
    <s v="Заявка на разработку изделия 000026443 от 16.06.2025 0:00:00"/>
    <n v="6"/>
    <x v="73"/>
    <m/>
    <x v="122"/>
    <s v="(0-5]"/>
    <n v="1090"/>
    <m/>
    <x v="3"/>
    <x v="0"/>
    <s v="Нет"/>
    <s v="Нет"/>
    <n v="1"/>
    <m/>
  </r>
  <r>
    <s v="16.06.2025"/>
    <s v="Заявка на разработку изделия 000026398 от 16.06.2025 0:00:00"/>
    <n v="1"/>
    <x v="74"/>
    <m/>
    <x v="30"/>
    <m/>
    <n v="2340"/>
    <m/>
    <x v="2"/>
    <x v="25"/>
    <s v="Нет"/>
    <s v="Нет"/>
    <n v="1"/>
    <m/>
  </r>
  <r>
    <s v="16.06.2025"/>
    <s v="Заявка на разработку изделия 000026398 от 16.06.2025 0:00:00"/>
    <n v="2"/>
    <x v="74"/>
    <m/>
    <x v="31"/>
    <m/>
    <n v="2670"/>
    <m/>
    <x v="2"/>
    <x v="25"/>
    <s v="Нет"/>
    <s v="Нет"/>
    <n v="1"/>
    <m/>
  </r>
  <r>
    <s v="16.06.2025"/>
    <s v="Заявка на разработку изделия 000026396 от 16.06.2025 0:00:00"/>
    <n v="1"/>
    <x v="75"/>
    <m/>
    <x v="30"/>
    <m/>
    <n v="1780"/>
    <m/>
    <x v="2"/>
    <x v="26"/>
    <s v="Нет"/>
    <s v="Нет"/>
    <n v="1"/>
    <m/>
  </r>
  <r>
    <s v="16.06.2025"/>
    <s v="Заявка на разработку изделия 000026396 от 16.06.2025 0:00:00"/>
    <n v="2"/>
    <x v="75"/>
    <m/>
    <x v="31"/>
    <m/>
    <n v="1960"/>
    <m/>
    <x v="2"/>
    <x v="26"/>
    <s v="Нет"/>
    <s v="Нет"/>
    <n v="1"/>
    <m/>
  </r>
  <r>
    <s v="16.06.2025"/>
    <s v="Заявка на разработку изделия 000026379 от 16.06.2025 0:00:00"/>
    <n v="1"/>
    <x v="76"/>
    <m/>
    <x v="30"/>
    <m/>
    <n v="3620"/>
    <m/>
    <x v="2"/>
    <x v="14"/>
    <s v="Нет"/>
    <s v="Нет"/>
    <n v="1"/>
    <m/>
  </r>
  <r>
    <s v="16.06.2025"/>
    <s v="Заявка на разработку изделия 000026379 от 16.06.2025 0:00:00"/>
    <n v="2"/>
    <x v="76"/>
    <m/>
    <x v="31"/>
    <m/>
    <n v="4090"/>
    <m/>
    <x v="2"/>
    <x v="14"/>
    <s v="Нет"/>
    <s v="Нет"/>
    <n v="1"/>
    <m/>
  </r>
  <r>
    <s v="16.06.2025"/>
    <s v="Заявка на разработку изделия 000026441 от 16.06.2025 0:00:00"/>
    <n v="1"/>
    <x v="77"/>
    <m/>
    <x v="123"/>
    <m/>
    <n v="1900"/>
    <m/>
    <x v="1"/>
    <x v="0"/>
    <s v="Нет"/>
    <s v="Нет"/>
    <n v="1"/>
    <m/>
  </r>
  <r>
    <s v="16.06.2025"/>
    <s v="Заявка на разработку изделия 000026440 от 16.06.2025 0:00:00"/>
    <n v="1"/>
    <x v="78"/>
    <m/>
    <x v="123"/>
    <m/>
    <n v="1900"/>
    <m/>
    <x v="1"/>
    <x v="0"/>
    <s v="Нет"/>
    <s v="Нет"/>
    <n v="1"/>
    <m/>
  </r>
  <r>
    <s v="16.06.2025"/>
    <s v="Заявка на разработку изделия 000026404 от 16.06.2025 0:00:00"/>
    <n v="1"/>
    <x v="79"/>
    <m/>
    <x v="30"/>
    <m/>
    <n v="3340"/>
    <m/>
    <x v="2"/>
    <x v="2"/>
    <s v="Нет"/>
    <s v="Нет"/>
    <n v="1"/>
    <m/>
  </r>
  <r>
    <s v="16.06.2025"/>
    <s v="Заявка на разработку изделия 000026404 от 16.06.2025 0:00:00"/>
    <n v="2"/>
    <x v="79"/>
    <m/>
    <x v="31"/>
    <m/>
    <n v="3830"/>
    <m/>
    <x v="2"/>
    <x v="2"/>
    <s v="Нет"/>
    <s v="Нет"/>
    <n v="1"/>
    <m/>
  </r>
  <r>
    <s v="16.06.2025"/>
    <s v="Заявка на разработку изделия 000026406 от 16.06.2025 0:00:00"/>
    <n v="1"/>
    <x v="80"/>
    <m/>
    <x v="30"/>
    <m/>
    <n v="3340"/>
    <m/>
    <x v="2"/>
    <x v="2"/>
    <s v="Нет"/>
    <s v="Нет"/>
    <n v="1"/>
    <m/>
  </r>
  <r>
    <s v="16.06.2025"/>
    <s v="Заявка на разработку изделия 000026406 от 16.06.2025 0:00:00"/>
    <n v="2"/>
    <x v="80"/>
    <m/>
    <x v="31"/>
    <m/>
    <n v="3210"/>
    <m/>
    <x v="2"/>
    <x v="2"/>
    <s v="Нет"/>
    <s v="Нет"/>
    <n v="1"/>
    <m/>
  </r>
  <r>
    <s v="16.06.2025"/>
    <s v="Заявка на разработку изделия 000026434 от 16.06.2025 0:00:00"/>
    <n v="1"/>
    <x v="81"/>
    <m/>
    <x v="30"/>
    <m/>
    <n v="7480"/>
    <m/>
    <x v="2"/>
    <x v="1"/>
    <s v="Нет"/>
    <s v="Нет"/>
    <n v="1"/>
    <m/>
  </r>
  <r>
    <s v="16.06.2025"/>
    <s v="Заявка на разработку изделия 000026434 от 16.06.2025 0:00:00"/>
    <n v="2"/>
    <x v="81"/>
    <m/>
    <x v="31"/>
    <m/>
    <n v="8490"/>
    <m/>
    <x v="2"/>
    <x v="1"/>
    <s v="Нет"/>
    <s v="Нет"/>
    <n v="1"/>
    <m/>
  </r>
  <r>
    <s v="16.06.2025"/>
    <s v="Заявка на разработку изделия 000026430 от 16.06.2025 0:00:00"/>
    <n v="1"/>
    <x v="82"/>
    <m/>
    <x v="30"/>
    <m/>
    <n v="7320"/>
    <m/>
    <x v="2"/>
    <x v="1"/>
    <s v="Нет"/>
    <s v="Нет"/>
    <n v="1"/>
    <m/>
  </r>
  <r>
    <s v="16.06.2025"/>
    <s v="Заявка на разработку изделия 000026430 от 16.06.2025 0:00:00"/>
    <n v="2"/>
    <x v="82"/>
    <m/>
    <x v="31"/>
    <m/>
    <n v="8340"/>
    <m/>
    <x v="2"/>
    <x v="1"/>
    <s v="Нет"/>
    <s v="Нет"/>
    <n v="1"/>
    <m/>
  </r>
  <r>
    <s v="16.06.2025"/>
    <s v="Заявка на разработку изделия 000026395 от 16.06.2025 0:00:00"/>
    <n v="1"/>
    <x v="83"/>
    <m/>
    <x v="30"/>
    <m/>
    <n v="2530"/>
    <m/>
    <x v="2"/>
    <x v="3"/>
    <s v="Нет"/>
    <s v="Нет"/>
    <n v="1"/>
    <m/>
  </r>
  <r>
    <s v="16.06.2025"/>
    <s v="Заявка на разработку изделия 000026395 от 16.06.2025 0:00:00"/>
    <n v="2"/>
    <x v="83"/>
    <m/>
    <x v="31"/>
    <m/>
    <n v="2820"/>
    <m/>
    <x v="2"/>
    <x v="3"/>
    <s v="Нет"/>
    <s v="Нет"/>
    <n v="1"/>
    <m/>
  </r>
  <r>
    <s v="16.06.2025"/>
    <s v="Заявка на разработку изделия 000026445 от 16.06.2025 0:00:00"/>
    <n v="1"/>
    <x v="84"/>
    <m/>
    <x v="124"/>
    <m/>
    <n v="400"/>
    <m/>
    <x v="1"/>
    <x v="0"/>
    <s v="Нет"/>
    <s v="Нет"/>
    <n v="1"/>
    <m/>
  </r>
  <r>
    <s v="16.06.2025"/>
    <s v="Заявка на разработку изделия 000026400 от 16.06.2025 0:00:00"/>
    <n v="1"/>
    <x v="85"/>
    <m/>
    <x v="30"/>
    <m/>
    <n v="2530"/>
    <m/>
    <x v="2"/>
    <x v="3"/>
    <s v="Нет"/>
    <s v="Нет"/>
    <n v="1"/>
    <m/>
  </r>
  <r>
    <s v="16.06.2025"/>
    <s v="Заявка на разработку изделия 000026400 от 16.06.2025 0:00:00"/>
    <n v="2"/>
    <x v="85"/>
    <m/>
    <x v="31"/>
    <m/>
    <n v="2820"/>
    <m/>
    <x v="2"/>
    <x v="3"/>
    <s v="Нет"/>
    <s v="Нет"/>
    <n v="1"/>
    <m/>
  </r>
  <r>
    <s v="16.06.2025"/>
    <s v="Заявка на разработку изделия 000026444 от 16.06.2025 8:42:33"/>
    <n v="3"/>
    <x v="86"/>
    <m/>
    <x v="0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7"/>
    <x v="86"/>
    <m/>
    <x v="1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1"/>
    <x v="86"/>
    <m/>
    <x v="2"/>
    <m/>
    <n v="6465.6767"/>
    <m/>
    <x v="0"/>
    <x v="0"/>
    <s v="Нет"/>
    <s v="Нет"/>
    <n v="1"/>
    <m/>
  </r>
  <r>
    <s v="16.06.2025"/>
    <s v="Заявка на разработку изделия 000026444 от 16.06.2025 8:42:33"/>
    <n v="15"/>
    <x v="86"/>
    <m/>
    <x v="3"/>
    <m/>
    <n v="8081.5959000000003"/>
    <m/>
    <x v="0"/>
    <x v="0"/>
    <s v="Нет"/>
    <s v="Нет"/>
    <n v="1"/>
    <m/>
  </r>
  <r>
    <s v="16.06.2025"/>
    <s v="Заявка на разработку изделия 000026444 от 16.06.2025 8:42:33"/>
    <n v="2"/>
    <x v="86"/>
    <m/>
    <x v="4"/>
    <m/>
    <n v="9297.5350999999991"/>
    <m/>
    <x v="0"/>
    <x v="0"/>
    <s v="Нет"/>
    <s v="Нет"/>
    <n v="1"/>
    <m/>
  </r>
  <r>
    <s v="16.06.2025"/>
    <s v="Заявка на разработку изделия 000026444 от 16.06.2025 8:42:33"/>
    <n v="16"/>
    <x v="86"/>
    <m/>
    <x v="5"/>
    <m/>
    <n v="11619.419"/>
    <m/>
    <x v="0"/>
    <x v="0"/>
    <s v="Нет"/>
    <s v="Нет"/>
    <n v="1"/>
    <m/>
  </r>
  <r>
    <s v="16.06.2025"/>
    <s v="Заявка на разработку изделия 000026444 от 16.06.2025 8:42:33"/>
    <n v="4"/>
    <x v="86"/>
    <m/>
    <x v="6"/>
    <m/>
    <n v="7841.6079"/>
    <m/>
    <x v="0"/>
    <x v="0"/>
    <s v="Нет"/>
    <s v="Нет"/>
    <n v="1"/>
    <m/>
  </r>
  <r>
    <s v="16.06.2025"/>
    <s v="Заявка на разработку изделия 000026444 от 16.06.2025 8:42:33"/>
    <n v="18"/>
    <x v="86"/>
    <m/>
    <x v="7"/>
    <m/>
    <n v="9799.51"/>
    <m/>
    <x v="0"/>
    <x v="0"/>
    <s v="Нет"/>
    <s v="Нет"/>
    <n v="1"/>
    <m/>
  </r>
  <r>
    <s v="16.06.2025"/>
    <s v="Заявка на разработку изделия 000026444 от 16.06.2025 8:42:33"/>
    <n v="5"/>
    <x v="86"/>
    <m/>
    <x v="8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9"/>
    <x v="86"/>
    <m/>
    <x v="9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6"/>
    <x v="86"/>
    <m/>
    <x v="10"/>
    <m/>
    <n v="12865.3567"/>
    <m/>
    <x v="0"/>
    <x v="0"/>
    <s v="Нет"/>
    <s v="Нет"/>
    <n v="1"/>
    <m/>
  </r>
  <r>
    <s v="16.06.2025"/>
    <s v="Заявка на разработку изделия 000026444 от 16.06.2025 8:42:33"/>
    <n v="20"/>
    <x v="86"/>
    <m/>
    <x v="11"/>
    <m/>
    <n v="16081.195900000001"/>
    <m/>
    <x v="0"/>
    <x v="0"/>
    <s v="Нет"/>
    <s v="Нет"/>
    <n v="1"/>
    <m/>
  </r>
  <r>
    <s v="16.06.2025"/>
    <s v="Заявка на разработку изделия 000026444 от 16.06.2025 8:42:33"/>
    <n v="7"/>
    <x v="86"/>
    <m/>
    <x v="12"/>
    <m/>
    <n v="14653.2673"/>
    <m/>
    <x v="0"/>
    <x v="0"/>
    <s v="Нет"/>
    <s v="Нет"/>
    <n v="1"/>
    <m/>
  </r>
  <r>
    <s v="16.06.2025"/>
    <s v="Заявка на разработку изделия 000026444 от 16.06.2025 8:42:33"/>
    <n v="21"/>
    <x v="86"/>
    <m/>
    <x v="13"/>
    <m/>
    <n v="18315.084200000001"/>
    <m/>
    <x v="0"/>
    <x v="0"/>
    <s v="Нет"/>
    <s v="Нет"/>
    <n v="1"/>
    <m/>
  </r>
  <r>
    <s v="16.06.2025"/>
    <s v="Заявка на разработку изделия 000026444 от 16.06.2025 8:42:33"/>
    <n v="8"/>
    <x v="86"/>
    <m/>
    <x v="14"/>
    <m/>
    <n v="7113.6442999999999"/>
    <m/>
    <x v="0"/>
    <x v="0"/>
    <s v="Нет"/>
    <s v="Нет"/>
    <n v="1"/>
    <m/>
  </r>
  <r>
    <s v="16.06.2025"/>
    <s v="Заявка на разработку изделия 000026444 от 16.06.2025 8:42:33"/>
    <n v="22"/>
    <x v="86"/>
    <m/>
    <x v="15"/>
    <m/>
    <n v="8889.5555000000004"/>
    <m/>
    <x v="0"/>
    <x v="0"/>
    <s v="Нет"/>
    <s v="Нет"/>
    <n v="1"/>
    <m/>
  </r>
  <r>
    <s v="16.06.2025"/>
    <s v="Заявка на разработку изделия 000026444 от 16.06.2025 8:42:33"/>
    <n v="9"/>
    <x v="86"/>
    <m/>
    <x v="16"/>
    <m/>
    <n v="10225.4887"/>
    <m/>
    <x v="0"/>
    <x v="0"/>
    <s v="Нет"/>
    <s v="Нет"/>
    <n v="1"/>
    <m/>
  </r>
  <r>
    <s v="16.06.2025"/>
    <s v="Заявка на разработку изделия 000026444 от 16.06.2025 8:42:33"/>
    <n v="23"/>
    <x v="86"/>
    <m/>
    <x v="17"/>
    <m/>
    <n v="12781.3609"/>
    <m/>
    <x v="0"/>
    <x v="0"/>
    <s v="Нет"/>
    <s v="Нет"/>
    <n v="1"/>
    <m/>
  </r>
  <r>
    <s v="16.06.2025"/>
    <s v="Заявка на разработку изделия 000026444 от 16.06.2025 8:42:33"/>
    <n v="10"/>
    <x v="86"/>
    <m/>
    <x v="18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4"/>
    <x v="86"/>
    <m/>
    <x v="19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1"/>
    <x v="86"/>
    <m/>
    <x v="20"/>
    <m/>
    <n v="8619.5689999999995"/>
    <m/>
    <x v="0"/>
    <x v="0"/>
    <s v="Нет"/>
    <s v="Нет"/>
    <n v="1"/>
    <m/>
  </r>
  <r>
    <s v="16.06.2025"/>
    <s v="Заявка на разработку изделия 000026444 от 16.06.2025 8:42:33"/>
    <n v="25"/>
    <x v="86"/>
    <m/>
    <x v="21"/>
    <m/>
    <n v="10773.461300000001"/>
    <m/>
    <x v="0"/>
    <x v="0"/>
    <s v="Нет"/>
    <s v="Нет"/>
    <n v="1"/>
    <m/>
  </r>
  <r>
    <s v="16.06.2025"/>
    <s v="Заявка на разработку изделия 000026444 от 16.06.2025 8:42:33"/>
    <n v="12"/>
    <x v="86"/>
    <m/>
    <x v="22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6"/>
    <x v="86"/>
    <m/>
    <x v="23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3"/>
    <x v="86"/>
    <m/>
    <x v="24"/>
    <m/>
    <n v="14155.2922"/>
    <m/>
    <x v="0"/>
    <x v="0"/>
    <s v="Нет"/>
    <s v="Нет"/>
    <n v="1"/>
    <m/>
  </r>
  <r>
    <s v="16.06.2025"/>
    <s v="Заявка на разработку изделия 000026444 от 16.06.2025 8:42:33"/>
    <n v="27"/>
    <x v="86"/>
    <m/>
    <x v="25"/>
    <m/>
    <n v="17693.115300000001"/>
    <m/>
    <x v="0"/>
    <x v="0"/>
    <s v="Нет"/>
    <s v="Нет"/>
    <n v="1"/>
    <m/>
  </r>
  <r>
    <s v="16.06.2025"/>
    <s v="Заявка на разработку изделия 000026444 от 16.06.2025 8:42:33"/>
    <n v="14"/>
    <x v="86"/>
    <m/>
    <x v="26"/>
    <m/>
    <n v="16119.194"/>
    <m/>
    <x v="0"/>
    <x v="0"/>
    <s v="Нет"/>
    <s v="Нет"/>
    <n v="1"/>
    <m/>
  </r>
  <r>
    <s v="16.06.2025"/>
    <s v="Заявка на разработку изделия 000026444 от 16.06.2025 8:42:33"/>
    <n v="28"/>
    <x v="86"/>
    <m/>
    <x v="27"/>
    <m/>
    <n v="20150.992399999999"/>
    <m/>
    <x v="0"/>
    <x v="0"/>
    <s v="Нет"/>
    <s v="Нет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3201F-A14F-43A7-AD63-137D169258CF}" name="Сводная таблица2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D153" firstHeaderRow="1" firstDataRow="2" firstDataCol="1" rowPageCount="1" colPageCount="1"/>
  <pivotFields count="15">
    <pivotField showAll="0"/>
    <pivotField showAll="0"/>
    <pivotField numFmtId="1" showAll="0"/>
    <pivotField axis="axisRow" showAll="0">
      <items count="88">
        <item x="37"/>
        <item x="49"/>
        <item x="79"/>
        <item x="4"/>
        <item x="55"/>
        <item x="80"/>
        <item x="14"/>
        <item x="19"/>
        <item x="8"/>
        <item x="24"/>
        <item x="76"/>
        <item x="17"/>
        <item x="9"/>
        <item x="16"/>
        <item x="15"/>
        <item x="30"/>
        <item x="83"/>
        <item x="75"/>
        <item x="34"/>
        <item x="74"/>
        <item x="35"/>
        <item x="85"/>
        <item x="36"/>
        <item x="22"/>
        <item x="25"/>
        <item x="56"/>
        <item x="23"/>
        <item x="57"/>
        <item x="7"/>
        <item x="31"/>
        <item x="39"/>
        <item x="33"/>
        <item x="1"/>
        <item x="2"/>
        <item x="38"/>
        <item x="70"/>
        <item x="68"/>
        <item x="69"/>
        <item x="81"/>
        <item x="82"/>
        <item x="41"/>
        <item x="65"/>
        <item x="43"/>
        <item x="61"/>
        <item x="32"/>
        <item x="42"/>
        <item x="67"/>
        <item x="66"/>
        <item x="40"/>
        <item x="20"/>
        <item x="21"/>
        <item x="54"/>
        <item x="59"/>
        <item x="60"/>
        <item x="18"/>
        <item x="28"/>
        <item x="64"/>
        <item x="12"/>
        <item x="63"/>
        <item x="46"/>
        <item x="58"/>
        <item x="44"/>
        <item x="5"/>
        <item x="45"/>
        <item x="51"/>
        <item x="29"/>
        <item x="26"/>
        <item x="27"/>
        <item x="10"/>
        <item x="11"/>
        <item x="13"/>
        <item x="62"/>
        <item x="47"/>
        <item x="50"/>
        <item x="48"/>
        <item x="52"/>
        <item x="53"/>
        <item x="3"/>
        <item x="0"/>
        <item x="86"/>
        <item x="73"/>
        <item x="71"/>
        <item x="72"/>
        <item x="6"/>
        <item x="84"/>
        <item x="77"/>
        <item x="78"/>
        <item t="default"/>
      </items>
    </pivotField>
    <pivotField showAll="0"/>
    <pivotField axis="axisCol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axis="axisPage" showAll="0">
      <items count="5">
        <item x="0"/>
        <item x="3"/>
        <item x="2"/>
        <item x="1"/>
        <item t="default"/>
      </items>
    </pivotField>
    <pivotField axis="axisRow" showAll="0">
      <items count="28">
        <item x="7"/>
        <item x="20"/>
        <item x="22"/>
        <item x="10"/>
        <item x="26"/>
        <item x="3"/>
        <item x="5"/>
        <item x="21"/>
        <item x="12"/>
        <item x="11"/>
        <item x="19"/>
        <item x="6"/>
        <item x="14"/>
        <item x="25"/>
        <item x="9"/>
        <item x="8"/>
        <item x="23"/>
        <item x="24"/>
        <item x="13"/>
        <item x="15"/>
        <item x="1"/>
        <item x="16"/>
        <item x="18"/>
        <item x="4"/>
        <item x="17"/>
        <item x="2"/>
        <item x="0"/>
        <item t="default"/>
      </items>
    </pivotField>
    <pivotField showAll="0"/>
    <pivotField showAll="0"/>
    <pivotField showAll="0"/>
    <pivotField showAll="0"/>
  </pivotFields>
  <rowFields count="2">
    <field x="3"/>
    <field x="10"/>
  </rowFields>
  <rowItems count="149">
    <i>
      <x/>
    </i>
    <i r="1">
      <x v="12"/>
    </i>
    <i>
      <x v="1"/>
    </i>
    <i r="1">
      <x v="22"/>
    </i>
    <i>
      <x v="2"/>
    </i>
    <i r="1">
      <x v="25"/>
    </i>
    <i>
      <x v="3"/>
    </i>
    <i r="1">
      <x v="25"/>
    </i>
    <i>
      <x v="4"/>
    </i>
    <i r="1">
      <x v="22"/>
    </i>
    <i>
      <x v="5"/>
    </i>
    <i r="1">
      <x v="25"/>
    </i>
    <i>
      <x v="6"/>
    </i>
    <i r="1">
      <x v="3"/>
    </i>
    <i>
      <x v="7"/>
    </i>
    <i r="1">
      <x v="3"/>
    </i>
    <i>
      <x v="8"/>
    </i>
    <i r="1">
      <x v="6"/>
    </i>
    <i>
      <x v="9"/>
    </i>
    <i r="1">
      <x v="6"/>
    </i>
    <i>
      <x v="10"/>
    </i>
    <i r="1">
      <x v="12"/>
    </i>
    <i>
      <x v="11"/>
    </i>
    <i r="1">
      <x v="3"/>
    </i>
    <i>
      <x v="12"/>
    </i>
    <i r="1">
      <x v="6"/>
    </i>
    <i>
      <x v="13"/>
    </i>
    <i r="1">
      <x v="3"/>
    </i>
    <i>
      <x v="14"/>
    </i>
    <i r="1">
      <x v="3"/>
    </i>
    <i>
      <x v="15"/>
    </i>
    <i r="1">
      <x v="5"/>
    </i>
    <i>
      <x v="16"/>
    </i>
    <i r="1">
      <x v="5"/>
    </i>
    <i>
      <x v="17"/>
    </i>
    <i r="1">
      <x v="4"/>
    </i>
    <i>
      <x v="18"/>
    </i>
    <i r="1">
      <x v="5"/>
    </i>
    <i>
      <x v="19"/>
    </i>
    <i r="1">
      <x v="13"/>
    </i>
    <i>
      <x v="20"/>
    </i>
    <i r="1">
      <x v="5"/>
    </i>
    <i>
      <x v="21"/>
    </i>
    <i r="1">
      <x v="5"/>
    </i>
    <i>
      <x v="22"/>
    </i>
    <i r="1">
      <x v="5"/>
    </i>
    <i>
      <x v="23"/>
    </i>
    <i r="1">
      <x v="6"/>
    </i>
    <i>
      <x v="24"/>
    </i>
    <i r="1">
      <x v="6"/>
    </i>
    <i>
      <x v="25"/>
    </i>
    <i r="1">
      <x v="3"/>
    </i>
    <i>
      <x v="26"/>
    </i>
    <i r="1">
      <x v="6"/>
    </i>
    <i>
      <x v="27"/>
    </i>
    <i r="1">
      <x v="3"/>
    </i>
    <i>
      <x v="28"/>
    </i>
    <i r="1">
      <x v="23"/>
    </i>
    <i>
      <x v="29"/>
    </i>
    <i r="1">
      <x v="18"/>
    </i>
    <i>
      <x v="30"/>
    </i>
    <i r="1">
      <x v="19"/>
    </i>
    <i>
      <x v="31"/>
    </i>
    <i r="1">
      <x v="20"/>
    </i>
    <i>
      <x v="34"/>
    </i>
    <i r="1">
      <x v="19"/>
    </i>
    <i>
      <x v="35"/>
    </i>
    <i r="1">
      <x v="18"/>
    </i>
    <i>
      <x v="36"/>
    </i>
    <i r="1">
      <x v="20"/>
    </i>
    <i>
      <x v="37"/>
    </i>
    <i r="1">
      <x v="20"/>
    </i>
    <i>
      <x v="38"/>
    </i>
    <i r="1">
      <x v="20"/>
    </i>
    <i>
      <x v="39"/>
    </i>
    <i r="1">
      <x v="20"/>
    </i>
    <i>
      <x v="40"/>
    </i>
    <i r="1">
      <x v="20"/>
    </i>
    <i>
      <x v="41"/>
    </i>
    <i r="1">
      <x v="20"/>
    </i>
    <i>
      <x v="42"/>
    </i>
    <i r="1">
      <x v="21"/>
    </i>
    <i>
      <x v="43"/>
    </i>
    <i r="1">
      <x v="17"/>
    </i>
    <i>
      <x v="44"/>
    </i>
    <i r="1">
      <x v="18"/>
    </i>
    <i>
      <x v="45"/>
    </i>
    <i r="1">
      <x v="19"/>
    </i>
    <i>
      <x v="46"/>
    </i>
    <i r="1">
      <x v="19"/>
    </i>
    <i>
      <x v="47"/>
    </i>
    <i r="1">
      <x v="20"/>
    </i>
    <i>
      <x v="48"/>
    </i>
    <i r="1">
      <x v="19"/>
    </i>
    <i>
      <x v="49"/>
    </i>
    <i r="1">
      <x v="8"/>
    </i>
    <i>
      <x v="50"/>
    </i>
    <i r="1">
      <x v="8"/>
    </i>
    <i>
      <x v="51"/>
    </i>
    <i r="1">
      <x v="7"/>
    </i>
    <i>
      <x v="52"/>
    </i>
    <i r="1">
      <x v="2"/>
    </i>
    <i>
      <x v="53"/>
    </i>
    <i r="1">
      <x v="16"/>
    </i>
    <i>
      <x v="54"/>
    </i>
    <i r="1">
      <x v="9"/>
    </i>
    <i>
      <x v="55"/>
    </i>
    <i r="1">
      <x v="5"/>
    </i>
    <i>
      <x v="56"/>
    </i>
    <i r="1">
      <x v="5"/>
    </i>
    <i>
      <x v="57"/>
    </i>
    <i r="1">
      <x v="15"/>
    </i>
    <i>
      <x v="58"/>
    </i>
    <i r="1">
      <x v="15"/>
    </i>
    <i>
      <x v="59"/>
    </i>
    <i r="1">
      <x v="12"/>
    </i>
    <i>
      <x v="60"/>
    </i>
    <i r="1">
      <x v="12"/>
    </i>
    <i>
      <x v="61"/>
    </i>
    <i r="1">
      <x v="5"/>
    </i>
    <i>
      <x v="63"/>
    </i>
    <i r="1">
      <x v="5"/>
    </i>
    <i>
      <x v="64"/>
    </i>
    <i r="1">
      <x v="5"/>
    </i>
    <i>
      <x v="65"/>
    </i>
    <i r="1">
      <x v="5"/>
    </i>
    <i>
      <x v="66"/>
    </i>
    <i r="1">
      <x v="6"/>
    </i>
    <i>
      <x v="67"/>
    </i>
    <i r="1">
      <x v="6"/>
    </i>
    <i>
      <x v="68"/>
    </i>
    <i r="1">
      <x v="11"/>
    </i>
    <i>
      <x v="69"/>
    </i>
    <i r="1">
      <x/>
    </i>
    <i>
      <x v="70"/>
    </i>
    <i r="1">
      <x v="14"/>
    </i>
    <i>
      <x v="71"/>
    </i>
    <i r="1">
      <x v="14"/>
    </i>
    <i>
      <x v="72"/>
    </i>
    <i r="1">
      <x v="24"/>
    </i>
    <i>
      <x v="73"/>
    </i>
    <i r="1">
      <x v="5"/>
    </i>
    <i>
      <x v="74"/>
    </i>
    <i r="1">
      <x v="24"/>
    </i>
    <i>
      <x v="75"/>
    </i>
    <i r="1">
      <x v="10"/>
    </i>
    <i>
      <x v="76"/>
    </i>
    <i r="1">
      <x v="1"/>
    </i>
    <i t="grand">
      <x/>
    </i>
  </rowItems>
  <colFields count="1">
    <field x="5"/>
  </colFields>
  <colItems count="3">
    <i>
      <x v="120"/>
    </i>
    <i>
      <x v="121"/>
    </i>
    <i t="grand">
      <x/>
    </i>
  </colItems>
  <pageFields count="1">
    <pageField fld="9" item="2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D405B-B0E4-4A38-9050-035ED02CEF57}" name="Сводная таблица3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B88" firstHeaderRow="1" firstDataRow="1" firstDataCol="1" rowPageCount="1" colPageCount="1"/>
  <pivotFields count="15">
    <pivotField showAll="0"/>
    <pivotField showAll="0"/>
    <pivotField numFmtId="1" showAll="0"/>
    <pivotField axis="axisPage" multipleItemSelectionAllowed="1" showAll="0">
      <items count="88">
        <item h="1" x="37"/>
        <item h="1" x="49"/>
        <item h="1" x="79"/>
        <item h="1" x="4"/>
        <item h="1" x="55"/>
        <item h="1" x="80"/>
        <item h="1" x="14"/>
        <item h="1" x="19"/>
        <item h="1" x="8"/>
        <item h="1" x="24"/>
        <item h="1" x="76"/>
        <item h="1" x="17"/>
        <item h="1" x="9"/>
        <item h="1" x="16"/>
        <item h="1" x="15"/>
        <item h="1" x="30"/>
        <item h="1" x="83"/>
        <item h="1" x="75"/>
        <item h="1" x="34"/>
        <item h="1" x="74"/>
        <item h="1" x="35"/>
        <item h="1" x="85"/>
        <item h="1" x="36"/>
        <item h="1" x="22"/>
        <item h="1" x="25"/>
        <item h="1" x="56"/>
        <item h="1" x="23"/>
        <item h="1" x="57"/>
        <item h="1" x="7"/>
        <item h="1" x="31"/>
        <item h="1" x="39"/>
        <item h="1" x="33"/>
        <item h="1" x="1"/>
        <item h="1" x="2"/>
        <item h="1" x="38"/>
        <item h="1" x="70"/>
        <item h="1" x="68"/>
        <item h="1" x="69"/>
        <item h="1" x="81"/>
        <item h="1" x="82"/>
        <item h="1" x="41"/>
        <item h="1" x="65"/>
        <item h="1" x="43"/>
        <item h="1" x="61"/>
        <item h="1" x="32"/>
        <item h="1" x="42"/>
        <item h="1" x="67"/>
        <item h="1" x="66"/>
        <item h="1" x="40"/>
        <item h="1" x="20"/>
        <item h="1" x="21"/>
        <item h="1" x="54"/>
        <item h="1" x="59"/>
        <item h="1" x="60"/>
        <item h="1" x="18"/>
        <item h="1" x="28"/>
        <item h="1" x="64"/>
        <item h="1" x="12"/>
        <item h="1" x="63"/>
        <item h="1" x="46"/>
        <item h="1" x="58"/>
        <item h="1" x="44"/>
        <item h="1" x="5"/>
        <item h="1" x="45"/>
        <item h="1" x="51"/>
        <item h="1" x="29"/>
        <item h="1" x="26"/>
        <item h="1" x="27"/>
        <item h="1" x="10"/>
        <item h="1" x="11"/>
        <item h="1" x="13"/>
        <item h="1" x="62"/>
        <item h="1" x="47"/>
        <item h="1" x="50"/>
        <item h="1" x="48"/>
        <item h="1" x="52"/>
        <item h="1" x="53"/>
        <item h="1" x="3"/>
        <item h="1" x="0"/>
        <item h="1" x="86"/>
        <item h="1" x="73"/>
        <item x="71"/>
        <item h="1" x="72"/>
        <item h="1" x="6"/>
        <item x="84"/>
        <item h="1" x="77"/>
        <item h="1" x="78"/>
        <item t="default"/>
      </items>
    </pivotField>
    <pivotField showAll="0"/>
    <pivotField axis="axisRow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5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4"/>
    </i>
    <i t="grand">
      <x/>
    </i>
  </rowItems>
  <colItems count="1">
    <i/>
  </colItems>
  <pageFields count="1">
    <pageField fld="3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347DC7E-E9DC-4FC4-B807-2B6D3E4C04E6}" name="Заказ_Столешницы" displayName="Заказ_Столешницы" ref="AM1:AX2" insertRow="1" totalsRowShown="0" headerRowDxfId="368" dataDxfId="367">
  <autoFilter ref="AM1:AX2" xr:uid="{50882B67-AB0E-4D1D-8D9B-BE8647CCB6FD}"/>
  <tableColumns count="12">
    <tableColumn id="1" xr3:uid="{01B18CC7-1A75-414D-A849-8BB42714EEB9}" name="Производитель" dataDxfId="366"/>
    <tableColumn id="2" xr3:uid="{17DA3486-C1A5-4449-AC58-AEA41A1251FE}" name="Цвет столешницы" dataDxfId="365"/>
    <tableColumn id="3" xr3:uid="{827069C0-1DC3-4C79-A8F1-61EF2A156FBE}" name="Толщина столешницы" dataDxfId="364"/>
    <tableColumn id="4" xr3:uid="{B12F897F-6818-48EA-86C7-EBF7680D38C0}" name="Высота" dataDxfId="363"/>
    <tableColumn id="5" xr3:uid="{9BB88D30-83FB-441F-806A-2E3F5C463DC5}" name="Ширина" dataDxfId="362"/>
    <tableColumn id="6" xr3:uid="{546FAF33-5C84-413A-88FE-C8ABB5FE93EA}" name="Кол-во" dataDxfId="361"/>
    <tableColumn id="7" xr3:uid="{2A8FC58A-1DAD-4F4E-B740-38B33390CCDC}" name="Стоимость" dataDxfId="360"/>
    <tableColumn id="8" xr3:uid="{31BF1AF7-04B6-4267-A3F1-FD576FADCD9A}" name="Тип изделия" dataDxfId="359"/>
    <tableColumn id="11" xr3:uid="{65C58099-39DE-43EE-9F9B-E2F1B64C85D0}" name="Соединенное название" dataDxfId="358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7CCF7372-D11E-4E85-ABED-78867B2750BF}" name="Цена в БЗ" dataDxfId="357"/>
    <tableColumn id="10" xr3:uid="{99910CCB-9509-49AF-A5CE-88D1428B4FCD}" name="разница" dataDxfId="356">
      <calculatedColumnFormula>Заказ_Столешницы[[#This Row],[Стоимость]]-Заказ_Столешницы[[#This Row],[Цена в БЗ]]</calculatedColumnFormula>
    </tableColumn>
    <tableColumn id="12" xr3:uid="{09697CCD-D88E-4CD7-A9D5-28F1A730CD01}" name="Столбец1" dataDxfId="35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F7327-109E-4E23-8806-8A5A16EE36C5}" name="Корзина" displayName="Корзина" ref="A1:AK3" insertRow="1" totalsRowCount="1" headerRowDxfId="354" dataDxfId="353" totalsRowDxfId="352">
  <autoFilter ref="A1:AK2" xr:uid="{D4F3A028-0284-448B-B761-F4C0DA488444}"/>
  <tableColumns count="37">
    <tableColumn id="1" xr3:uid="{87FCE67C-B340-461D-AD00-C6B166663789}" name="Номенклатура" totalsRowLabel="Итог" dataDxfId="351" totalsRowDxfId="350"/>
    <tableColumn id="2" xr3:uid="{7FB2FF11-B10B-4970-A81E-77D430B68B94}" name="Высота" dataDxfId="349" totalsRowDxfId="348"/>
    <tableColumn id="3" xr3:uid="{563AC104-56AE-4CDA-8B41-7BEBB663DEDA}" name="Ширина" dataDxfId="347" totalsRowDxfId="346"/>
    <tableColumn id="4" xr3:uid="{69F6F26D-D27F-4BAD-94F1-01BCF3C99037}" name="Глубина" dataDxfId="345" totalsRowDxfId="344"/>
    <tableColumn id="5" xr3:uid="{517FF02B-4211-4135-A29E-75F24E40E06C}" name="Кол-во" dataDxfId="343" totalsRowDxfId="342"/>
    <tableColumn id="6" xr3:uid="{729A0AD7-76D5-45B7-BE9E-0A00A63E1368}" name="Цена корпуса" dataDxfId="341" totalsRowDxfId="340"/>
    <tableColumn id="7" xr3:uid="{3E00E964-6FA5-440D-83E2-69A87E777BF6}" name="Фасады,м2" dataDxfId="339" totalsRowDxfId="338"/>
    <tableColumn id="8" xr3:uid="{1ECB2FE2-6318-4C05-B108-F9D039340734}" name="Полки,шт." dataDxfId="337" totalsRowDxfId="336"/>
    <tableColumn id="9" xr3:uid="{550DFC66-7A8B-4DC9-912B-15E889605297}" name="Полки,м2" dataDxfId="335" totalsRowDxfId="334"/>
    <tableColumn id="10" xr3:uid="{9E763F87-CFB3-4197-A4DE-B03A5597315F}" name="Цена фасадов" totalsRowFunction="sum" dataDxfId="333" totalsRowDxfId="332"/>
    <tableColumn id="11" xr3:uid="{D911CB36-E5E1-49A6-96D3-B393080C6A43}" name="Цена полок" dataDxfId="331" totalsRowDxfId="330"/>
    <tableColumn id="12" xr3:uid="{404E5E5A-89D3-425E-87C6-0AE38CC3D8BA}" name="Цена Gola" dataDxfId="329" totalsRowDxfId="328"/>
    <tableColumn id="13" xr3:uid="{D3080F47-0DF2-42DC-8A20-A759460B3FCE}" name="Базовая цена корпуса" dataDxfId="327" totalsRowDxfId="326"/>
    <tableColumn id="14" xr3:uid="{1C7EEA92-9BDF-4160-8781-EAC482EC3132}" name="Базовая ширина" dataDxfId="325" totalsRowDxfId="324"/>
    <tableColumn id="15" xr3:uid="{0E5952FA-EEC2-4A42-A589-623D04D6C9FE}" name="Тип фасада" dataDxfId="323" totalsRowDxfId="322"/>
    <tableColumn id="16" xr3:uid="{68DAFCFE-91E1-46B5-9361-CE55AF3B2CC5}" name="Комплектация" dataDxfId="321" totalsRowDxfId="320"/>
    <tableColumn id="17" xr3:uid="{ADC007E0-7E41-4DFC-A18E-C7150229CCAF}" name="Тип модуля" dataDxfId="319" totalsRowDxfId="318"/>
    <tableColumn id="18" xr3:uid="{D69ADA70-CC90-4C22-B4E9-6C5BDF5F4C7B}" name="Коллекция" dataDxfId="317" totalsRowDxfId="316"/>
    <tableColumn id="19" xr3:uid="{559F3410-4F6B-4E61-9D6B-5F7A23B4A109}" name="Цвет" dataDxfId="315" totalsRowDxfId="314"/>
    <tableColumn id="20" xr3:uid="{4A712232-3A59-40C9-BCE8-449430ED1E73}" name="Фрезеровка" dataDxfId="313" totalsRowDxfId="312"/>
    <tableColumn id="21" xr3:uid="{ED6DED7F-FE21-4604-A70D-C3DCA82E5958}" name="Толщина" dataDxfId="311" totalsRowDxfId="310"/>
    <tableColumn id="22" xr3:uid="{91D9261C-80B7-4C84-93FE-B415AEB4C57B}" name="Уровень модуля" dataDxfId="309" totalsRowDxfId="308"/>
    <tableColumn id="24" xr3:uid="{C0D160C9-0A9D-4C6A-9172-13E279AE5281}" name="Базовый комплект" dataDxfId="307" totalsRowDxfId="306"/>
    <tableColumn id="25" xr3:uid="{F7795ADB-FCC6-4124-854C-084CF9176C81}" name="Добавочная цена от комплектации" dataDxfId="305" totalsRowDxfId="304"/>
    <tableColumn id="26" xr3:uid="{3C779D57-2DB1-463D-9EEC-765DC57F6C05}" name="Цвет стекла для витрины" dataDxfId="303" totalsRowDxfId="302"/>
    <tableColumn id="27" xr3:uid="{CFADFDB2-0A72-47F1-9254-587102BE9448}" name="Цена стекла для витрины" dataDxfId="301" totalsRowDxfId="300"/>
    <tableColumn id="28" xr3:uid="{828000D4-BB68-4281-9A56-D6EAEE63DEA7}" name="Материал полок" dataDxfId="299" totalsRowDxfId="298"/>
    <tableColumn id="23" xr3:uid="{B7660CD8-59D1-44AD-AADF-A4B32A6F2A45}" name="Цена корпус + полки" totalsRowFunction="sum" dataDxfId="297" totalsRowDxfId="296"/>
    <tableColumn id="29" xr3:uid="{A9D4ECAF-6F48-4984-A4B4-AB2F767625AC}" name="Материал корпуса" dataDxfId="295" totalsRowDxfId="294"/>
    <tableColumn id="33" xr3:uid="{1DB48618-B438-4674-AABD-C121807F7821}" name="Тип фрезеровки" dataDxfId="293" totalsRowDxfId="292"/>
    <tableColumn id="34" xr3:uid="{E68BD734-0B97-4067-A0B5-4C2A39A99F41}" name="Скидка для фрезеровки" dataDxfId="291" totalsRowDxfId="290"/>
    <tableColumn id="36" xr3:uid="{E5CFB294-7C7B-4DBE-80A6-A967C6502347}" name="Кол-во фасадов в модуле" dataDxfId="289" totalsRowDxfId="288"/>
    <tableColumn id="30" xr3:uid="{7CEFFB39-B293-4C4F-AB2F-1EA01906FFB6}" name="Соединенное название" dataDxfId="287" totalsRowDxfId="28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33BE90-797B-43F5-B5C9-43942FC63BF8}" name="Комплектация для вывода на экран" dataDxfId="285" totalsRowDxfId="284"/>
    <tableColumn id="37" xr3:uid="{6AE8A864-046F-4C71-8815-A0D8B01F350A}" name="Цена пленки" dataDxfId="283" totalsRowDxfId="282"/>
    <tableColumn id="31" xr3:uid="{5F4B6A2C-4B2D-48E7-AB31-CB4936477FCF}" name="Цена БЗ" dataDxfId="281" totalsRowDxfId="280">
      <calculatedColumnFormula>VLOOKUP(Корзина[[#This Row],[Соединенное название]],#REF!,2,0)</calculatedColumnFormula>
    </tableColumn>
    <tableColumn id="32" xr3:uid="{323B0B59-6889-4D83-A936-C928B25A317C}" name="Разница" dataDxfId="279" totalsRowDxfId="278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D09386-C21D-4EF7-9E6A-776D34540C16}" name="Заказ_Отдельные_фасады" displayName="Заказ_Отдельные_фасады" ref="AZ1:BK3" insertRow="1" totalsRowCount="1" headerRowDxfId="277" dataDxfId="275" totalsRowDxfId="273" headerRowBorderDxfId="276" tableBorderDxfId="274">
  <autoFilter ref="AZ1:BK2" xr:uid="{57F00D2F-AA0C-4156-915B-B306A91597A5}"/>
  <tableColumns count="12">
    <tableColumn id="1" xr3:uid="{DF419F35-23A9-41ED-88B9-447163103B2D}" name="Коллекция" totalsRowLabel="Итог" dataDxfId="272" totalsRowDxfId="271"/>
    <tableColumn id="2" xr3:uid="{A32253DA-6793-4096-BB52-DC688F6B539D}" name="Цвет" dataDxfId="270" totalsRowDxfId="269"/>
    <tableColumn id="3" xr3:uid="{895D0037-48EC-4105-86BB-14D9C75B1040}" name="Фрезеровка" dataDxfId="268" totalsRowDxfId="267"/>
    <tableColumn id="4" xr3:uid="{C7E6B80D-7029-4E1B-A885-B2E210EC9D76}" name="Толщина" dataDxfId="266" totalsRowDxfId="265"/>
    <tableColumn id="11" xr3:uid="{08BBB586-2D3A-418B-A0E9-821E05865452}" name="Высота,мм" dataDxfId="264"/>
    <tableColumn id="10" xr3:uid="{889731BE-D87B-4090-B694-6C36C9B142C7}" name="Ширина,мм" dataDxfId="263"/>
    <tableColumn id="9" xr3:uid="{7239C081-65DA-472D-9D0D-7B433C291736}" name="Площадь,м2" dataDxfId="262"/>
    <tableColumn id="5" xr3:uid="{778589F2-B13D-4455-AA6E-5DB6CCCE934E}" name="Цвет стекла для витрины" dataDxfId="261" totalsRowDxfId="260"/>
    <tableColumn id="6" xr3:uid="{041134B8-A176-4685-A645-9C50F507A5C3}" name="Цена стекла для витрины" dataDxfId="259" totalsRowDxfId="258"/>
    <tableColumn id="7" xr3:uid="{E26ADA3A-ADEA-4297-A672-1715B1D0793D}" name="Кол-во" dataDxfId="257" totalsRowDxfId="256"/>
    <tableColumn id="8" xr3:uid="{112CA042-25FD-4683-A0AC-7BBCD633FA70}" name="Стоимость" totalsRowFunction="sum" dataDxfId="255" totalsRowDxfId="254"/>
    <tableColumn id="12" xr3:uid="{9D2C98A8-C433-4658-B42E-B15FE1DBE4EC}" name="Цена пленки" dataDxfId="253" totalsRowDxfId="25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9EEA44-BE7F-419B-B972-7C58832EF9F6}" name="Заказ_ручки" displayName="Заказ_ручки" ref="BM1:BR2" insertRow="1" totalsRowShown="0" headerRowDxfId="251" dataDxfId="250" tableBorderDxfId="249">
  <autoFilter ref="BM1:BR2" xr:uid="{E7BB3E52-9F23-4BE4-B15A-55E4FC846337}"/>
  <tableColumns count="6">
    <tableColumn id="1" xr3:uid="{18BB0125-F5A8-41FC-96B8-9C9DEEE73A58}" name="Название ручки / Артикул ручки" dataDxfId="248"/>
    <tableColumn id="2" xr3:uid="{1DD4CC9F-A476-47E8-B69A-8330AF064F7C}" name="Тип" dataDxfId="247"/>
    <tableColumn id="3" xr3:uid="{E04DE716-CC20-4CC5-B7CD-1CBA2DD0724B}" name="Категория" dataDxfId="246"/>
    <tableColumn id="4" xr3:uid="{6E8FDEE8-2EBE-40DA-9FC5-4921E22934D4}" name="Коллекция" dataDxfId="245"/>
    <tableColumn id="6" xr3:uid="{97BFA400-9B01-4457-9826-2247EE9074AF}" name="Количество" dataDxfId="244"/>
    <tableColumn id="7" xr3:uid="{949D687E-156A-4674-9284-B7E2E849BB9B}" name="Цена" dataDxfId="243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AABBF9-2CB8-4D3B-BB8A-7426535FD94E}" name="Gola_Base_Furn_for_stol_Order" displayName="Gola_Base_Furn_for_stol_Order" ref="BT1:BW2" insertRow="1" totalsRowShown="0" headerRowDxfId="242" dataDxfId="241">
  <autoFilter ref="BT1:BW2" xr:uid="{88751CBF-65EF-43A0-AF99-830B58AB6C77}"/>
  <tableColumns count="4">
    <tableColumn id="1" xr3:uid="{FD3C96DA-38BB-46BD-8C06-25A04ABF7B08}" name="Изделие" dataDxfId="240"/>
    <tableColumn id="2" xr3:uid="{AF848792-1EF0-499D-97BE-BCA8AAAC2C1B}" name="Количество" dataDxfId="239"/>
    <tableColumn id="3" xr3:uid="{0E23451F-95C7-4AFC-A415-F3FAD1BA500F}" name="Цена" dataDxfId="238"/>
    <tableColumn id="4" xr3:uid="{704DBA11-03E5-4AA4-AD0D-A16241190D03}" name="Коллекция" dataDxfId="237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2FCA1E-9D45-4AEC-9562-D63B8F32EB79}" name="Скидки" displayName="Скидки" ref="BY1:BZ6" totalsRowShown="0">
  <autoFilter ref="BY1:BZ6" xr:uid="{8192A68F-0520-4B62-8CA3-36E3743AAEA3}"/>
  <tableColumns count="2">
    <tableColumn id="1" xr3:uid="{AC8A9613-00C7-4D42-8765-561A4232CC7F}" name="Продукция"/>
    <tableColumn id="2" xr3:uid="{C6BE051D-44C5-4976-B8B2-0F64D7FE7CE7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N85" totalsRowShown="0" headerRowDxfId="235" dataDxfId="234">
  <autoFilter ref="A1:CN85" xr:uid="{B6A411DD-54E4-4F8A-8614-345EC598C3AB}"/>
  <tableColumns count="92">
    <tableColumn id="1" xr3:uid="{244EF146-2FB2-42B0-89AD-BC68C073628F}" name="Артикул" dataDxfId="233"/>
    <tableColumn id="2" xr3:uid="{E9E197D6-D015-400F-BBF0-C74C736B39E0}" name="Тип" dataDxfId="232"/>
    <tableColumn id="4" xr3:uid="{C373308D-47ED-427E-88F8-A9B3AEC5889F}" name="Варианты наполнения" dataDxfId="231"/>
    <tableColumn id="16" xr3:uid="{3526EDBE-4544-46B2-904E-78713571F802}" name="Вид модуля" dataDxfId="230"/>
    <tableColumn id="15" xr3:uid="{259A8B8F-A346-4065-8898-BE7B616DA4DC}" name="Профиль Gola" dataDxfId="229"/>
    <tableColumn id="3" xr3:uid="{9487BA3B-B8B3-423B-BBA1-A7C3B0201659}" name="Признаки для фильтров" dataDxfId="228"/>
    <tableColumn id="6" xr3:uid="{6657D323-708D-490F-934C-D93CA8D44D3D}" name="Высота min" dataDxfId="227"/>
    <tableColumn id="7" xr3:uid="{2EFED285-F303-4C73-A938-4E18FE85EFAD}" name="Высота max" dataDxfId="226"/>
    <tableColumn id="8" xr3:uid="{B0E436A3-EEA3-4496-822A-D979DCE166F6}" name="Ширина min" dataDxfId="225"/>
    <tableColumn id="9" xr3:uid="{B9B1EF59-46D8-418E-9C90-4AF710E40F22}" name="Ширина max" dataDxfId="224"/>
    <tableColumn id="10" xr3:uid="{DFC2098D-52BC-4A64-8019-99B30228E5C0}" name="Глубина min" dataDxfId="223"/>
    <tableColumn id="11" xr3:uid="{0F631E4C-75A0-4051-8353-40DDE4FB0D0C}" name="Глубина max" dataDxfId="222"/>
    <tableColumn id="14" xr3:uid="{7CEDF3A3-1C3F-4BE6-B422-A3497D28B60F}" name="Количество полок" dataDxfId="221"/>
    <tableColumn id="12" xr3:uid="{CDFC7975-1F4A-4D16-8354-E26DDCD4397C}" name="Комментарий" dataDxfId="220"/>
    <tableColumn id="5" xr3:uid="{491DC64E-1A6E-4844-B503-C2C858B48F8F}" name="Базовая цена" dataDxfId="219"/>
    <tableColumn id="28" xr3:uid="{EBB80AFB-D155-4FEC-AFA8-5CA38369E072}" name="КФ НСТ11" dataDxfId="218"/>
    <tableColumn id="27" xr3:uid="{CBFCC08D-435F-4D14-9237-DBC966484E7C}" name="КФ НСТ1" dataDxfId="217"/>
    <tableColumn id="13" xr3:uid="{ED748688-578F-4B70-BED3-DF69514981F0}" name="КФ крепежа корпуса 1" dataDxfId="216">
      <calculatedColumnFormula>'комплекты фурнитуры'!C3</calculatedColumnFormula>
    </tableColumn>
    <tableColumn id="18" xr3:uid="{C97A5013-CBEE-487D-951B-6C81E4A7AC55}" name="КФ крепежа корпуса 2" dataDxfId="215"/>
    <tableColumn id="19" xr3:uid="{E76E0229-FD99-460D-A6DC-512E0BF4E97A}" name="КФ крепежа корпуса 4" dataDxfId="214"/>
    <tableColumn id="20" xr3:uid="{F25E07D8-C520-4467-8FE7-E89C5DB70B0F}" name="КФ крепежа корпуса 6" dataDxfId="213"/>
    <tableColumn id="21" xr3:uid="{2DAD658B-F7CB-4A20-B265-0005D6437D71}" name="КФ крепежа корпуса 7" dataDxfId="212"/>
    <tableColumn id="23" xr3:uid="{1B2375D3-DCC7-47E9-80B6-2C8B369001C5}" name="КФ крепежа корпуса 9" dataDxfId="211"/>
    <tableColumn id="32" xr3:uid="{5FC4BD95-7026-4728-9321-54AD821DB1D0}" name="КФ крепежа корпуса 10" dataDxfId="210"/>
    <tableColumn id="22" xr3:uid="{D1EED17F-DA10-4FC1-992B-84A2473F1A07}" name="КФ крепежа корпуса 11" dataDxfId="209"/>
    <tableColumn id="33" xr3:uid="{A691C489-3513-434E-B8C3-4D39E2A158AB}" name="КФ крепежа корпуса 12" dataDxfId="208"/>
    <tableColumn id="29" xr3:uid="{76F3AFCC-4E23-405B-89AE-8D6FDFA3FF11}" name="КФ крепежа корпуса 13" dataDxfId="207"/>
    <tableColumn id="31" xr3:uid="{F07D89AA-E635-4965-8AA3-57D02FB91704}" name="КФ НСТ 14" dataDxfId="206"/>
    <tableColumn id="30" xr3:uid="{80FADF67-BF3A-4DAB-913C-EA9BA1C84CD9}" name="КФ крепежа корпуса 15" dataDxfId="205"/>
    <tableColumn id="24" xr3:uid="{87B6078A-6FAD-4498-A328-FD81FC7FD510}" name="КФ крепежа корпуса 16" dataDxfId="204"/>
    <tableColumn id="17" xr3:uid="{5B2E565F-938F-4C78-BB65-1F2802A24FC5}" name="КФ опора пластиковая 120" dataDxfId="203"/>
    <tableColumn id="25" xr3:uid="{6F8FCB9B-78F7-4E72-A350-4BB3A20C8EB3}" name="KFPr-SB-POD" dataDxfId="202"/>
    <tableColumn id="26" xr3:uid="{D5E1C33E-3342-477B-8544-E7A79E3BBC5E}" name="KFPr-SB-ZPG" dataDxfId="201"/>
    <tableColumn id="34" xr3:uid="{290E297F-71F1-4EF2-8A6F-94B834943A03}" name="КФ корпуса" dataDxfId="200">
      <calculatedColumnFormula>SUM(Прайс[[#This Row],[КФ НСТ11]:[KFPr-SB-ZPG]])</calculatedColumnFormula>
    </tableColumn>
    <tableColumn id="65" xr3:uid="{CCE4C4AA-FDC1-4A4C-A6D6-59B6ABF07D40}" name=" KFPr-SB-StK " dataDxfId="199"/>
    <tableColumn id="67" xr3:uid="{F04C1A69-1B5A-450B-8ACD-CF6240A49F46}" name="KFPr-SB-SPL" dataDxfId="198"/>
    <tableColumn id="66" xr3:uid="{8855FBE2-EA1B-412E-967A-04B7EEF0D462}" name="KFPr-SB-SMRZ_16мм" dataDxfId="197"/>
    <tableColumn id="68" xr3:uid="{CD98CCBA-39DF-4E4D-B751-90857AE86D0D}" name="КФ KEKU" dataDxfId="196"/>
    <tableColumn id="38" xr3:uid="{0B3A342F-ACDA-4E8C-A3BB-272F0EAD3983}" name="КФ петли SENS накл.110 гр. с крестообр. Планкой" dataDxfId="195"/>
    <tableColumn id="39" xr3:uid="{D8E42B09-DA91-43E3-88E2-3744E9609331}" name="KFP-SB-N110" dataDxfId="194"/>
    <tableColumn id="43" xr3:uid="{0C08449F-84E9-4D52-9A34-A9E6F062A42B}" name="КФ петли вклад. 95 гр. с крестообр. планкой" dataDxfId="193"/>
    <tableColumn id="44" xr3:uid="{20740129-5689-4ADA-BC82-18601D41BE66}" name="KFP-SB-PY94" dataDxfId="192"/>
    <tableColumn id="45" xr3:uid="{C58A7BD9-7F27-4E2A-8A7D-8993CF9D1B44}" name="КKFP-SB-GT45" dataDxfId="191"/>
    <tableColumn id="46" xr3:uid="{EA47B16B-24E3-4669-BCC6-4D10352115BD}" name="KFP-SB-N45" dataDxfId="190"/>
    <tableColumn id="61" xr3:uid="{77162D3C-DEBF-41ED-8D9C-6B324B0B34D6}" name="KFS-SB-45 (посудосушители)" dataDxfId="189"/>
    <tableColumn id="62" xr3:uid="{60DFC635-EC03-4DA5-9F1F-A274C5F766BE}" name="КФ Сушка AFF 600" dataDxfId="188"/>
    <tableColumn id="64" xr3:uid="{3218371B-081C-4144-9490-2129F71749B7}" name="КФ Сушка AFF 800" dataDxfId="187"/>
    <tableColumn id="63" xr3:uid="{3EA2A3F9-E872-4B9A-A20E-57B5568F095B}" name="КФ Сушка AFF 900" dataDxfId="186"/>
    <tableColumn id="56" xr3:uid="{4E28104D-EF7B-4E2E-8C57-FEB3C8A5F956}" name="KFP-SP-PPGK" dataDxfId="185"/>
    <tableColumn id="57" xr3:uid="{211F9D6D-49D0-464F-88C1-85C7CBE083C0}" name="KFP-SP-PPGK_71_x000a_" dataDxfId="184"/>
    <tableColumn id="58" xr3:uid="{3DCAA265-92DB-4B37-8C89-B111F9805E4C}" name="KFP-SP-PPA" dataDxfId="183"/>
    <tableColumn id="59" xr3:uid="{FE70647D-4BEA-43C9-B3B1-73D6E0E4A61C}" name="KFP-SB-PPHF_W" dataDxfId="182"/>
    <tableColumn id="55" xr3:uid="{81594DF4-0602-442D-AE34-AF4382DF367E}" name="KFN-SB-M54" dataDxfId="181"/>
    <tableColumn id="47" xr3:uid="{5E0D24F4-DA20-452E-825D-868422F8FB68}" name="Комплект для ящика Hettich ATIRA Серый, NL-470, H-70" dataDxfId="180"/>
    <tableColumn id="53" xr3:uid="{A0024684-C217-429E-AEBF-4AA1AAB1B938}" name="Комплект для ящика Hettich ATIRA Серый с реллингом, NL-470, H-176" dataDxfId="179"/>
    <tableColumn id="48" xr3:uid="{236E32BD-08D6-45FD-BF28-6DE93E881417}" name="KFN-SB-M86" dataDxfId="178"/>
    <tableColumn id="54" xr3:uid="{6D92F505-EC53-45E7-9F83-9FC8CF81B4EA}" name="KFN-SB-M15" dataDxfId="177"/>
    <tableColumn id="49" xr3:uid="{0BA15EFC-0C23-4EEF-89A3-788F5A1DA22A}" name="KFN-SB-MD" dataDxfId="176"/>
    <tableColumn id="50" xr3:uid="{B10F5262-24B7-495A-97A3-3715D959BA79}" name="КФ ящика Matrix (H=89 мм)_450_GR" dataDxfId="175"/>
    <tableColumn id="69" xr3:uid="{91FEF492-7357-4261-8FE8-93815647308F}" name="КФ ящика Matrix (H=175 мм)_450_GR" dataDxfId="174"/>
    <tableColumn id="51" xr3:uid="{E039F1AB-9656-4B47-869C-9EFC55626F41}" name="Комплект ящика INNOTECH ATIRA полного выдв. с  PUSH TO OPEN , Н70,NL470,цвет серебристый" dataDxfId="173"/>
    <tableColumn id="52" xr3:uid="{5EDCABD0-79AC-4437-8001-4AFC273FD9E7}" name="Комплект короба INNOTECH ATIRA полного выдв. с Push to open, Н176,NL470,рейлинги, цвет серебристый" dataDxfId="172"/>
    <tableColumn id="40" xr3:uid="{F1A933F2-08F8-4B70-91DB-3D28AB3BE3AF}" name="KFS-SB-BYT" dataDxfId="171"/>
    <tableColumn id="41" xr3:uid="{51C1E380-2E1D-451E-83A2-CBA0D818E63F}" name="Корзина с держателем для бутылок 414*500*520 мм" dataDxfId="170"/>
    <tableColumn id="42" xr3:uid="{D01A7E27-37CF-4158-BCF6-8D8ACC6AB5FA}" name="КФ евровинт" dataDxfId="169"/>
    <tableColumn id="60" xr3:uid="{F2C1507E-22CE-4A77-936E-2CE24901A3C5}" name="КФ  крепления профиля Gola" dataDxfId="168"/>
    <tableColumn id="70" xr3:uid="{1272954A-E182-4AE9-BB28-E27FBBD2F571}" name="Профиль Gola для подвесных шкафов алюм.16 мм" dataDxfId="167"/>
    <tableColumn id="35" xr3:uid="{A5B4233C-7C06-4820-B9A4-FA20195C8570}" name="Комплектация №2" dataDxfId="166"/>
    <tableColumn id="36" xr3:uid="{79D7852F-F7B6-4FE6-8058-4623A193C92E}" name="Комплектация №3" dataDxfId="165"/>
    <tableColumn id="37" xr3:uid="{178FF18E-2D49-4276-86AC-A7734F248861}" name="Комплектация №3Т" dataDxfId="164"/>
    <tableColumn id="72" xr3:uid="{0A128738-86E4-4853-B8A7-DB48EABDA6F3}" name="Базовая ширина" dataDxfId="163"/>
    <tableColumn id="73" xr3:uid="{65C4BD3E-E790-4D49-997C-1E56669D4E98}" name="Базовая высота" dataDxfId="162"/>
    <tableColumn id="71" xr3:uid="{7EC0296C-2955-4E3D-9A5F-10337ACB371C}" name="Базовая глубина" dataDxfId="161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60"/>
    <tableColumn id="78" xr3:uid="{D4F38851-262A-4693-8AD8-0C7FDA55E619}" name="Коэфф.ширина" dataDxfId="159"/>
    <tableColumn id="77" xr3:uid="{26F7B0FF-A98D-4C8D-96D6-9D12D73C3164}" name="Коэфф.глубина" dataDxfId="158"/>
    <tableColumn id="74" xr3:uid="{9C9D74FE-06DD-465B-9EC4-526E0AD42851}" name="Полки min,шт." dataDxfId="157"/>
    <tableColumn id="75" xr3:uid="{F6ACCF36-12D1-4AD7-8C04-71E8A7C3B7A8}" name="Полки max,шт." dataDxfId="156"/>
    <tableColumn id="80" xr3:uid="{43422F97-A6DC-4549-ACB1-3D312C38A5D2}" name="Tip-on" dataDxfId="155"/>
    <tableColumn id="79" xr3:uid="{A330CEAF-C3AA-40D5-86FB-2FEBF5EF4E97}" name="Инфо о комплектации" dataDxfId="154"/>
    <tableColumn id="81" xr3:uid="{B843A559-15F9-440A-8849-081FC64687B8}" name="Полки по умолчанию" dataDxfId="153"/>
    <tableColumn id="82" xr3:uid="{0B1FB40A-CD49-4F2E-817D-0D8EDA07ADEC}" name="Доступ к стеклянным полкам" dataDxfId="152"/>
    <tableColumn id="83" xr3:uid="{F771F382-683B-4AFB-8BD6-4CF199BF211B}" name="Базовая цена цветной корпус" dataDxfId="151"/>
    <tableColumn id="85" xr3:uid="{A97FD681-B265-4751-BA89-F91BDB10A91A}" name="КФ НСТ19" dataDxfId="150"/>
    <tableColumn id="86" xr3:uid="{14BC1293-0DFD-45DD-BDD4-435CD738E1D7}" name="Корзина выдв.посудосуш.600 мм + напр. L450 Hettich (ХРОМ)" dataDxfId="149"/>
    <tableColumn id="84" xr3:uid="{BA482443-7903-4EFC-8868-FB56B606CBD3}" name="Кол-во фасадов" dataDxfId="148"/>
    <tableColumn id="87" xr3:uid="{81CB94B1-D88C-4864-A693-E360971C5573}" name="Комплектация №1" dataDxfId="147"/>
    <tableColumn id="88" xr3:uid="{166E9563-467B-42B2-9F91-93150EF52B6A}" name="Комплектация №1T" dataDxfId="146"/>
    <tableColumn id="89" xr3:uid="{E9459AC4-F25B-4FB4-846E-2BCFBD5EE076}" name="КФ НСТ20" dataDxfId="145"/>
    <tableColumn id="90" xr3:uid="{52347FBE-AD01-4593-86FE-31C76657900A}" name="КФ НСТ12" dataDxfId="144"/>
    <tableColumn id="91" xr3:uid="{940FEBC0-3F1F-45AE-B99D-82E475EB025E}" name="КФ EMV1DL/2DL" dataDxfId="143"/>
    <tableColumn id="92" xr3:uid="{1060C1C1-2F73-4B2E-B04E-5AF3A0276DD8}" name="Комплект петли Hettich с доводчиком для алюм.профиля" dataDxfId="14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41" dataDxfId="140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39"/>
    <tableColumn id="2" xr3:uid="{CBCBEDBF-B07D-49DC-A647-FE89CED753BC}" name="Тип Фрезеровки" dataDxfId="138"/>
    <tableColumn id="3" xr3:uid="{04779E58-2E79-41D0-993D-E64BBDB80A08}" name="Толщина 1" dataDxfId="137"/>
    <tableColumn id="4" xr3:uid="{AFC3B80D-B2E7-403E-B0DA-CE217404C6BD}" name="Толщина 2" dataDxfId="136"/>
    <tableColumn id="10" xr3:uid="{6B17B2C9-6D21-4078-BE99-77C241E7DC55}" name="Min Высота" dataDxfId="135" dataCellStyle="Обычный 3 3 2"/>
    <tableColumn id="9" xr3:uid="{91E43A86-B770-4455-94D9-491992DB11F2}" name="Max  Высота" dataDxfId="134" dataCellStyle="Обычный 3 3 2"/>
    <tableColumn id="8" xr3:uid="{1E8C328D-3CF7-4E03-BB4F-B7980BB99223}" name="Min Ширина" dataDxfId="133" dataCellStyle="Обычный 3 3 2"/>
    <tableColumn id="6" xr3:uid="{CF8039AA-23E6-418E-A0A5-312D9E2944AB}" name="Max Ширина" dataDxfId="132" dataCellStyle="Обычный 3 3 2"/>
    <tableColumn id="7" xr3:uid="{800E6F5F-1CE0-4D8F-A3B4-140DEB6CCFDC}" name="Наличие витрин" dataDxfId="131"/>
    <tableColumn id="5" xr3:uid="{F4A035AC-4E9A-49DC-B7BF-8FE6F8C235B4}" name="Наличие решеток" dataDxfId="130"/>
    <tableColumn id="11" xr3:uid="{FD207359-7DA0-4E26-AEE1-458FD1D4493A}" name="Скидка на фрезеровку" dataDxfId="129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14" totalsRowShown="0" headerRowDxfId="128" dataDxfId="127">
  <autoFilter ref="S1:Z114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26"/>
    <tableColumn id="2" xr3:uid="{73BD45F6-34D0-43B6-98BE-5052519D3482}" name="Коллекция пленок" dataDxfId="125"/>
    <tableColumn id="3" xr3:uid="{70E4A86D-1E11-4D3B-B850-03CC3DC4EA8B}" name="Категория пленки" dataDxfId="124"/>
    <tableColumn id="4" xr3:uid="{0B4C060F-475F-46B8-8CE5-F3C7BC874AFA}" name="Цена 16 мм" dataDxfId="12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2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2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2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19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18" dataDxfId="117">
  <autoFilter ref="K3:P10" xr:uid="{F3C19AC2-AE15-4B07-BE4B-6E76B9B89693}"/>
  <tableColumns count="6">
    <tableColumn id="1" xr3:uid="{8E2A4EC6-52B7-4CF2-92DD-1EF56E80EFBD}" name="Коллекция" dataDxfId="116"/>
    <tableColumn id="2" xr3:uid="{060F59E6-9C05-42D3-BC91-8938AB99CC63}" name="Ценовая категория пленки" dataDxfId="115"/>
    <tableColumn id="3" xr3:uid="{E314DE90-CBD4-4FE9-A2D0-CD6F677BF3DE}" name="МДФ 16 мм" dataDxfId="114"/>
    <tableColumn id="4" xr3:uid="{8AF271A8-AFDB-4F65-BDF2-3DB16886F0C5}" name="МДФ 18/19 мм" dataDxfId="113"/>
    <tableColumn id="5" xr3:uid="{5C5591AE-C1DF-473C-B2DE-E2649E3D3375}" name="МДФ 22+ мм" dataDxfId="112"/>
    <tableColumn id="6" xr3:uid="{11B36507-9711-4DD9-9202-10F6B61EB8A3}" name="Скидка" dataDxfId="11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10" dataDxfId="109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08" dataCellStyle="Обычный 3 3 2"/>
    <tableColumn id="2" xr3:uid="{0E0EE42C-FE7B-4F0D-A337-37F464CFF87E}" name="Цена,м2" dataDxfId="107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06" dataDxfId="105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04"/>
    <tableColumn id="2" xr3:uid="{8EA293B5-92F1-4759-ADEF-C848180BDA6F}" name="Производитель" dataDxfId="103" dataCellStyle="Обычный 3 3 2"/>
    <tableColumn id="3" xr3:uid="{739B6914-4D3B-484E-AA74-696EAB757DDE}" name="Толщина" dataDxfId="102" dataCellStyle="Обычный 3 3 2"/>
    <tableColumn id="4" xr3:uid="{F76DA758-DCCA-4505-8475-85C54FB91E82}" name="Макс.длина" dataDxfId="101" dataCellStyle="Обычный 3 3 2"/>
    <tableColumn id="5" xr3:uid="{CC701F50-3C0E-479E-9F3F-DC9E52223198}" name="Макс Ширина" dataDxfId="100" dataCellStyle="Обычный 3 3 2"/>
    <tableColumn id="6" xr3:uid="{4920F4E6-ADAB-4B95-8E58-15D8D9E72C77}" name="600 х 1200" dataDxfId="99" dataCellStyle="Обычный 3 3 2"/>
    <tableColumn id="7" xr3:uid="{04B77FC8-EB4D-4C3E-A8E4-E1895151CB1E}" name="600 х 2100" dataDxfId="98" dataCellStyle="Обычный 3 3 2"/>
    <tableColumn id="8" xr3:uid="{F7AE2FF9-1B2F-4EDC-99A9-EB7CB8551D99}" name="600 х 3000" dataDxfId="97" dataCellStyle="Обычный 3 3 2"/>
    <tableColumn id="9" xr3:uid="{8CBECB23-2811-4DB4-B52F-11824BE49841}" name="600 х 4200" dataDxfId="96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95" dataDxfId="94" headerRowCellStyle="Обычный 3 3 2">
  <autoFilter ref="A41:C54" xr:uid="{2EDDD9FE-F82A-4CE3-9033-0059070A82A9}"/>
  <tableColumns count="3">
    <tableColumn id="1" xr3:uid="{FD66DD94-70F7-4270-9602-EC1F380D35D4}" name="Цвет стекла" dataDxfId="93"/>
    <tableColumn id="2" xr3:uid="{9BE30F06-5833-4665-9CB0-2D4DD0173678}" name="Цена за м2" dataDxfId="92"/>
    <tableColumn id="3" xr3:uid="{374E4493-A9D7-44BA-9C64-4BEBF58EC494}" name="Цена за м3" dataDxfId="91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90" dataDxfId="89" headerRowCellStyle="Обычный 3 3 2">
  <autoFilter ref="BQ2:BR10" xr:uid="{EF6E01D4-F17B-46D6-9C74-1A91633991E6}"/>
  <tableColumns count="2">
    <tableColumn id="1" xr3:uid="{6566BA5A-6251-4507-B4C5-91CA5FB36F9B}" name="Изделие" dataDxfId="88"/>
    <tableColumn id="2" xr3:uid="{7AFC3AD3-8460-444E-B461-2DC3FD886EBF}" name="Цена" dataDxfId="87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86" dataDxfId="84" headerRowBorderDxfId="85" tableBorderDxfId="83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82"/>
    <tableColumn id="2" xr3:uid="{3E974E66-E055-415D-BC78-AEBB3835C359}" name="Ценовая группа" dataDxfId="81"/>
    <tableColumn id="5" xr3:uid="{5D17A2A5-506D-4CEC-9605-81E9B46464BB}" name="Цена Глухих" dataDxfId="8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7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78"/>
    <tableColumn id="7" xr3:uid="{4CB3D8A8-D90F-40E8-A61F-27018681CD97}" name="Наличие витрин" dataDxfId="77"/>
    <tableColumn id="8" xr3:uid="{EAAAAB93-BF90-43F4-BEDC-0BC0EBD8D051}" name="Наличие решеток" dataDxfId="76"/>
    <tableColumn id="10" xr3:uid="{33005D4A-5898-40ED-98DD-CA0A969F2129}" name="Min Высота" dataDxfId="75"/>
    <tableColumn id="12" xr3:uid="{12F5F717-23F2-4894-A760-7B21E235FE17}" name="Max  Высота" dataDxfId="74"/>
    <tableColumn id="11" xr3:uid="{17D9C563-EE88-4BFA-BFF7-917D04AA2E0F}" name="Min Ширина" dataDxfId="73"/>
    <tableColumn id="9" xr3:uid="{EDC62BF4-8EB8-48B7-9E1A-6145B096640C}" name="Max Ширина" dataDxfId="72"/>
    <tableColumn id="13" xr3:uid="{203B0C4F-9596-48E5-B778-BAD94B029FB6}" name="Скидка" dataDxfId="71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70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69" dataDxfId="68">
  <autoFilter ref="BB2:BF6" xr:uid="{CDF8988B-80D7-4023-A44A-60A6C121CA19}"/>
  <tableColumns count="5">
    <tableColumn id="1" xr3:uid="{8B7A635E-A92E-4959-9B30-034CA4E495CA}" name="Ценовая группа" dataDxfId="67"/>
    <tableColumn id="3" xr3:uid="{199557CE-0391-4EB5-9FA0-31A44870D2B2}" name="Фасад глухой, фасад под врезную ручку Grosseto    кв.м" dataDxfId="66"/>
    <tableColumn id="4" xr3:uid="{A1682A37-C212-466F-8C8D-2A0D2039CF51}" name="Фасад витрина,   кв.м" dataDxfId="65"/>
    <tableColumn id="2" xr3:uid="{12783B52-1834-4A3C-B278-087F0043C2B7}" name="Наличие витрин" dataDxfId="64"/>
    <tableColumn id="5" xr3:uid="{8E232A17-8503-4545-9DCF-7BA9BCB2F06F}" name="Скидка" dataDxfId="63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62" dataDxfId="61">
  <autoFilter ref="CN2:CO11" xr:uid="{78F22871-9A7D-4E92-8393-BCC02454D1B5}"/>
  <tableColumns count="2">
    <tableColumn id="1" xr3:uid="{DBC91464-3C3F-4F38-BBAA-89F388048E0F}" name="Ценовая группа" dataDxfId="60"/>
    <tableColumn id="2" xr3:uid="{04C85D3B-608A-4808-89A3-B6E61150D6DB}" name="Цена" dataDxfId="59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58" tableBorderDxfId="57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56"/>
    <tableColumn id="2" xr3:uid="{FECC5A88-7198-469B-A665-329684C29E9D}" name="Тип" dataDxfId="55"/>
    <tableColumn id="3" xr3:uid="{CC23F91A-F17A-471B-B852-64253E79A7AA}" name="Категория" dataDxfId="54"/>
    <tableColumn id="5" xr3:uid="{ED08E27D-8EAE-40C6-B4DA-59D9CD74F7C1}" name="Коллекция" dataDxfId="53"/>
    <tableColumn id="4" xr3:uid="{3A1E0F89-FF3A-47A2-9E87-DEEBD263D18A}" name="Цена" dataDxfId="52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51" dataDxfId="50" headerRowCellStyle="Обычный 3 3 2">
  <autoFilter ref="CR2:CV12" xr:uid="{2EA2AF85-4825-4413-ABF4-CE5FC30FD4A8}"/>
  <tableColumns count="5">
    <tableColumn id="1" xr3:uid="{7E28429D-9BAD-4FE0-83A6-D475F88B8C7D}" name="Название товара" dataDxfId="49" dataCellStyle="Обычный 4"/>
    <tableColumn id="5" xr3:uid="{071BE9FD-B93E-4BF1-963E-E301C95C2453}" name="Коллекция" dataDxfId="48" dataCellStyle="Обычный 4"/>
    <tableColumn id="2" xr3:uid="{A999F0F8-00BA-486A-B80B-EB2CD4D3ED68}" name="Тип" dataDxfId="47" dataCellStyle="Обычный 4"/>
    <tableColumn id="3" xr3:uid="{6D170368-F687-40B9-ABF6-5FE9A03A10F9}" name="Инфо" dataDxfId="46" dataCellStyle="Обычный 3 3 2"/>
    <tableColumn id="4" xr3:uid="{6EB55A0C-4ED2-49FF-9E3D-2308BCFBD948}" name="Цена" dataDxfId="45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44" dataDxfId="43">
  <autoFilter ref="BH3:BJ7" xr:uid="{76766779-25D2-4D9A-92B0-62DD261F7ADE}"/>
  <tableColumns count="3">
    <tableColumn id="1" xr3:uid="{0C363F62-1411-423B-833C-EE4938A39ED8}" name="Ценовая группа" dataDxfId="42"/>
    <tableColumn id="3" xr3:uid="{0FACAF70-9E78-4CB5-9BEB-94CD4E3EA607}" name="Наличие витрин" dataDxfId="41"/>
    <tableColumn id="2" xr3:uid="{915418D3-2926-4D67-BD82-1F8127353EBE}" name="Цена за  кв.м" dataDxfId="40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39" dataDxfId="38" tableBorderDxfId="37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36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35" headerRowBorderDxfId="34" tableBorderDxfId="33" headerRowCellStyle="Обычный 3 3 2">
  <autoFilter ref="BU2:BV8" xr:uid="{EDAEED31-3CAB-4857-ADC7-481FD3B657B8}"/>
  <tableColumns count="2">
    <tableColumn id="1" xr3:uid="{298F9606-FFF2-4456-AC78-8E0C89E5AEE7}" name="Изделие" dataDxfId="32"/>
    <tableColumn id="2" xr3:uid="{5323DD3B-F076-4C62-B2EB-57BA20ABF983}" name="Цена" dataDxfId="31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30" headerRowBorderDxfId="29" tableBorderDxfId="28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27">
  <autoFilter ref="A1:A4" xr:uid="{D6CE3A41-D845-41C4-9D58-9BE1908C774D}"/>
  <tableColumns count="1">
    <tableColumn id="1" xr3:uid="{C4E9F6B1-D43E-417B-B9FF-5CDA6B059B32}" name="Комплектация" dataDxfId="26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25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24">
  <autoFilter ref="G1:G3" xr:uid="{83FDAE35-864B-4962-A9CB-879F0B2B8796}"/>
  <tableColumns count="1">
    <tableColumn id="1" xr3:uid="{E3EA7D02-E62E-4097-A7F7-77A82D4916E3}" name="Высота цоколя" dataDxfId="2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22">
  <autoFilter ref="J1:J4" xr:uid="{8C8E3226-D01B-41FB-863E-7D072F136CE5}"/>
  <tableColumns count="1">
    <tableColumn id="1" xr3:uid="{8DBCAD4C-AAC4-415D-88BE-7F3A179CA026}" name="Коллекция" dataDxfId="2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20" dataDxfId="19">
  <autoFilter ref="M1:M14" xr:uid="{A0548942-E8A9-4E8B-9851-C4C9F7AF3EB3}"/>
  <tableColumns count="1">
    <tableColumn id="1" xr3:uid="{9C646D72-8409-468A-A0E8-E0892C1BBA42}" name="Высота стандарт" dataDxfId="18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17" dataDxfId="16">
  <autoFilter ref="O1:O13" xr:uid="{60F194AF-2927-4A12-B0A2-383037574BAB}"/>
  <tableColumns count="1">
    <tableColumn id="1" xr3:uid="{9A41E97B-B352-47EB-B725-59542A5C3F59}" name="Ширина стандарт" dataDxfId="15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70AFEF6-D8C4-41E8-AA9B-5BD56EE79CA2}" name="Коллекция_НСТ" displayName="Коллекция_НСТ" ref="R1:R6" totalsRowShown="0" dataDxfId="14">
  <autoFilter ref="R1:R6" xr:uid="{A70AFEF6-D8C4-41E8-AA9B-5BD56EE79CA2}"/>
  <tableColumns count="1">
    <tableColumn id="1" xr3:uid="{63E0C09A-413E-4E0D-9EE9-59D20F325853}" name="Коллекция" dataDxfId="13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BAF954C-07DF-40F6-BD52-FA05214BC892}" name="Тип_модуля_НСТ" displayName="Тип_модуля_НСТ" ref="T1:T4" totalsRowShown="0">
  <autoFilter ref="T1:T4" xr:uid="{4BAF954C-07DF-40F6-BD52-FA05214BC892}"/>
  <tableColumns count="1">
    <tableColumn id="1" xr3:uid="{63378C38-1D23-4F3D-ACDD-19819AA815CF}" name="Тип модул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E355D1-7AF3-4069-BED9-1EBCE176EEE1}" name="Тип_НСТ" displayName="Тип_НСТ" ref="V1:V3" totalsRowShown="0">
  <autoFilter ref="V1:V3" xr:uid="{5FE355D1-7AF3-4069-BED9-1EBCE176EEE1}"/>
  <tableColumns count="1">
    <tableColumn id="1" xr3:uid="{51916A25-0654-4801-9E50-66948FBCD20D}" name="Тип НСТ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A29393D-92AF-4659-928F-31F211742E27}" name="Освещение" displayName="Освещение" ref="X1:X3" totalsRowShown="0">
  <autoFilter ref="X1:X3" xr:uid="{4A29393D-92AF-4659-928F-31F211742E27}"/>
  <tableColumns count="1">
    <tableColumn id="1" xr3:uid="{099CE78F-900B-4A93-BDED-3D52CE356AF5}" name="Освещение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623620-153F-46D6-924E-AED548D15101}" name="Открывание" displayName="Открывание" ref="Z1:Z5" totalsRowShown="0" headerRowDxfId="12" headerRowBorderDxfId="11" tableBorderDxfId="10">
  <autoFilter ref="Z1:Z5" xr:uid="{C9623620-153F-46D6-924E-AED548D15101}"/>
  <tableColumns count="1">
    <tableColumn id="1" xr3:uid="{4B5BD65F-CBE9-4437-94F7-7B4B2993690B}" name="Открывание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7DE8597-B8AA-423D-ACB5-F3689955C15C}" name="Опоры" displayName="Опоры" ref="R12:R15" totalsRowShown="0">
  <autoFilter ref="R12:R15" xr:uid="{07DE8597-B8AA-423D-ACB5-F3689955C15C}"/>
  <tableColumns count="1">
    <tableColumn id="1" xr3:uid="{4BCD6F9C-D645-4A81-8068-D75A495C017D}" name="Опоры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657C132F-37A1-4251-9C91-8BF00E337B7F}" name="Подъемник" displayName="Подъемник" ref="T12:T15" totalsRowShown="0" headerRowDxfId="9" dataDxfId="7" headerRowBorderDxfId="8" tableBorderDxfId="6">
  <autoFilter ref="T12:T15" xr:uid="{657C132F-37A1-4251-9C91-8BF00E337B7F}"/>
  <tableColumns count="1">
    <tableColumn id="1" xr3:uid="{C5C54A79-5E05-408B-8B01-DEA26326B460}" name="Подъемник" dataDxfId="5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9988944-5179-43B3-9A79-66092C4DD44F}" name="Материал_полок" displayName="Материал_полок" ref="V12:V15" totalsRowShown="0" headerRowDxfId="4" headerRowBorderDxfId="3" tableBorderDxfId="2" totalsRowBorderDxfId="1">
  <autoFilter ref="V12:V15" xr:uid="{09988944-5179-43B3-9A79-66092C4DD44F}"/>
  <tableColumns count="1">
    <tableColumn id="1" xr3:uid="{790C9B48-13A2-42F2-BACE-65B1F8692800}" name="Материал полок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4B1F8FF-979E-4266-A7CC-DE35CC14F918}" name="Комплектация_НСТ" displayName="Комплектация_НСТ" ref="X12:X19" totalsRowShown="0">
  <autoFilter ref="X12:X19" xr:uid="{44B1F8FF-979E-4266-A7CC-DE35CC14F918}"/>
  <tableColumns count="1">
    <tableColumn id="1" xr3:uid="{74487A32-8E20-46A1-AA19-EE3A0E7E810C}" name="Комплектация 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B7C882E-6FDF-47C8-AE43-002DB6FE0BEB}" name="Вопрос" displayName="Вопрос" ref="R19:R21" totalsRowShown="0">
  <autoFilter ref="R19:R21" xr:uid="{EB7C882E-6FDF-47C8-AE43-002DB6FE0BEB}"/>
  <tableColumns count="1">
    <tableColumn id="1" xr3:uid="{C22A3F03-D3BA-447E-ACD7-66FC5FB919C2}" name="Вопрос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934334-A9F4-4F59-BB3C-4ED3BDD5F8BE}" name="Ячейки_для_элементов" displayName="Ячейки_для_элементов" ref="AE1:AF28" totalsRowShown="0">
  <autoFilter ref="AE1:AF28" xr:uid="{53934334-A9F4-4F59-BB3C-4ED3BDD5F8BE}"/>
  <tableColumns count="2">
    <tableColumn id="1" xr3:uid="{23148A98-16CD-49EE-BFEA-68D847E2EF7A}" name="Наименование элемента"/>
    <tableColumn id="2" xr3:uid="{01321DA2-4671-4197-9ADA-E58693118D5D}" name="Адрес ячейки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image" Target="../media/image39.emf"/><Relationship Id="rId138" Type="http://schemas.openxmlformats.org/officeDocument/2006/relationships/control" Target="../activeX/activeX71.xml"/><Relationship Id="rId159" Type="http://schemas.openxmlformats.org/officeDocument/2006/relationships/image" Target="../media/image75.emf"/><Relationship Id="rId170" Type="http://schemas.openxmlformats.org/officeDocument/2006/relationships/control" Target="../activeX/activeX87.xml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control" Target="../activeX/activeX26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control" Target="../activeX/activeX48.xml"/><Relationship Id="rId160" Type="http://schemas.openxmlformats.org/officeDocument/2006/relationships/control" Target="../activeX/activeX82.xml"/><Relationship Id="rId181" Type="http://schemas.openxmlformats.org/officeDocument/2006/relationships/control" Target="../activeX/activeX97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0.xml"/><Relationship Id="rId139" Type="http://schemas.openxmlformats.org/officeDocument/2006/relationships/image" Target="../media/image65.emf"/><Relationship Id="rId85" Type="http://schemas.openxmlformats.org/officeDocument/2006/relationships/control" Target="../activeX/activeX43.xml"/><Relationship Id="rId150" Type="http://schemas.openxmlformats.org/officeDocument/2006/relationships/control" Target="../activeX/activeX77.xml"/><Relationship Id="rId171" Type="http://schemas.openxmlformats.org/officeDocument/2006/relationships/control" Target="../activeX/activeX88.xml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5.emf"/><Relationship Id="rId75" Type="http://schemas.openxmlformats.org/officeDocument/2006/relationships/control" Target="../activeX/activeX38.xml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61" Type="http://schemas.openxmlformats.org/officeDocument/2006/relationships/image" Target="../media/image76.emf"/><Relationship Id="rId182" Type="http://schemas.openxmlformats.org/officeDocument/2006/relationships/image" Target="../media/image82.emf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119" Type="http://schemas.openxmlformats.org/officeDocument/2006/relationships/image" Target="../media/image56.emf"/><Relationship Id="rId44" Type="http://schemas.openxmlformats.org/officeDocument/2006/relationships/image" Target="../media/image20.emf"/><Relationship Id="rId60" Type="http://schemas.openxmlformats.org/officeDocument/2006/relationships/image" Target="../media/image28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image" Target="../media/image40.emf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77" Type="http://schemas.openxmlformats.org/officeDocument/2006/relationships/control" Target="../activeX/activeX94.xml"/><Relationship Id="rId172" Type="http://schemas.openxmlformats.org/officeDocument/2006/relationships/control" Target="../activeX/activeX89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1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1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9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image" Target="../media/image43.emf"/><Relationship Id="rId162" Type="http://schemas.openxmlformats.org/officeDocument/2006/relationships/control" Target="../activeX/activeX83.xml"/><Relationship Id="rId2" Type="http://schemas.openxmlformats.org/officeDocument/2006/relationships/drawing" Target="../drawings/drawing3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control" Target="../activeX/activeX44.xml"/><Relationship Id="rId110" Type="http://schemas.openxmlformats.org/officeDocument/2006/relationships/control" Target="../activeX/activeX56.xml"/><Relationship Id="rId115" Type="http://schemas.openxmlformats.org/officeDocument/2006/relationships/image" Target="../media/image54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178" Type="http://schemas.openxmlformats.org/officeDocument/2006/relationships/control" Target="../activeX/activeX95.xml"/><Relationship Id="rId61" Type="http://schemas.openxmlformats.org/officeDocument/2006/relationships/control" Target="../activeX/activeX30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73" Type="http://schemas.openxmlformats.org/officeDocument/2006/relationships/control" Target="../activeX/activeX9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image" Target="../media/image26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86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image" Target="../media/image33.emf"/><Relationship Id="rId93" Type="http://schemas.openxmlformats.org/officeDocument/2006/relationships/control" Target="../activeX/activeX47.xml"/><Relationship Id="rId98" Type="http://schemas.openxmlformats.org/officeDocument/2006/relationships/control" Target="../activeX/activeX50.xml"/><Relationship Id="rId121" Type="http://schemas.openxmlformats.org/officeDocument/2006/relationships/control" Target="../activeX/activeX62.xml"/><Relationship Id="rId142" Type="http://schemas.openxmlformats.org/officeDocument/2006/relationships/control" Target="../activeX/activeX73.xml"/><Relationship Id="rId163" Type="http://schemas.openxmlformats.org/officeDocument/2006/relationships/image" Target="../media/image77.emf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59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control" Target="../activeX/activeX31.xml"/><Relationship Id="rId83" Type="http://schemas.openxmlformats.org/officeDocument/2006/relationships/control" Target="../activeX/activeX42.xml"/><Relationship Id="rId88" Type="http://schemas.openxmlformats.org/officeDocument/2006/relationships/image" Target="../media/image41.emf"/><Relationship Id="rId111" Type="http://schemas.openxmlformats.org/officeDocument/2006/relationships/image" Target="../media/image52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74" Type="http://schemas.openxmlformats.org/officeDocument/2006/relationships/control" Target="../activeX/activeX91.xml"/><Relationship Id="rId179" Type="http://schemas.openxmlformats.org/officeDocument/2006/relationships/image" Target="../media/image81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control" Target="../activeX/activeX28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image" Target="../media/image24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image" Target="../media/image44.emf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4.xml"/><Relationship Id="rId169" Type="http://schemas.openxmlformats.org/officeDocument/2006/relationships/image" Target="../media/image8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96.xml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control" Target="../activeX/activeX45.xml"/><Relationship Id="rId112" Type="http://schemas.openxmlformats.org/officeDocument/2006/relationships/control" Target="../activeX/activeX57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75" Type="http://schemas.openxmlformats.org/officeDocument/2006/relationships/control" Target="../activeX/activeX92.xml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image" Target="../media/image27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image" Target="../media/image42.emf"/><Relationship Id="rId165" Type="http://schemas.openxmlformats.org/officeDocument/2006/relationships/image" Target="../media/image78.emf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3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6" Type="http://schemas.openxmlformats.org/officeDocument/2006/relationships/control" Target="../activeX/activeX93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control" Target="../activeX/activeX29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Relationship Id="rId70" Type="http://schemas.openxmlformats.org/officeDocument/2006/relationships/image" Target="../media/image32.emf"/><Relationship Id="rId91" Type="http://schemas.openxmlformats.org/officeDocument/2006/relationships/control" Target="../activeX/activeX46.xml"/><Relationship Id="rId145" Type="http://schemas.openxmlformats.org/officeDocument/2006/relationships/image" Target="../media/image68.emf"/><Relationship Id="rId166" Type="http://schemas.openxmlformats.org/officeDocument/2006/relationships/control" Target="../activeX/activeX85.xml"/><Relationship Id="rId1" Type="http://schemas.openxmlformats.org/officeDocument/2006/relationships/printerSettings" Target="../printerSettings/printerSettings6.bin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0.xml"/><Relationship Id="rId13" Type="http://schemas.openxmlformats.org/officeDocument/2006/relationships/table" Target="../tables/table35.xml"/><Relationship Id="rId18" Type="http://schemas.openxmlformats.org/officeDocument/2006/relationships/table" Target="../tables/table40.xml"/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12" Type="http://schemas.openxmlformats.org/officeDocument/2006/relationships/table" Target="../tables/table34.xml"/><Relationship Id="rId17" Type="http://schemas.openxmlformats.org/officeDocument/2006/relationships/table" Target="../tables/table39.xml"/><Relationship Id="rId2" Type="http://schemas.openxmlformats.org/officeDocument/2006/relationships/table" Target="../tables/table24.xml"/><Relationship Id="rId16" Type="http://schemas.openxmlformats.org/officeDocument/2006/relationships/table" Target="../tables/table3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5" Type="http://schemas.openxmlformats.org/officeDocument/2006/relationships/table" Target="../tables/table27.xml"/><Relationship Id="rId15" Type="http://schemas.openxmlformats.org/officeDocument/2006/relationships/table" Target="../tables/table37.xml"/><Relationship Id="rId10" Type="http://schemas.openxmlformats.org/officeDocument/2006/relationships/table" Target="../tables/table32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Relationship Id="rId14" Type="http://schemas.openxmlformats.org/officeDocument/2006/relationships/table" Target="../tables/table3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F05D-5729-4939-8C7F-5EB2E7ED32F6}">
  <sheetPr codeName="Лист3"/>
  <dimension ref="A1:BZ71"/>
  <sheetViews>
    <sheetView zoomScale="115" zoomScaleNormal="115" workbookViewId="0">
      <pane xSplit="1" topLeftCell="B1" activePane="topRight" state="frozen"/>
      <selection pane="topRight" activeCell="C14" sqref="C13:C14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01" customWidth="1"/>
    <col min="8" max="8" width="17.140625" style="101" customWidth="1"/>
    <col min="9" max="9" width="16.42578125" style="1" customWidth="1"/>
    <col min="10" max="10" width="20.5703125" style="105" customWidth="1"/>
    <col min="11" max="11" width="17.85546875" customWidth="1"/>
    <col min="12" max="12" width="16.42578125" style="105" customWidth="1"/>
    <col min="13" max="13" width="27.42578125" style="10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416</v>
      </c>
      <c r="G1" s="101" t="s">
        <v>405</v>
      </c>
      <c r="H1" s="101" t="s">
        <v>417</v>
      </c>
      <c r="I1" s="1" t="s">
        <v>413</v>
      </c>
      <c r="J1" s="101" t="s">
        <v>420</v>
      </c>
      <c r="K1" s="1" t="s">
        <v>421</v>
      </c>
      <c r="L1" s="101" t="s">
        <v>423</v>
      </c>
      <c r="M1" s="101" t="s">
        <v>424</v>
      </c>
      <c r="N1" s="1" t="s">
        <v>403</v>
      </c>
      <c r="O1" s="1" t="s">
        <v>429</v>
      </c>
      <c r="P1" s="1" t="s">
        <v>100</v>
      </c>
      <c r="Q1" s="1" t="s">
        <v>478</v>
      </c>
      <c r="R1" s="1" t="s">
        <v>125</v>
      </c>
      <c r="S1" s="1" t="s">
        <v>470</v>
      </c>
      <c r="T1" s="1" t="s">
        <v>150</v>
      </c>
      <c r="U1" s="1" t="s">
        <v>121</v>
      </c>
      <c r="V1" s="1" t="s">
        <v>480</v>
      </c>
      <c r="W1" s="1" t="s">
        <v>512</v>
      </c>
      <c r="X1" s="2" t="s">
        <v>527</v>
      </c>
      <c r="Y1" s="1" t="s">
        <v>528</v>
      </c>
      <c r="Z1" s="1" t="s">
        <v>531</v>
      </c>
      <c r="AA1" s="1" t="s">
        <v>533</v>
      </c>
      <c r="AB1" s="1" t="s">
        <v>511</v>
      </c>
      <c r="AC1" s="1" t="s">
        <v>101</v>
      </c>
      <c r="AD1" s="1" t="s">
        <v>720</v>
      </c>
      <c r="AE1" s="1" t="s">
        <v>722</v>
      </c>
      <c r="AF1" s="1" t="s">
        <v>735</v>
      </c>
      <c r="AG1" s="1" t="s">
        <v>718</v>
      </c>
      <c r="AH1" s="1" t="s">
        <v>851</v>
      </c>
      <c r="AI1" s="1" t="s">
        <v>860</v>
      </c>
      <c r="AJ1" s="1" t="s">
        <v>717</v>
      </c>
      <c r="AK1" s="1" t="s">
        <v>716</v>
      </c>
      <c r="AM1" s="1" t="s">
        <v>432</v>
      </c>
      <c r="AN1" s="1" t="s">
        <v>465</v>
      </c>
      <c r="AO1" s="1" t="s">
        <v>466</v>
      </c>
      <c r="AP1" s="1" t="s">
        <v>116</v>
      </c>
      <c r="AQ1" s="1" t="s">
        <v>117</v>
      </c>
      <c r="AR1" s="1" t="s">
        <v>123</v>
      </c>
      <c r="AS1" s="1" t="s">
        <v>467</v>
      </c>
      <c r="AT1" s="1" t="s">
        <v>711</v>
      </c>
      <c r="AU1" s="1" t="s">
        <v>718</v>
      </c>
      <c r="AV1" s="1" t="s">
        <v>839</v>
      </c>
      <c r="AW1" s="1" t="s">
        <v>840</v>
      </c>
      <c r="AX1" s="1" t="s">
        <v>841</v>
      </c>
      <c r="AZ1" s="48" t="s">
        <v>125</v>
      </c>
      <c r="BA1" s="48" t="s">
        <v>470</v>
      </c>
      <c r="BB1" s="48" t="s">
        <v>150</v>
      </c>
      <c r="BC1" s="48" t="s">
        <v>121</v>
      </c>
      <c r="BD1" s="48" t="s">
        <v>535</v>
      </c>
      <c r="BE1" s="48" t="s">
        <v>536</v>
      </c>
      <c r="BF1" s="48" t="s">
        <v>534</v>
      </c>
      <c r="BG1" s="48" t="s">
        <v>528</v>
      </c>
      <c r="BH1" s="48" t="s">
        <v>531</v>
      </c>
      <c r="BI1" s="48" t="s">
        <v>123</v>
      </c>
      <c r="BJ1" s="48" t="s">
        <v>467</v>
      </c>
      <c r="BK1" s="48" t="s">
        <v>860</v>
      </c>
      <c r="BM1" s="68" t="s">
        <v>541</v>
      </c>
      <c r="BN1" s="69" t="s">
        <v>5</v>
      </c>
      <c r="BO1" s="68" t="s">
        <v>114</v>
      </c>
      <c r="BP1" s="68" t="s">
        <v>125</v>
      </c>
      <c r="BQ1" s="70" t="s">
        <v>507</v>
      </c>
      <c r="BR1" s="70" t="s">
        <v>495</v>
      </c>
      <c r="BT1" t="s">
        <v>349</v>
      </c>
      <c r="BU1" t="s">
        <v>507</v>
      </c>
      <c r="BV1" t="s">
        <v>495</v>
      </c>
      <c r="BW1" t="s">
        <v>125</v>
      </c>
      <c r="BY1" t="s">
        <v>854</v>
      </c>
      <c r="BZ1" t="s">
        <v>422</v>
      </c>
    </row>
    <row r="2" spans="1:78" x14ac:dyDescent="0.25">
      <c r="A2" s="154"/>
      <c r="B2" s="154"/>
      <c r="C2" s="154"/>
      <c r="D2" s="154"/>
      <c r="E2" s="154"/>
      <c r="F2" s="154"/>
      <c r="G2" s="155"/>
      <c r="H2" s="156"/>
      <c r="I2" s="154"/>
      <c r="J2" s="157"/>
      <c r="K2" s="154"/>
      <c r="L2" s="156"/>
      <c r="M2" s="156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M2" s="70"/>
      <c r="BN2" s="70"/>
      <c r="BO2" s="70"/>
      <c r="BP2" s="70"/>
      <c r="BQ2" s="70"/>
      <c r="BR2" s="70"/>
      <c r="BY2" t="s">
        <v>855</v>
      </c>
      <c r="BZ2">
        <v>0</v>
      </c>
    </row>
    <row r="3" spans="1:78" x14ac:dyDescent="0.25">
      <c r="A3" s="154" t="s">
        <v>843</v>
      </c>
      <c r="B3" s="154"/>
      <c r="C3" s="154"/>
      <c r="D3" s="154"/>
      <c r="E3" s="154"/>
      <c r="F3" s="154"/>
      <c r="G3" s="155"/>
      <c r="H3" s="156"/>
      <c r="I3" s="154"/>
      <c r="J3" s="157">
        <f>SUBTOTAL(109,Корзина[Цена фасадов])</f>
        <v>0</v>
      </c>
      <c r="K3" s="154"/>
      <c r="L3" s="156"/>
      <c r="M3" s="156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>
        <f>SUBTOTAL(109,Корзина[Цена корпус + полки])</f>
        <v>0</v>
      </c>
      <c r="AC3" s="154"/>
      <c r="AD3" s="154"/>
      <c r="AE3" s="154"/>
      <c r="AF3" s="154"/>
      <c r="AG3" s="154"/>
      <c r="AH3" s="154"/>
      <c r="AI3" s="154"/>
      <c r="AJ3" s="154"/>
      <c r="AK3" s="154"/>
      <c r="AZ3" s="1" t="s">
        <v>843</v>
      </c>
      <c r="BA3" s="1"/>
      <c r="BB3" s="1"/>
      <c r="BC3" s="1"/>
      <c r="BG3" s="1"/>
      <c r="BH3" s="1"/>
      <c r="BI3" s="1"/>
      <c r="BJ3" s="1">
        <f>SUBTOTAL(109,Заказ_Отдельные_фасады[Стоимость])</f>
        <v>0</v>
      </c>
      <c r="BK3" s="1"/>
      <c r="BY3" t="s">
        <v>856</v>
      </c>
      <c r="BZ3">
        <v>0</v>
      </c>
    </row>
    <row r="4" spans="1:78" x14ac:dyDescent="0.25">
      <c r="BY4" t="s">
        <v>857</v>
      </c>
      <c r="BZ4">
        <v>0</v>
      </c>
    </row>
    <row r="5" spans="1:78" x14ac:dyDescent="0.25">
      <c r="BY5" t="s">
        <v>858</v>
      </c>
      <c r="BZ5">
        <v>0</v>
      </c>
    </row>
    <row r="6" spans="1:78" x14ac:dyDescent="0.25">
      <c r="BY6" t="s">
        <v>859</v>
      </c>
      <c r="BZ6">
        <v>0</v>
      </c>
    </row>
    <row r="19" spans="1:63" x14ac:dyDescent="0.25"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</row>
    <row r="20" spans="1:63" x14ac:dyDescent="0.25"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</row>
    <row r="21" spans="1:63" s="104" customFormat="1" x14ac:dyDescent="0.25">
      <c r="A21" s="1"/>
      <c r="B21" s="1"/>
      <c r="C21" s="1"/>
      <c r="D21" s="1"/>
      <c r="E21" s="1"/>
      <c r="F21" s="1"/>
      <c r="G21" s="101"/>
      <c r="H21" s="101"/>
      <c r="I21" s="1"/>
      <c r="J21" s="105"/>
      <c r="K21"/>
      <c r="L21" s="105"/>
      <c r="M21" s="10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s="105" customFormat="1" x14ac:dyDescent="0.25">
      <c r="A22" s="1"/>
      <c r="B22" s="1"/>
      <c r="C22" s="1"/>
      <c r="D22" s="1"/>
      <c r="E22" s="1"/>
      <c r="F22" s="1"/>
      <c r="G22" s="101"/>
      <c r="H22" s="10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  <c r="AZ22"/>
      <c r="BA22"/>
      <c r="BB22"/>
      <c r="BC22"/>
      <c r="BD22"/>
      <c r="BE22"/>
      <c r="BF22"/>
      <c r="BG22"/>
      <c r="BH22"/>
      <c r="BI22"/>
      <c r="BJ22"/>
      <c r="BK22"/>
    </row>
    <row r="56" spans="1:63" x14ac:dyDescent="0.25">
      <c r="BK56" s="105"/>
    </row>
    <row r="57" spans="1:63" x14ac:dyDescent="0.25">
      <c r="BK57" s="105"/>
    </row>
    <row r="58" spans="1:63" s="105" customFormat="1" x14ac:dyDescent="0.25">
      <c r="A58" s="1"/>
      <c r="B58" s="1"/>
      <c r="C58" s="1"/>
      <c r="D58" s="1"/>
      <c r="E58" s="1"/>
      <c r="F58" s="1"/>
      <c r="G58" s="101"/>
      <c r="H58" s="10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</row>
    <row r="59" spans="1:63" s="105" customFormat="1" x14ac:dyDescent="0.25">
      <c r="A59" s="1"/>
      <c r="B59" s="1"/>
      <c r="C59" s="1"/>
      <c r="D59" s="1"/>
      <c r="E59" s="1"/>
      <c r="F59" s="1"/>
      <c r="G59" s="101"/>
      <c r="H59" s="10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</row>
    <row r="60" spans="1:63" s="105" customFormat="1" x14ac:dyDescent="0.25">
      <c r="A60" s="1"/>
      <c r="B60" s="1"/>
      <c r="C60" s="1"/>
      <c r="D60" s="1"/>
      <c r="E60" s="1"/>
      <c r="F60" s="1"/>
      <c r="G60" s="101"/>
      <c r="H60" s="10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  <c r="BK60"/>
    </row>
    <row r="61" spans="1:63" s="105" customFormat="1" x14ac:dyDescent="0.25">
      <c r="A61" s="1"/>
      <c r="B61" s="1"/>
      <c r="C61" s="1"/>
      <c r="D61" s="1"/>
      <c r="E61" s="1"/>
      <c r="F61" s="1"/>
      <c r="G61" s="101"/>
      <c r="H61" s="10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  <c r="BK61"/>
    </row>
    <row r="69" ht="15.75" customHeight="1" x14ac:dyDescent="0.25"/>
    <row r="70" ht="15.75" customHeight="1" x14ac:dyDescent="0.25"/>
    <row r="71" ht="15.75" customHeight="1" x14ac:dyDescent="0.25"/>
  </sheetData>
  <sheetProtection algorithmName="SHA-512" hashValue="aoTfKRhYPXzVX8i0yBog/FVTghsvOGy1DCecx8SyPIjez5ZY2Mwdyz089eeWYWWYGq6jmhrw+uQ2oIKS13yW5A==" saltValue="RDVPtmT+IuEEv8f3bML26g==" spinCount="100000" sheet="1" objects="1" scenarios="1"/>
  <conditionalFormatting sqref="A1:AK1">
    <cfRule type="expression" dxfId="372" priority="1">
      <formula>#REF!&lt;#REF!</formula>
    </cfRule>
  </conditionalFormatting>
  <conditionalFormatting sqref="A2:AK2">
    <cfRule type="expression" dxfId="371" priority="2">
      <formula>$AM1048363&lt;#REF!</formula>
    </cfRule>
  </conditionalFormatting>
  <conditionalFormatting sqref="AK2">
    <cfRule type="iconSet" priority="3">
      <iconSet iconSet="3Arrows">
        <cfvo type="percent" val="0"/>
        <cfvo type="percent" val="33"/>
        <cfvo type="percent" val="67"/>
      </iconSet>
    </cfRule>
    <cfRule type="cellIs" dxfId="370" priority="4" operator="lessThan">
      <formula>-40</formula>
    </cfRule>
    <cfRule type="cellIs" dxfId="369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L11" sqref="L1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N161"/>
  <sheetViews>
    <sheetView zoomScale="85" zoomScaleNormal="85" workbookViewId="0">
      <pane xSplit="1" topLeftCell="B1" activePane="topRight" state="frozen"/>
      <selection pane="topRight" activeCell="C5" sqref="C5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customWidth="1"/>
    <col min="4" max="6" width="15.7109375" style="1" customWidth="1"/>
    <col min="7" max="12" width="15.7109375" customWidth="1"/>
    <col min="13" max="13" width="15.7109375" style="181" customWidth="1"/>
    <col min="14" max="14" width="27" style="182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4" width="19.140625" customWidth="1"/>
    <col min="55" max="55" width="33.5703125" customWidth="1"/>
    <col min="56" max="58" width="19.140625" customWidth="1"/>
    <col min="59" max="60" width="35.42578125" customWidth="1"/>
    <col min="61" max="61" width="37.85546875" customWidth="1"/>
    <col min="62" max="62" width="36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23.5703125" bestFit="1" customWidth="1"/>
    <col min="69" max="69" width="29.5703125" customWidth="1"/>
    <col min="70" max="70" width="20.140625" customWidth="1"/>
    <col min="71" max="71" width="13.7109375" customWidth="1"/>
    <col min="72" max="72" width="9.140625" customWidth="1"/>
    <col min="73" max="73" width="28.140625" customWidth="1"/>
    <col min="74" max="74" width="9.140625" customWidth="1"/>
    <col min="75" max="75" width="19.5703125" customWidth="1"/>
    <col min="76" max="76" width="23" customWidth="1"/>
    <col min="77" max="77" width="12.5703125" customWidth="1"/>
    <col min="78" max="78" width="12.85546875" customWidth="1"/>
    <col min="79" max="79" width="9.140625" customWidth="1"/>
    <col min="80" max="80" width="45.7109375" customWidth="1"/>
    <col min="81" max="81" width="19.85546875" customWidth="1"/>
    <col min="82" max="82" width="26" customWidth="1"/>
    <col min="83" max="83" width="15.140625" customWidth="1"/>
    <col min="84" max="84" width="16.85546875" customWidth="1"/>
    <col min="85" max="85" width="15.5703125" bestFit="1" customWidth="1"/>
    <col min="86" max="86" width="13" bestFit="1" customWidth="1"/>
    <col min="87" max="87" width="20.7109375" customWidth="1"/>
    <col min="88" max="88" width="19.28515625" customWidth="1"/>
    <col min="89" max="90" width="14" bestFit="1" customWidth="1"/>
    <col min="91" max="91" width="19.85546875" bestFit="1" customWidth="1"/>
    <col min="92" max="92" width="28.85546875" customWidth="1"/>
  </cols>
  <sheetData>
    <row r="1" spans="1:92" s="5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177" t="s">
        <v>120</v>
      </c>
      <c r="N1" s="177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19" t="s">
        <v>328</v>
      </c>
      <c r="AH1" s="2" t="s">
        <v>353</v>
      </c>
      <c r="AI1" s="2" t="s">
        <v>402</v>
      </c>
      <c r="AJ1" s="2" t="s">
        <v>309</v>
      </c>
      <c r="AK1" s="2" t="s">
        <v>335</v>
      </c>
      <c r="AL1" s="2" t="s">
        <v>345</v>
      </c>
      <c r="AM1" s="2" t="s">
        <v>370</v>
      </c>
      <c r="AN1" s="2" t="s">
        <v>302</v>
      </c>
      <c r="AO1" s="2" t="s">
        <v>390</v>
      </c>
      <c r="AP1" s="2" t="s">
        <v>308</v>
      </c>
      <c r="AQ1" s="2" t="s">
        <v>391</v>
      </c>
      <c r="AR1" s="2" t="s">
        <v>312</v>
      </c>
      <c r="AS1" s="2" t="s">
        <v>362</v>
      </c>
      <c r="AT1" s="2" t="s">
        <v>338</v>
      </c>
      <c r="AU1" s="99" t="s">
        <v>339</v>
      </c>
      <c r="AV1" s="2" t="s">
        <v>340</v>
      </c>
      <c r="AW1" s="2" t="s">
        <v>348</v>
      </c>
      <c r="AX1" s="100" t="s">
        <v>331</v>
      </c>
      <c r="AY1" s="6" t="s">
        <v>332</v>
      </c>
      <c r="AZ1" s="100" t="s">
        <v>333</v>
      </c>
      <c r="BA1" s="2" t="s">
        <v>319</v>
      </c>
      <c r="BB1" s="2" t="s">
        <v>509</v>
      </c>
      <c r="BC1" s="2" t="s">
        <v>508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363</v>
      </c>
      <c r="BL1" s="2" t="s">
        <v>304</v>
      </c>
      <c r="BM1" s="2" t="s">
        <v>305</v>
      </c>
      <c r="BN1" s="2" t="s">
        <v>325</v>
      </c>
      <c r="BO1" s="2" t="s">
        <v>379</v>
      </c>
      <c r="BP1" s="2" t="s">
        <v>386</v>
      </c>
      <c r="BQ1" s="2" t="s">
        <v>136</v>
      </c>
      <c r="BR1" s="2" t="s">
        <v>387</v>
      </c>
      <c r="BS1" s="2" t="s">
        <v>403</v>
      </c>
      <c r="BT1" s="2" t="s">
        <v>404</v>
      </c>
      <c r="BU1" s="2" t="s">
        <v>425</v>
      </c>
      <c r="BV1" s="2" t="s">
        <v>426</v>
      </c>
      <c r="BW1" s="2" t="s">
        <v>427</v>
      </c>
      <c r="BX1" s="2" t="s">
        <v>428</v>
      </c>
      <c r="BY1" s="2" t="s">
        <v>414</v>
      </c>
      <c r="BZ1" s="2" t="s">
        <v>415</v>
      </c>
      <c r="CA1" s="2" t="s">
        <v>479</v>
      </c>
      <c r="CB1" s="2" t="s">
        <v>473</v>
      </c>
      <c r="CC1" s="2" t="s">
        <v>481</v>
      </c>
      <c r="CD1" s="2" t="s">
        <v>501</v>
      </c>
      <c r="CE1" s="2" t="s">
        <v>710</v>
      </c>
      <c r="CF1" s="2" t="s">
        <v>727</v>
      </c>
      <c r="CG1" s="2" t="s">
        <v>726</v>
      </c>
      <c r="CH1" s="2" t="s">
        <v>734</v>
      </c>
      <c r="CI1" s="176" t="s">
        <v>880</v>
      </c>
      <c r="CJ1" s="176" t="s">
        <v>881</v>
      </c>
      <c r="CK1" s="176" t="s">
        <v>1129</v>
      </c>
      <c r="CL1" s="176" t="s">
        <v>1139</v>
      </c>
      <c r="CM1" s="176" t="s">
        <v>1130</v>
      </c>
      <c r="CN1" s="176" t="s">
        <v>1141</v>
      </c>
    </row>
    <row r="2" spans="1:92" ht="15" customHeight="1" x14ac:dyDescent="0.25">
      <c r="A2" s="108" t="s">
        <v>3</v>
      </c>
      <c r="B2" s="101" t="s">
        <v>6</v>
      </c>
      <c r="C2" s="101" t="s">
        <v>736</v>
      </c>
      <c r="D2" s="101" t="s">
        <v>8</v>
      </c>
      <c r="E2" s="101" t="s">
        <v>10</v>
      </c>
      <c r="F2" s="101" t="s">
        <v>87</v>
      </c>
      <c r="G2" s="160">
        <v>420</v>
      </c>
      <c r="H2" s="160">
        <v>2500</v>
      </c>
      <c r="I2" s="160">
        <v>150</v>
      </c>
      <c r="J2" s="160">
        <v>900</v>
      </c>
      <c r="K2" s="160">
        <v>180</v>
      </c>
      <c r="L2" s="160">
        <v>640</v>
      </c>
      <c r="M2" s="178"/>
      <c r="N2" s="179"/>
      <c r="O2" s="111">
        <v>2350</v>
      </c>
      <c r="P2" s="195"/>
      <c r="Q2" s="195"/>
      <c r="R2" s="161">
        <f>'комплекты фурнитуры'!$C$3</f>
        <v>550</v>
      </c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>
        <f>'комплекты фурнитуры'!$C$23*2</f>
        <v>560</v>
      </c>
      <c r="AF2" s="161"/>
      <c r="AG2" s="161"/>
      <c r="AH2" s="196">
        <f>SUM(Прайс[[#This Row],[КФ НСТ11]:[KFPr-SB-ZPG]])</f>
        <v>1110</v>
      </c>
      <c r="AI2" s="196"/>
      <c r="AJ2" s="161"/>
      <c r="AK2" s="161"/>
      <c r="AL2" s="161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7">
        <f>SUM(Прайс[[#This Row],[ KFPr-SB-StK ]:[Корзина с держателем для бутылок 414*500*520 мм]])</f>
        <v>0</v>
      </c>
      <c r="BQ2" s="198">
        <f>SUM(Прайс[[#This Row],[ KFPr-SB-StK ]:[Корзина с держателем для бутылок 414*500*520 мм]])</f>
        <v>0</v>
      </c>
      <c r="BR2" s="198">
        <f>SUM(Прайс[[#This Row],[ KFPr-SB-StK ]:[Корзина с держателем для бутылок 414*500*520 мм]])</f>
        <v>0</v>
      </c>
      <c r="BS2" s="162">
        <v>300</v>
      </c>
      <c r="BT2" s="162">
        <v>720</v>
      </c>
      <c r="BU2" s="162" t="str">
        <f>IF(OR(Прайс[[#This Row],[Тип]]="Нижний",Прайс[[#This Row],[Тип]]="Пенал"),"560",IF(Прайс[[#This Row],[Тип]]="Верхний",315,0))</f>
        <v>560</v>
      </c>
      <c r="BV2" s="199">
        <v>1.095</v>
      </c>
      <c r="BW2" s="199">
        <v>1.0649999999999999</v>
      </c>
      <c r="BX2" s="198">
        <v>1.3</v>
      </c>
      <c r="BY2" s="162">
        <v>0</v>
      </c>
      <c r="BZ2" s="162">
        <v>7</v>
      </c>
      <c r="CA2" s="162" t="s">
        <v>10</v>
      </c>
      <c r="CB2" s="198" t="s">
        <v>474</v>
      </c>
      <c r="CC2" s="162">
        <v>1</v>
      </c>
      <c r="CD2" s="162" t="s">
        <v>10</v>
      </c>
      <c r="CE2" s="162">
        <v>2620</v>
      </c>
      <c r="CF2" s="1"/>
      <c r="CG2" s="1"/>
      <c r="CH2" s="1">
        <v>0</v>
      </c>
      <c r="CI2" s="162">
        <v>0</v>
      </c>
      <c r="CJ2" s="162">
        <v>0</v>
      </c>
      <c r="CK2" s="162"/>
      <c r="CL2" s="162"/>
      <c r="CM2" s="162"/>
      <c r="CN2" s="162"/>
    </row>
    <row r="3" spans="1:92" ht="15" customHeight="1" x14ac:dyDescent="0.25">
      <c r="A3" s="110" t="s">
        <v>0</v>
      </c>
      <c r="B3" s="101" t="s">
        <v>6</v>
      </c>
      <c r="C3" s="101" t="s">
        <v>737</v>
      </c>
      <c r="D3" s="101" t="s">
        <v>73</v>
      </c>
      <c r="E3" s="101" t="s">
        <v>10</v>
      </c>
      <c r="F3" s="101" t="s">
        <v>87</v>
      </c>
      <c r="G3" s="160">
        <v>480</v>
      </c>
      <c r="H3" s="160">
        <v>960</v>
      </c>
      <c r="I3" s="160">
        <v>150</v>
      </c>
      <c r="J3" s="160">
        <v>650</v>
      </c>
      <c r="K3" s="160">
        <v>180</v>
      </c>
      <c r="L3" s="160">
        <v>640</v>
      </c>
      <c r="M3" s="178"/>
      <c r="N3" s="179"/>
      <c r="O3" s="111">
        <v>2350</v>
      </c>
      <c r="P3" s="195"/>
      <c r="Q3" s="195"/>
      <c r="R3" s="161">
        <f>'комплекты фурнитуры'!$C$3</f>
        <v>550</v>
      </c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>
        <f>'комплекты фурнитуры'!$C$23*2</f>
        <v>560</v>
      </c>
      <c r="AF3" s="161"/>
      <c r="AG3" s="161"/>
      <c r="AH3" s="196">
        <f>SUM(Прайс[[#This Row],[КФ НСТ11]:[KFPr-SB-ZPG]])</f>
        <v>1110</v>
      </c>
      <c r="AI3" s="196"/>
      <c r="AJ3" s="161"/>
      <c r="AK3" s="161"/>
      <c r="AL3" s="161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6"/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7">
        <f>SUM(Прайс[[#This Row],[ KFPr-SB-StK ]:[Корзина с держателем для бутылок 414*500*520 мм]])</f>
        <v>0</v>
      </c>
      <c r="BQ3" s="198">
        <f>SUM(Прайс[[#This Row],[ KFPr-SB-StK ]:[Корзина с держателем для бутылок 414*500*520 мм]])</f>
        <v>0</v>
      </c>
      <c r="BR3" s="198">
        <f>SUM(Прайс[[#This Row],[ KFPr-SB-StK ]:[Корзина с держателем для бутылок 414*500*520 мм]])</f>
        <v>0</v>
      </c>
      <c r="BS3" s="162">
        <v>300</v>
      </c>
      <c r="BT3" s="162">
        <v>720</v>
      </c>
      <c r="BU3" s="162" t="str">
        <f>IF(OR(Прайс[[#This Row],[Тип]]="Нижний",Прайс[[#This Row],[Тип]]="Пенал"),"560",IF(Прайс[[#This Row],[Тип]]="Верхний",315,0))</f>
        <v>560</v>
      </c>
      <c r="BV3" s="199">
        <v>1.095</v>
      </c>
      <c r="BW3" s="199">
        <v>1.0649999999999999</v>
      </c>
      <c r="BX3" s="198">
        <v>1.3</v>
      </c>
      <c r="BY3" s="162">
        <v>0</v>
      </c>
      <c r="BZ3" s="162">
        <v>7</v>
      </c>
      <c r="CA3" s="162" t="s">
        <v>10</v>
      </c>
      <c r="CB3" s="198" t="s">
        <v>474</v>
      </c>
      <c r="CC3" s="162">
        <v>1</v>
      </c>
      <c r="CD3" s="162" t="s">
        <v>10</v>
      </c>
      <c r="CE3" s="162">
        <v>2620</v>
      </c>
      <c r="CF3" s="1"/>
      <c r="CG3" s="1"/>
      <c r="CH3" s="1">
        <v>1</v>
      </c>
      <c r="CI3" s="162">
        <v>0</v>
      </c>
      <c r="CJ3" s="162">
        <v>0</v>
      </c>
      <c r="CK3" s="162"/>
      <c r="CL3" s="162"/>
      <c r="CM3" s="162"/>
      <c r="CN3" s="162"/>
    </row>
    <row r="4" spans="1:92" ht="15" customHeight="1" x14ac:dyDescent="0.25">
      <c r="A4" s="110" t="s">
        <v>11</v>
      </c>
      <c r="B4" s="101" t="s">
        <v>6</v>
      </c>
      <c r="C4" s="101" t="s">
        <v>738</v>
      </c>
      <c r="D4" s="101" t="s">
        <v>73</v>
      </c>
      <c r="E4" s="101" t="s">
        <v>10</v>
      </c>
      <c r="F4" s="101" t="s">
        <v>87</v>
      </c>
      <c r="G4" s="109">
        <v>480</v>
      </c>
      <c r="H4" s="109">
        <v>960</v>
      </c>
      <c r="I4" s="109">
        <v>400</v>
      </c>
      <c r="J4" s="109">
        <v>900</v>
      </c>
      <c r="K4" s="109">
        <v>180</v>
      </c>
      <c r="L4" s="109">
        <v>640</v>
      </c>
      <c r="M4" s="178"/>
      <c r="N4" s="179"/>
      <c r="O4" s="111">
        <v>2350</v>
      </c>
      <c r="P4" s="195"/>
      <c r="Q4" s="195"/>
      <c r="R4" s="161">
        <f>'комплекты фурнитуры'!$C$3</f>
        <v>550</v>
      </c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>
        <f>'комплекты фурнитуры'!$C$23*2</f>
        <v>560</v>
      </c>
      <c r="AF4" s="161"/>
      <c r="AG4" s="161"/>
      <c r="AH4" s="196">
        <f>SUM(Прайс[[#This Row],[КФ НСТ11]:[KFPr-SB-ZPG]])</f>
        <v>1110</v>
      </c>
      <c r="AI4" s="196"/>
      <c r="AJ4" s="161"/>
      <c r="AK4" s="161"/>
      <c r="AL4" s="161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6"/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7">
        <f>SUM(Прайс[[#This Row],[ KFPr-SB-StK ]:[Корзина с держателем для бутылок 414*500*520 мм]])</f>
        <v>0</v>
      </c>
      <c r="BQ4" s="198">
        <f>SUM(Прайс[[#This Row],[ KFPr-SB-StK ]:[Корзина с держателем для бутылок 414*500*520 мм]])</f>
        <v>0</v>
      </c>
      <c r="BR4" s="198">
        <f>SUM(Прайс[[#This Row],[ KFPr-SB-StK ]:[Корзина с держателем для бутылок 414*500*520 мм]])</f>
        <v>0</v>
      </c>
      <c r="BS4" s="162">
        <v>300</v>
      </c>
      <c r="BT4" s="162">
        <v>720</v>
      </c>
      <c r="BU4" s="162" t="str">
        <f>IF(OR(Прайс[[#This Row],[Тип]]="Нижний",Прайс[[#This Row],[Тип]]="Пенал"),"560",IF(Прайс[[#This Row],[Тип]]="Верхний",315,0))</f>
        <v>560</v>
      </c>
      <c r="BV4" s="199">
        <v>1.095</v>
      </c>
      <c r="BW4" s="199">
        <v>1.0649999999999999</v>
      </c>
      <c r="BX4" s="198">
        <v>1.3</v>
      </c>
      <c r="BY4" s="162">
        <v>0</v>
      </c>
      <c r="BZ4" s="162">
        <v>7</v>
      </c>
      <c r="CA4" s="162" t="s">
        <v>10</v>
      </c>
      <c r="CB4" s="198" t="s">
        <v>474</v>
      </c>
      <c r="CC4" s="162">
        <v>1</v>
      </c>
      <c r="CD4" s="162" t="s">
        <v>10</v>
      </c>
      <c r="CE4" s="162">
        <v>2620</v>
      </c>
      <c r="CF4" s="1"/>
      <c r="CG4" s="1"/>
      <c r="CH4" s="1">
        <v>2</v>
      </c>
      <c r="CI4" s="162">
        <v>0</v>
      </c>
      <c r="CJ4" s="162">
        <v>0</v>
      </c>
      <c r="CK4" s="162"/>
      <c r="CL4" s="162"/>
      <c r="CM4" s="162"/>
      <c r="CN4" s="162"/>
    </row>
    <row r="5" spans="1:92" ht="15" customHeight="1" x14ac:dyDescent="0.25">
      <c r="A5" s="110" t="s">
        <v>388</v>
      </c>
      <c r="B5" s="101" t="s">
        <v>6</v>
      </c>
      <c r="C5" s="101" t="s">
        <v>739</v>
      </c>
      <c r="D5" s="101" t="s">
        <v>73</v>
      </c>
      <c r="E5" s="101" t="s">
        <v>10</v>
      </c>
      <c r="F5" s="101" t="s">
        <v>88</v>
      </c>
      <c r="G5" s="109">
        <v>720</v>
      </c>
      <c r="H5" s="109">
        <v>720</v>
      </c>
      <c r="I5" s="109">
        <v>150</v>
      </c>
      <c r="J5" s="109">
        <v>150</v>
      </c>
      <c r="K5" s="109">
        <v>500</v>
      </c>
      <c r="L5" s="109">
        <v>640</v>
      </c>
      <c r="M5" s="178"/>
      <c r="N5" s="179" t="s">
        <v>51</v>
      </c>
      <c r="O5" s="111">
        <v>2350</v>
      </c>
      <c r="P5" s="195"/>
      <c r="Q5" s="195"/>
      <c r="R5" s="161">
        <f>'комплекты фурнитуры'!$C$3</f>
        <v>550</v>
      </c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>
        <f>'комплекты фурнитуры'!$C$23*2</f>
        <v>560</v>
      </c>
      <c r="AF5" s="161"/>
      <c r="AG5" s="161"/>
      <c r="AH5" s="196">
        <f>SUM(Прайс[[#This Row],[КФ НСТ11]:[KFPr-SB-ZPG]])</f>
        <v>1110</v>
      </c>
      <c r="AI5" s="196"/>
      <c r="AJ5" s="161"/>
      <c r="AK5" s="161"/>
      <c r="AL5" s="161"/>
      <c r="AM5" s="196"/>
      <c r="AN5" s="196"/>
      <c r="AO5" s="196"/>
      <c r="AP5" s="196"/>
      <c r="AQ5" s="196"/>
      <c r="AR5" s="196"/>
      <c r="AS5" s="196"/>
      <c r="AT5" s="196"/>
      <c r="AU5" s="196"/>
      <c r="AV5" s="196"/>
      <c r="AW5" s="196"/>
      <c r="AX5" s="196"/>
      <c r="AY5" s="196"/>
      <c r="AZ5" s="196"/>
      <c r="BA5" s="196"/>
      <c r="BB5" s="196"/>
      <c r="BC5" s="196"/>
      <c r="BD5" s="196"/>
      <c r="BE5" s="196"/>
      <c r="BF5" s="196"/>
      <c r="BG5" s="196"/>
      <c r="BH5" s="196"/>
      <c r="BI5" s="196"/>
      <c r="BJ5" s="196"/>
      <c r="BK5" s="196"/>
      <c r="BL5" s="196"/>
      <c r="BM5" s="196"/>
      <c r="BN5" s="196"/>
      <c r="BO5" s="196"/>
      <c r="BP5" s="197">
        <f>SUM(Прайс[[#This Row],[ KFPr-SB-StK ]:[Корзина с держателем для бутылок 414*500*520 мм]])</f>
        <v>0</v>
      </c>
      <c r="BQ5" s="198">
        <f>SUM(Прайс[[#This Row],[ KFPr-SB-StK ]:[Корзина с держателем для бутылок 414*500*520 мм]])</f>
        <v>0</v>
      </c>
      <c r="BR5" s="198">
        <f>SUM(Прайс[[#This Row],[ KFPr-SB-StK ]:[Корзина с держателем для бутылок 414*500*520 мм]])</f>
        <v>0</v>
      </c>
      <c r="BS5" s="162">
        <v>300</v>
      </c>
      <c r="BT5" s="162">
        <v>720</v>
      </c>
      <c r="BU5" s="162" t="str">
        <f>IF(OR(Прайс[[#This Row],[Тип]]="Нижний",Прайс[[#This Row],[Тип]]="Пенал"),"560",IF(Прайс[[#This Row],[Тип]]="Верхний",315,0))</f>
        <v>560</v>
      </c>
      <c r="BV5" s="199">
        <v>1.095</v>
      </c>
      <c r="BW5" s="199">
        <v>1.0649999999999999</v>
      </c>
      <c r="BX5" s="198">
        <v>1.3</v>
      </c>
      <c r="BY5" s="162">
        <v>0</v>
      </c>
      <c r="BZ5" s="162">
        <v>7</v>
      </c>
      <c r="CA5" s="162" t="s">
        <v>10</v>
      </c>
      <c r="CB5" s="198" t="s">
        <v>474</v>
      </c>
      <c r="CC5" s="162">
        <v>1</v>
      </c>
      <c r="CD5" s="162" t="s">
        <v>10</v>
      </c>
      <c r="CE5" s="162">
        <v>2620</v>
      </c>
      <c r="CF5" s="1"/>
      <c r="CG5" s="1"/>
      <c r="CH5" s="1">
        <v>1</v>
      </c>
      <c r="CI5" s="162">
        <v>0</v>
      </c>
      <c r="CJ5" s="162">
        <v>0</v>
      </c>
      <c r="CK5" s="162"/>
      <c r="CL5" s="162"/>
      <c r="CM5" s="162"/>
      <c r="CN5" s="162"/>
    </row>
    <row r="6" spans="1:92" ht="15" customHeight="1" x14ac:dyDescent="0.25">
      <c r="A6" s="110" t="s">
        <v>389</v>
      </c>
      <c r="B6" s="101" t="s">
        <v>6</v>
      </c>
      <c r="C6" s="101" t="s">
        <v>740</v>
      </c>
      <c r="D6" s="101" t="s">
        <v>73</v>
      </c>
      <c r="E6" s="101" t="s">
        <v>10</v>
      </c>
      <c r="F6" s="101" t="s">
        <v>88</v>
      </c>
      <c r="G6" s="109">
        <v>720</v>
      </c>
      <c r="H6" s="109">
        <v>720</v>
      </c>
      <c r="I6" s="109">
        <v>450</v>
      </c>
      <c r="J6" s="109">
        <v>450</v>
      </c>
      <c r="K6" s="109">
        <v>500</v>
      </c>
      <c r="L6" s="109">
        <v>640</v>
      </c>
      <c r="M6" s="178"/>
      <c r="N6" s="179" t="s">
        <v>51</v>
      </c>
      <c r="O6" s="111">
        <v>2350</v>
      </c>
      <c r="P6" s="195"/>
      <c r="Q6" s="195"/>
      <c r="R6" s="161">
        <f>'комплекты фурнитуры'!$C$3</f>
        <v>550</v>
      </c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>
        <f>'комплекты фурнитуры'!$C$23*2</f>
        <v>560</v>
      </c>
      <c r="AF6" s="161"/>
      <c r="AG6" s="161"/>
      <c r="AH6" s="196">
        <f>SUM(Прайс[[#This Row],[КФ НСТ11]:[KFPr-SB-ZPG]])</f>
        <v>1110</v>
      </c>
      <c r="AI6" s="196"/>
      <c r="AJ6" s="161"/>
      <c r="AK6" s="161"/>
      <c r="AL6" s="161"/>
      <c r="AM6" s="196"/>
      <c r="AN6" s="196"/>
      <c r="AO6" s="196"/>
      <c r="AP6" s="196"/>
      <c r="AQ6" s="196"/>
      <c r="AR6" s="196"/>
      <c r="AS6" s="196"/>
      <c r="AT6" s="196"/>
      <c r="AU6" s="196"/>
      <c r="AV6" s="196"/>
      <c r="AW6" s="196"/>
      <c r="AX6" s="196"/>
      <c r="AY6" s="196"/>
      <c r="AZ6" s="196"/>
      <c r="BA6" s="196"/>
      <c r="BB6" s="196"/>
      <c r="BC6" s="196"/>
      <c r="BD6" s="196"/>
      <c r="BE6" s="196"/>
      <c r="BF6" s="196"/>
      <c r="BG6" s="196"/>
      <c r="BH6" s="196"/>
      <c r="BI6" s="196"/>
      <c r="BJ6" s="196"/>
      <c r="BK6" s="196"/>
      <c r="BL6" s="196"/>
      <c r="BM6" s="196"/>
      <c r="BN6" s="196"/>
      <c r="BO6" s="196"/>
      <c r="BP6" s="197">
        <f>SUM(Прайс[[#This Row],[ KFPr-SB-StK ]:[Корзина с держателем для бутылок 414*500*520 мм]])</f>
        <v>0</v>
      </c>
      <c r="BQ6" s="198">
        <f>SUM(Прайс[[#This Row],[ KFPr-SB-StK ]:[Корзина с держателем для бутылок 414*500*520 мм]])</f>
        <v>0</v>
      </c>
      <c r="BR6" s="198">
        <f>SUM(Прайс[[#This Row],[ KFPr-SB-StK ]:[Корзина с держателем для бутылок 414*500*520 мм]])</f>
        <v>0</v>
      </c>
      <c r="BS6" s="162">
        <v>300</v>
      </c>
      <c r="BT6" s="162">
        <v>720</v>
      </c>
      <c r="BU6" s="162" t="str">
        <f>IF(OR(Прайс[[#This Row],[Тип]]="Нижний",Прайс[[#This Row],[Тип]]="Пенал"),"560",IF(Прайс[[#This Row],[Тип]]="Верхний",315,0))</f>
        <v>560</v>
      </c>
      <c r="BV6" s="199">
        <v>1.095</v>
      </c>
      <c r="BW6" s="199">
        <v>1.0649999999999999</v>
      </c>
      <c r="BX6" s="198">
        <v>1.3</v>
      </c>
      <c r="BY6" s="162">
        <v>0</v>
      </c>
      <c r="BZ6" s="162">
        <v>7</v>
      </c>
      <c r="CA6" s="162" t="s">
        <v>10</v>
      </c>
      <c r="CB6" s="198" t="s">
        <v>474</v>
      </c>
      <c r="CC6" s="162">
        <v>1</v>
      </c>
      <c r="CD6" s="162" t="s">
        <v>10</v>
      </c>
      <c r="CE6" s="162">
        <v>2620</v>
      </c>
      <c r="CF6" s="1"/>
      <c r="CG6" s="1"/>
      <c r="CH6" s="1">
        <v>1</v>
      </c>
      <c r="CI6" s="162">
        <v>0</v>
      </c>
      <c r="CJ6" s="162">
        <v>0</v>
      </c>
      <c r="CK6" s="162"/>
      <c r="CL6" s="162"/>
      <c r="CM6" s="162"/>
      <c r="CN6" s="162"/>
    </row>
    <row r="7" spans="1:92" x14ac:dyDescent="0.25">
      <c r="A7" s="110" t="s">
        <v>12</v>
      </c>
      <c r="B7" s="101" t="s">
        <v>6</v>
      </c>
      <c r="C7" s="101" t="s">
        <v>741</v>
      </c>
      <c r="D7" s="101" t="s">
        <v>73</v>
      </c>
      <c r="E7" s="101" t="s">
        <v>10</v>
      </c>
      <c r="F7" s="101" t="s">
        <v>89</v>
      </c>
      <c r="G7" s="109">
        <v>600</v>
      </c>
      <c r="H7" s="109">
        <v>750</v>
      </c>
      <c r="I7" s="109">
        <v>300</v>
      </c>
      <c r="J7" s="109">
        <v>600</v>
      </c>
      <c r="K7" s="109">
        <v>250</v>
      </c>
      <c r="L7" s="109">
        <v>640</v>
      </c>
      <c r="M7" s="178"/>
      <c r="N7" s="179"/>
      <c r="O7" s="111">
        <v>2380</v>
      </c>
      <c r="P7" s="200"/>
      <c r="Q7" s="200"/>
      <c r="R7" s="161"/>
      <c r="S7" s="161">
        <f>'комплекты фурнитуры'!$C$4</f>
        <v>460</v>
      </c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>
        <f>'комплекты фурнитуры'!$C$23*2</f>
        <v>560</v>
      </c>
      <c r="AF7" s="161"/>
      <c r="AG7" s="161"/>
      <c r="AH7" s="196">
        <f>SUM(Прайс[[#This Row],[КФ НСТ11]:[KFPr-SB-ZPG]])</f>
        <v>1020</v>
      </c>
      <c r="AI7" s="196"/>
      <c r="AJ7" s="161"/>
      <c r="AK7" s="161"/>
      <c r="AL7" s="161"/>
      <c r="AM7" s="196">
        <f>'комплекты фурнитуры'!$C$62</f>
        <v>620</v>
      </c>
      <c r="AN7" s="196">
        <f>'комплекты фурнитуры'!$C$63</f>
        <v>130</v>
      </c>
      <c r="AO7" s="196"/>
      <c r="AP7" s="196"/>
      <c r="AQ7" s="196"/>
      <c r="AR7" s="196"/>
      <c r="AS7" s="196"/>
      <c r="AT7" s="196"/>
      <c r="AU7" s="196"/>
      <c r="AV7" s="196"/>
      <c r="AW7" s="196"/>
      <c r="AX7" s="196"/>
      <c r="AY7" s="196"/>
      <c r="AZ7" s="196"/>
      <c r="BA7" s="196"/>
      <c r="BB7" s="196"/>
      <c r="BC7" s="196"/>
      <c r="BD7" s="196"/>
      <c r="BE7" s="196"/>
      <c r="BF7" s="196"/>
      <c r="BG7" s="196"/>
      <c r="BH7" s="196"/>
      <c r="BI7" s="196"/>
      <c r="BJ7" s="196"/>
      <c r="BK7" s="196"/>
      <c r="BL7" s="196"/>
      <c r="BM7" s="196"/>
      <c r="BN7" s="196"/>
      <c r="BO7" s="196"/>
      <c r="BP7" s="197">
        <f>Прайс[[#This Row],[КФ петли SENS накл.110 гр. с крестообр. Планкой]]*2</f>
        <v>1240</v>
      </c>
      <c r="BQ7" s="198">
        <f>Прайс[[#This Row],[KFP-SB-N110]]*2</f>
        <v>260</v>
      </c>
      <c r="BR7" s="198">
        <f>Прайс[[#This Row],[KFP-SB-N110]]*2</f>
        <v>260</v>
      </c>
      <c r="BS7" s="162">
        <v>450</v>
      </c>
      <c r="BT7" s="162">
        <v>720</v>
      </c>
      <c r="BU7" s="162" t="str">
        <f>IF(OR(Прайс[[#This Row],[Тип]]="Нижний",Прайс[[#This Row],[Тип]]="Пенал"),"560",IF(Прайс[[#This Row],[Тип]]="Верхний",315,0))</f>
        <v>560</v>
      </c>
      <c r="BV7" s="199">
        <v>1.08</v>
      </c>
      <c r="BW7" s="199">
        <v>1.0649999999999999</v>
      </c>
      <c r="BX7" s="198">
        <v>1.3</v>
      </c>
      <c r="BY7" s="162">
        <v>0</v>
      </c>
      <c r="BZ7" s="162">
        <v>0</v>
      </c>
      <c r="CA7" s="162" t="s">
        <v>71</v>
      </c>
      <c r="CB7" s="198" t="s">
        <v>474</v>
      </c>
      <c r="CC7" s="162">
        <v>0</v>
      </c>
      <c r="CD7" s="162" t="s">
        <v>10</v>
      </c>
      <c r="CE7" s="162">
        <v>2690</v>
      </c>
      <c r="CF7" s="1"/>
      <c r="CG7" s="1"/>
      <c r="CH7" s="1">
        <v>1</v>
      </c>
      <c r="CI7" s="162">
        <v>0</v>
      </c>
      <c r="CJ7" s="162">
        <v>0</v>
      </c>
      <c r="CK7" s="162"/>
      <c r="CL7" s="162"/>
      <c r="CM7" s="162"/>
      <c r="CN7" s="162"/>
    </row>
    <row r="8" spans="1:92" ht="15" customHeight="1" x14ac:dyDescent="0.25">
      <c r="A8" s="110" t="s">
        <v>13</v>
      </c>
      <c r="B8" s="101" t="s">
        <v>6</v>
      </c>
      <c r="C8" s="101" t="s">
        <v>742</v>
      </c>
      <c r="D8" s="101" t="s">
        <v>73</v>
      </c>
      <c r="E8" s="101" t="s">
        <v>10</v>
      </c>
      <c r="F8" s="101" t="s">
        <v>89</v>
      </c>
      <c r="G8" s="109">
        <v>600</v>
      </c>
      <c r="H8" s="109">
        <v>750</v>
      </c>
      <c r="I8" s="109">
        <v>400</v>
      </c>
      <c r="J8" s="109">
        <v>900</v>
      </c>
      <c r="K8" s="109">
        <v>250</v>
      </c>
      <c r="L8" s="109">
        <v>640</v>
      </c>
      <c r="M8" s="178"/>
      <c r="N8" s="179"/>
      <c r="O8" s="111">
        <v>2380</v>
      </c>
      <c r="P8" s="200"/>
      <c r="Q8" s="200"/>
      <c r="R8" s="161"/>
      <c r="S8" s="161">
        <f>'комплекты фурнитуры'!$C$4</f>
        <v>460</v>
      </c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>
        <f>'комплекты фурнитуры'!$C$23*2</f>
        <v>560</v>
      </c>
      <c r="AF8" s="161"/>
      <c r="AG8" s="161"/>
      <c r="AH8" s="196">
        <f>SUM(Прайс[[#This Row],[КФ НСТ11]:[KFPr-SB-ZPG]])</f>
        <v>1020</v>
      </c>
      <c r="AI8" s="196"/>
      <c r="AJ8" s="161"/>
      <c r="AK8" s="161"/>
      <c r="AL8" s="161"/>
      <c r="AM8" s="196">
        <f>'комплекты фурнитуры'!$C$62</f>
        <v>620</v>
      </c>
      <c r="AN8" s="196">
        <f>'комплекты фурнитуры'!$C$63</f>
        <v>130</v>
      </c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7">
        <f>Прайс[[#This Row],[КФ петли SENS накл.110 гр. с крестообр. Планкой]]*2</f>
        <v>1240</v>
      </c>
      <c r="BQ8" s="198">
        <f>Прайс[[#This Row],[KFP-SB-N110]]*2</f>
        <v>260</v>
      </c>
      <c r="BR8" s="198">
        <f>Прайс[[#This Row],[KFP-SB-N110]]*2</f>
        <v>260</v>
      </c>
      <c r="BS8" s="162">
        <v>450</v>
      </c>
      <c r="BT8" s="162">
        <v>720</v>
      </c>
      <c r="BU8" s="162" t="str">
        <f>IF(OR(Прайс[[#This Row],[Тип]]="Нижний",Прайс[[#This Row],[Тип]]="Пенал"),"560",IF(Прайс[[#This Row],[Тип]]="Верхний",315,0))</f>
        <v>560</v>
      </c>
      <c r="BV8" s="199">
        <v>1.08</v>
      </c>
      <c r="BW8" s="199">
        <v>1.0649999999999999</v>
      </c>
      <c r="BX8" s="198">
        <v>1.3</v>
      </c>
      <c r="BY8" s="162">
        <v>0</v>
      </c>
      <c r="BZ8" s="162">
        <v>0</v>
      </c>
      <c r="CA8" s="162" t="s">
        <v>71</v>
      </c>
      <c r="CB8" s="198" t="s">
        <v>474</v>
      </c>
      <c r="CC8" s="162">
        <v>0</v>
      </c>
      <c r="CD8" s="162" t="s">
        <v>10</v>
      </c>
      <c r="CE8" s="162">
        <v>2690</v>
      </c>
      <c r="CF8" s="1"/>
      <c r="CG8" s="1"/>
      <c r="CH8" s="1">
        <v>2</v>
      </c>
      <c r="CI8" s="162">
        <v>0</v>
      </c>
      <c r="CJ8" s="162">
        <v>0</v>
      </c>
      <c r="CK8" s="162"/>
      <c r="CL8" s="162"/>
      <c r="CM8" s="162"/>
      <c r="CN8" s="162"/>
    </row>
    <row r="9" spans="1:92" ht="15" customHeight="1" x14ac:dyDescent="0.25">
      <c r="A9" s="110" t="s">
        <v>129</v>
      </c>
      <c r="B9" s="101" t="s">
        <v>6</v>
      </c>
      <c r="C9" s="101" t="s">
        <v>743</v>
      </c>
      <c r="D9" s="101" t="s">
        <v>69</v>
      </c>
      <c r="E9" s="101" t="s">
        <v>10</v>
      </c>
      <c r="F9" s="101" t="s">
        <v>87</v>
      </c>
      <c r="G9" s="109">
        <v>720</v>
      </c>
      <c r="H9" s="109">
        <v>720</v>
      </c>
      <c r="I9" s="109">
        <v>710</v>
      </c>
      <c r="J9" s="109">
        <v>950</v>
      </c>
      <c r="K9" s="109">
        <v>360</v>
      </c>
      <c r="L9" s="109">
        <v>560</v>
      </c>
      <c r="M9" s="178"/>
      <c r="N9" s="179" t="s">
        <v>52</v>
      </c>
      <c r="O9" s="111">
        <v>3200</v>
      </c>
      <c r="P9" s="200"/>
      <c r="Q9" s="200"/>
      <c r="R9" s="161"/>
      <c r="S9" s="161"/>
      <c r="T9" s="161">
        <f>'комплекты фурнитуры'!$C$6</f>
        <v>810</v>
      </c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>
        <f>'комплекты фурнитуры'!$C$23*2</f>
        <v>560</v>
      </c>
      <c r="AF9" s="161"/>
      <c r="AG9" s="161"/>
      <c r="AH9" s="196">
        <f>SUM(Прайс[[#This Row],[КФ НСТ11]:[KFPr-SB-ZPG]])</f>
        <v>1370</v>
      </c>
      <c r="AI9" s="196"/>
      <c r="AJ9" s="161">
        <f>'комплекты фурнитуры'!$C$78</f>
        <v>30</v>
      </c>
      <c r="AK9" s="161">
        <f>'комплекты фурнитуры'!$C$90</f>
        <v>20</v>
      </c>
      <c r="AL9" s="161"/>
      <c r="AM9" s="196"/>
      <c r="AN9" s="196"/>
      <c r="AO9" s="196">
        <f>'комплекты фурнитуры'!$C$56</f>
        <v>1300</v>
      </c>
      <c r="AP9" s="196">
        <f>'комплекты фурнитуры'!$C$58</f>
        <v>480</v>
      </c>
      <c r="AQ9" s="196"/>
      <c r="AR9" s="196"/>
      <c r="AS9" s="196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7">
        <f>Прайс[[#This Row],[KFPr-SB-SPL]]+Прайс[[#This Row],[КФ петли вклад. 95 гр. с крестообр. планкой]]*2+Прайс[[#This Row],[KFPr-SB-SMRZ_16мм]]</f>
        <v>2650</v>
      </c>
      <c r="BQ9" s="198">
        <f>Прайс[[#This Row],[KFPr-SB-SPL]]+Прайс[[#This Row],[KFP-SB-PY94]]*2</f>
        <v>990</v>
      </c>
      <c r="BR9" s="198">
        <f>Прайс[[#This Row],[KFPr-SB-SPL]]+Прайс[[#This Row],[KFP-SB-PY94]]*2</f>
        <v>990</v>
      </c>
      <c r="BS9" s="162">
        <v>750</v>
      </c>
      <c r="BT9" s="162">
        <v>720</v>
      </c>
      <c r="BU9" s="162" t="str">
        <f>IF(OR(Прайс[[#This Row],[Тип]]="Нижний",Прайс[[#This Row],[Тип]]="Пенал"),"560",IF(Прайс[[#This Row],[Тип]]="Верхний",315,0))</f>
        <v>560</v>
      </c>
      <c r="BV9" s="199">
        <v>1.08</v>
      </c>
      <c r="BW9" s="199">
        <v>1.0649999999999999</v>
      </c>
      <c r="BX9" s="198">
        <v>1.3</v>
      </c>
      <c r="BY9" s="162">
        <v>0</v>
      </c>
      <c r="BZ9" s="162">
        <v>2</v>
      </c>
      <c r="CA9" s="162" t="s">
        <v>71</v>
      </c>
      <c r="CB9" s="198" t="s">
        <v>474</v>
      </c>
      <c r="CC9" s="162">
        <v>1</v>
      </c>
      <c r="CD9" s="162" t="s">
        <v>10</v>
      </c>
      <c r="CE9" s="162">
        <v>3630</v>
      </c>
      <c r="CF9" s="1"/>
      <c r="CG9" s="1"/>
      <c r="CH9" s="1">
        <v>1</v>
      </c>
      <c r="CI9" s="162">
        <v>0</v>
      </c>
      <c r="CJ9" s="162">
        <v>0</v>
      </c>
      <c r="CK9" s="162"/>
      <c r="CL9" s="162"/>
      <c r="CM9" s="162"/>
      <c r="CN9" s="162"/>
    </row>
    <row r="10" spans="1:92" ht="15" customHeight="1" x14ac:dyDescent="0.25">
      <c r="A10" s="108" t="s">
        <v>128</v>
      </c>
      <c r="B10" s="101" t="s">
        <v>6</v>
      </c>
      <c r="C10" s="101" t="s">
        <v>744</v>
      </c>
      <c r="D10" s="101" t="s">
        <v>69</v>
      </c>
      <c r="E10" s="101" t="s">
        <v>10</v>
      </c>
      <c r="F10" s="101" t="s">
        <v>87</v>
      </c>
      <c r="G10" s="109">
        <v>720</v>
      </c>
      <c r="H10" s="109">
        <v>720</v>
      </c>
      <c r="I10" s="109">
        <v>710</v>
      </c>
      <c r="J10" s="109">
        <v>950</v>
      </c>
      <c r="K10" s="109">
        <v>360</v>
      </c>
      <c r="L10" s="109">
        <v>560</v>
      </c>
      <c r="M10" s="178"/>
      <c r="N10" s="180"/>
      <c r="O10" s="111">
        <v>3200</v>
      </c>
      <c r="P10" s="200"/>
      <c r="Q10" s="200"/>
      <c r="R10" s="161"/>
      <c r="S10" s="161"/>
      <c r="T10" s="161">
        <f>'комплекты фурнитуры'!$C$6</f>
        <v>810</v>
      </c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>
        <f>'комплекты фурнитуры'!$C$23*2</f>
        <v>560</v>
      </c>
      <c r="AF10" s="161"/>
      <c r="AG10" s="161"/>
      <c r="AH10" s="196">
        <f>SUM(Прайс[[#This Row],[КФ НСТ11]:[KFPr-SB-ZPG]])</f>
        <v>1370</v>
      </c>
      <c r="AI10" s="196"/>
      <c r="AJ10" s="161">
        <f>'комплекты фурнитуры'!$C$78</f>
        <v>30</v>
      </c>
      <c r="AK10" s="161">
        <f>'комплекты фурнитуры'!$C$90</f>
        <v>20</v>
      </c>
      <c r="AL10" s="161"/>
      <c r="AM10" s="196"/>
      <c r="AN10" s="196"/>
      <c r="AO10" s="196">
        <f>'комплекты фурнитуры'!$C$56</f>
        <v>1300</v>
      </c>
      <c r="AP10" s="196">
        <f>'комплекты фурнитуры'!$C$58</f>
        <v>480</v>
      </c>
      <c r="AQ10" s="196"/>
      <c r="AR10" s="196"/>
      <c r="AS10" s="196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7">
        <f>Прайс[[#This Row],[KFPr-SB-SPL]]+Прайс[[#This Row],[КФ петли вклад. 95 гр. с крестообр. планкой]]*2+Прайс[[#This Row],[KFPr-SB-SMRZ_16мм]]</f>
        <v>2650</v>
      </c>
      <c r="BQ10" s="198">
        <f>Прайс[[#This Row],[KFPr-SB-SPL]]+Прайс[[#This Row],[KFP-SB-PY94]]*2</f>
        <v>990</v>
      </c>
      <c r="BR10" s="198">
        <f>Прайс[[#This Row],[KFPr-SB-SPL]]+Прайс[[#This Row],[KFP-SB-PY94]]*2</f>
        <v>990</v>
      </c>
      <c r="BS10" s="162">
        <v>750</v>
      </c>
      <c r="BT10" s="162">
        <v>720</v>
      </c>
      <c r="BU10" s="162" t="str">
        <f>IF(OR(Прайс[[#This Row],[Тип]]="Нижний",Прайс[[#This Row],[Тип]]="Пенал"),"560",IF(Прайс[[#This Row],[Тип]]="Верхний",315,0))</f>
        <v>560</v>
      </c>
      <c r="BV10" s="199">
        <v>1.08</v>
      </c>
      <c r="BW10" s="199">
        <v>1.0649999999999999</v>
      </c>
      <c r="BX10" s="198">
        <v>1.3</v>
      </c>
      <c r="BY10" s="162">
        <v>0</v>
      </c>
      <c r="BZ10" s="162">
        <v>2</v>
      </c>
      <c r="CA10" s="162" t="s">
        <v>71</v>
      </c>
      <c r="CB10" s="198" t="s">
        <v>474</v>
      </c>
      <c r="CC10" s="162">
        <v>1</v>
      </c>
      <c r="CD10" s="162" t="s">
        <v>10</v>
      </c>
      <c r="CE10" s="162">
        <v>3630</v>
      </c>
      <c r="CF10" s="1"/>
      <c r="CG10" s="1"/>
      <c r="CH10" s="1">
        <v>1</v>
      </c>
      <c r="CI10" s="162">
        <v>0</v>
      </c>
      <c r="CJ10" s="162">
        <v>0</v>
      </c>
      <c r="CK10" s="162"/>
      <c r="CL10" s="162"/>
      <c r="CM10" s="162"/>
      <c r="CN10" s="162"/>
    </row>
    <row r="11" spans="1:92" ht="15" customHeight="1" x14ac:dyDescent="0.25">
      <c r="A11" s="110" t="s">
        <v>131</v>
      </c>
      <c r="B11" s="101" t="s">
        <v>6</v>
      </c>
      <c r="C11" s="101" t="s">
        <v>745</v>
      </c>
      <c r="D11" s="101" t="s">
        <v>69</v>
      </c>
      <c r="E11" s="101" t="s">
        <v>10</v>
      </c>
      <c r="F11" s="101" t="s">
        <v>89</v>
      </c>
      <c r="G11" s="109">
        <v>710</v>
      </c>
      <c r="H11" s="109">
        <v>950</v>
      </c>
      <c r="I11" s="109">
        <v>710</v>
      </c>
      <c r="J11" s="109">
        <v>950</v>
      </c>
      <c r="K11" s="109">
        <v>360</v>
      </c>
      <c r="L11" s="109">
        <v>560</v>
      </c>
      <c r="M11" s="178"/>
      <c r="N11" s="179" t="s">
        <v>52</v>
      </c>
      <c r="O11" s="111">
        <v>2980</v>
      </c>
      <c r="P11" s="200"/>
      <c r="Q11" s="200"/>
      <c r="R11" s="161"/>
      <c r="S11" s="161"/>
      <c r="T11" s="161"/>
      <c r="U11" s="161">
        <f>'комплекты фурнитуры'!$C$8</f>
        <v>750</v>
      </c>
      <c r="V11" s="161"/>
      <c r="W11" s="161"/>
      <c r="X11" s="161"/>
      <c r="Y11" s="161"/>
      <c r="Z11" s="161"/>
      <c r="AA11" s="161"/>
      <c r="AB11" s="161"/>
      <c r="AC11" s="161"/>
      <c r="AD11" s="161"/>
      <c r="AE11" s="161">
        <f>'комплекты фурнитуры'!$C$23*2</f>
        <v>560</v>
      </c>
      <c r="AF11" s="161"/>
      <c r="AG11" s="161"/>
      <c r="AH11" s="196">
        <f>SUM(Прайс[[#This Row],[КФ НСТ11]:[KFPr-SB-ZPG]])</f>
        <v>1310</v>
      </c>
      <c r="AI11" s="196"/>
      <c r="AJ11" s="161">
        <f>'комплекты фурнитуры'!$C$78</f>
        <v>30</v>
      </c>
      <c r="AK11" s="161"/>
      <c r="AL11" s="161"/>
      <c r="AM11" s="196"/>
      <c r="AN11" s="196"/>
      <c r="AO11" s="196">
        <f>'комплекты фурнитуры'!$C$56</f>
        <v>1300</v>
      </c>
      <c r="AP11" s="196">
        <f>'комплекты фурнитуры'!$C$58</f>
        <v>480</v>
      </c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7">
        <f>Прайс[[#This Row],[KFPr-SB-SPL]]+Прайс[[#This Row],[КФ петли вклад. 95 гр. с крестообр. планкой]]*2</f>
        <v>2630</v>
      </c>
      <c r="BQ11" s="198">
        <f>Прайс[[#This Row],[KFPr-SB-SPL]]+Прайс[[#This Row],[KFP-SB-PY94]]*2</f>
        <v>990</v>
      </c>
      <c r="BR11" s="198">
        <f>Прайс[[#This Row],[KFPr-SB-SPL]]+Прайс[[#This Row],[KFP-SB-PY94]]*2</f>
        <v>990</v>
      </c>
      <c r="BS11" s="162">
        <v>750</v>
      </c>
      <c r="BT11" s="162">
        <v>720</v>
      </c>
      <c r="BU11" s="162" t="str">
        <f>IF(OR(Прайс[[#This Row],[Тип]]="Нижний",Прайс[[#This Row],[Тип]]="Пенал"),"560",IF(Прайс[[#This Row],[Тип]]="Верхний",315,0))</f>
        <v>560</v>
      </c>
      <c r="BV11" s="199">
        <v>1.08</v>
      </c>
      <c r="BW11" s="199">
        <v>1.0649999999999999</v>
      </c>
      <c r="BX11" s="198">
        <v>0</v>
      </c>
      <c r="BY11" s="162">
        <v>0</v>
      </c>
      <c r="BZ11" s="162">
        <v>0</v>
      </c>
      <c r="CA11" s="162" t="s">
        <v>71</v>
      </c>
      <c r="CB11" s="198" t="s">
        <v>474</v>
      </c>
      <c r="CC11" s="162">
        <v>0</v>
      </c>
      <c r="CD11" s="162" t="s">
        <v>10</v>
      </c>
      <c r="CE11" s="162">
        <v>3420</v>
      </c>
      <c r="CF11" s="1"/>
      <c r="CG11" s="1"/>
      <c r="CH11" s="1">
        <v>1</v>
      </c>
      <c r="CI11" s="162">
        <v>0</v>
      </c>
      <c r="CJ11" s="162">
        <v>0</v>
      </c>
      <c r="CK11" s="162"/>
      <c r="CL11" s="162"/>
      <c r="CM11" s="162"/>
      <c r="CN11" s="162"/>
    </row>
    <row r="12" spans="1:92" ht="15" customHeight="1" x14ac:dyDescent="0.25">
      <c r="A12" s="108" t="s">
        <v>130</v>
      </c>
      <c r="B12" s="101" t="s">
        <v>6</v>
      </c>
      <c r="C12" s="101" t="s">
        <v>746</v>
      </c>
      <c r="D12" s="101" t="s">
        <v>69</v>
      </c>
      <c r="E12" s="101" t="s">
        <v>10</v>
      </c>
      <c r="F12" s="101" t="s">
        <v>89</v>
      </c>
      <c r="G12" s="109">
        <v>720</v>
      </c>
      <c r="H12" s="109">
        <v>720</v>
      </c>
      <c r="I12" s="109">
        <v>810</v>
      </c>
      <c r="J12" s="109">
        <v>1050</v>
      </c>
      <c r="K12" s="109">
        <v>360</v>
      </c>
      <c r="L12" s="109">
        <v>560</v>
      </c>
      <c r="M12" s="178"/>
      <c r="N12" s="180"/>
      <c r="O12" s="111">
        <v>2980</v>
      </c>
      <c r="P12" s="200"/>
      <c r="Q12" s="200"/>
      <c r="R12" s="161"/>
      <c r="S12" s="161"/>
      <c r="T12" s="161"/>
      <c r="U12" s="161">
        <f>'комплекты фурнитуры'!$C$8</f>
        <v>750</v>
      </c>
      <c r="V12" s="161"/>
      <c r="W12" s="161"/>
      <c r="X12" s="161"/>
      <c r="Y12" s="161"/>
      <c r="Z12" s="161"/>
      <c r="AA12" s="161"/>
      <c r="AB12" s="161"/>
      <c r="AC12" s="161"/>
      <c r="AD12" s="161"/>
      <c r="AE12" s="161">
        <f>'комплекты фурнитуры'!$C$23*2</f>
        <v>560</v>
      </c>
      <c r="AF12" s="161"/>
      <c r="AG12" s="161"/>
      <c r="AH12" s="196">
        <f>SUM(Прайс[[#This Row],[КФ НСТ11]:[KFPr-SB-ZPG]])</f>
        <v>1310</v>
      </c>
      <c r="AI12" s="196"/>
      <c r="AJ12" s="161">
        <f>'комплекты фурнитуры'!$C$78</f>
        <v>30</v>
      </c>
      <c r="AK12" s="161"/>
      <c r="AL12" s="161"/>
      <c r="AM12" s="196"/>
      <c r="AN12" s="196"/>
      <c r="AO12" s="196">
        <f>'комплекты фурнитуры'!$C$56</f>
        <v>1300</v>
      </c>
      <c r="AP12" s="196">
        <f>'комплекты фурнитуры'!$C$58</f>
        <v>480</v>
      </c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7">
        <f>Прайс[[#This Row],[KFPr-SB-SPL]]+Прайс[[#This Row],[КФ петли вклад. 95 гр. с крестообр. планкой]]*2</f>
        <v>2630</v>
      </c>
      <c r="BQ12" s="198">
        <f>Прайс[[#This Row],[KFPr-SB-SPL]]+Прайс[[#This Row],[KFP-SB-PY94]]*2</f>
        <v>990</v>
      </c>
      <c r="BR12" s="198">
        <f>Прайс[[#This Row],[KFPr-SB-SPL]]+Прайс[[#This Row],[KFP-SB-PY94]]*2</f>
        <v>990</v>
      </c>
      <c r="BS12" s="162">
        <v>750</v>
      </c>
      <c r="BT12" s="162">
        <v>720</v>
      </c>
      <c r="BU12" s="162" t="str">
        <f>IF(OR(Прайс[[#This Row],[Тип]]="Нижний",Прайс[[#This Row],[Тип]]="Пенал"),"560",IF(Прайс[[#This Row],[Тип]]="Верхний",315,0))</f>
        <v>560</v>
      </c>
      <c r="BV12" s="199">
        <v>1.08</v>
      </c>
      <c r="BW12" s="199">
        <v>1.0649999999999999</v>
      </c>
      <c r="BX12" s="198">
        <v>0</v>
      </c>
      <c r="BY12" s="162">
        <v>0</v>
      </c>
      <c r="BZ12" s="162">
        <v>0</v>
      </c>
      <c r="CA12" s="162" t="s">
        <v>71</v>
      </c>
      <c r="CB12" s="198" t="s">
        <v>474</v>
      </c>
      <c r="CC12" s="162">
        <v>0</v>
      </c>
      <c r="CD12" s="162" t="s">
        <v>10</v>
      </c>
      <c r="CE12" s="162">
        <v>3420</v>
      </c>
      <c r="CF12" s="1"/>
      <c r="CG12" s="1"/>
      <c r="CH12" s="1">
        <v>1</v>
      </c>
      <c r="CI12" s="162">
        <v>0</v>
      </c>
      <c r="CJ12" s="162">
        <v>0</v>
      </c>
      <c r="CK12" s="162"/>
      <c r="CL12" s="162"/>
      <c r="CM12" s="162"/>
      <c r="CN12" s="162"/>
    </row>
    <row r="13" spans="1:92" ht="15" customHeight="1" x14ac:dyDescent="0.25">
      <c r="A13" s="110" t="s">
        <v>14</v>
      </c>
      <c r="B13" s="101" t="s">
        <v>6</v>
      </c>
      <c r="C13" s="101" t="s">
        <v>747</v>
      </c>
      <c r="D13" s="101" t="s">
        <v>73</v>
      </c>
      <c r="E13" s="101" t="s">
        <v>10</v>
      </c>
      <c r="F13" s="101" t="s">
        <v>95</v>
      </c>
      <c r="G13" s="109">
        <v>720</v>
      </c>
      <c r="H13" s="109">
        <v>720</v>
      </c>
      <c r="I13" s="109">
        <v>300</v>
      </c>
      <c r="J13" s="109">
        <v>600</v>
      </c>
      <c r="K13" s="109">
        <v>525</v>
      </c>
      <c r="L13" s="109">
        <v>560</v>
      </c>
      <c r="M13" s="178"/>
      <c r="N13" s="180"/>
      <c r="O13" s="111">
        <v>2640</v>
      </c>
      <c r="P13" s="200"/>
      <c r="Q13" s="200"/>
      <c r="R13" s="161">
        <f>'комплекты фурнитуры'!$C$3</f>
        <v>550</v>
      </c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>
        <f>'комплекты фурнитуры'!$C$23*2</f>
        <v>560</v>
      </c>
      <c r="AF13" s="161"/>
      <c r="AG13" s="161"/>
      <c r="AH13" s="196">
        <f>SUM(Прайс[[#This Row],[КФ НСТ11]:[KFPr-SB-ZPG]])</f>
        <v>1110</v>
      </c>
      <c r="AI13" s="196"/>
      <c r="AJ13" s="161"/>
      <c r="AK13" s="161"/>
      <c r="AL13" s="161"/>
      <c r="AM13" s="196">
        <f>'комплекты фурнитуры'!$C$62</f>
        <v>620</v>
      </c>
      <c r="AN13" s="196">
        <f>'комплекты фурнитуры'!$C$63</f>
        <v>130</v>
      </c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>
        <f>'комплекты фурнитуры'!$C$25</f>
        <v>5100</v>
      </c>
      <c r="BC13" s="196"/>
      <c r="BD13" s="196">
        <f>'комплекты фурнитуры'!$C$32</f>
        <v>370</v>
      </c>
      <c r="BE13" s="196"/>
      <c r="BF13" s="196">
        <f>'комплекты фурнитуры'!$C$33</f>
        <v>170</v>
      </c>
      <c r="BG13" s="196">
        <f>'комплекты фурнитуры'!$C$35</f>
        <v>4140</v>
      </c>
      <c r="BH13" s="196"/>
      <c r="BI13" s="196"/>
      <c r="BJ13" s="196"/>
      <c r="BK13" s="196"/>
      <c r="BL13" s="196"/>
      <c r="BM13" s="196"/>
      <c r="BN13" s="196"/>
      <c r="BO13" s="196"/>
      <c r="BP13" s="197">
        <f>Прайс[[#This Row],[КФ петли SENS накл.110 гр. с крестообр. Планкой]]*2+Прайс[[#This Row],[Комплект для ящика Hettich ATIRA Серый, NL-470, H-70]]</f>
        <v>6340</v>
      </c>
      <c r="BQ13" s="198">
        <f>Прайс[[#This Row],[KFP-SB-N110]]*2+Прайс[[#This Row],[KFN-SB-M86]]+Прайс[[#This Row],[KFN-SB-MD]]</f>
        <v>800</v>
      </c>
      <c r="BR13" s="198">
        <f>Прайс[[#This Row],[KFP-SB-N110]]*2+Прайс[[#This Row],[КФ ящика Matrix (H=89 мм)_450_GR]]</f>
        <v>4400</v>
      </c>
      <c r="BS13" s="162">
        <v>300</v>
      </c>
      <c r="BT13" s="162">
        <v>720</v>
      </c>
      <c r="BU13" s="162" t="str">
        <f>IF(OR(Прайс[[#This Row],[Тип]]="Нижний",Прайс[[#This Row],[Тип]]="Пенал"),"560",IF(Прайс[[#This Row],[Тип]]="Верхний",315,0))</f>
        <v>560</v>
      </c>
      <c r="BV13" s="199">
        <v>1.08</v>
      </c>
      <c r="BW13" s="199">
        <v>1.0649999999999999</v>
      </c>
      <c r="BX13" s="198">
        <v>0</v>
      </c>
      <c r="BY13" s="162">
        <v>0</v>
      </c>
      <c r="BZ13" s="162">
        <v>1</v>
      </c>
      <c r="CA13" s="162" t="s">
        <v>71</v>
      </c>
      <c r="CB13" s="198" t="s">
        <v>476</v>
      </c>
      <c r="CC13" s="162">
        <v>1</v>
      </c>
      <c r="CD13" s="162" t="s">
        <v>10</v>
      </c>
      <c r="CE13" s="162">
        <v>2940</v>
      </c>
      <c r="CF13" s="1"/>
      <c r="CG13" s="1"/>
      <c r="CH13" s="1">
        <v>2</v>
      </c>
      <c r="CI13" s="162">
        <v>0</v>
      </c>
      <c r="CJ13" s="162">
        <v>0</v>
      </c>
      <c r="CK13" s="162"/>
      <c r="CL13" s="162"/>
      <c r="CM13" s="162"/>
      <c r="CN13" s="162"/>
    </row>
    <row r="14" spans="1:92" ht="15" customHeight="1" x14ac:dyDescent="0.25">
      <c r="A14" s="110" t="s">
        <v>84</v>
      </c>
      <c r="B14" s="101" t="s">
        <v>6</v>
      </c>
      <c r="C14" s="101" t="s">
        <v>748</v>
      </c>
      <c r="D14" s="101" t="s">
        <v>73</v>
      </c>
      <c r="E14" s="101" t="s">
        <v>10</v>
      </c>
      <c r="F14" s="101" t="s">
        <v>95</v>
      </c>
      <c r="G14" s="109">
        <v>720</v>
      </c>
      <c r="H14" s="109">
        <v>720</v>
      </c>
      <c r="I14" s="109">
        <v>500</v>
      </c>
      <c r="J14" s="109">
        <v>900</v>
      </c>
      <c r="K14" s="109">
        <v>525</v>
      </c>
      <c r="L14" s="109">
        <v>560</v>
      </c>
      <c r="M14" s="178"/>
      <c r="N14" s="180"/>
      <c r="O14" s="111">
        <v>2640</v>
      </c>
      <c r="P14" s="200"/>
      <c r="Q14" s="200"/>
      <c r="R14" s="161">
        <f>'комплекты фурнитуры'!$C$3</f>
        <v>550</v>
      </c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>
        <f>'комплекты фурнитуры'!$C$23*2</f>
        <v>560</v>
      </c>
      <c r="AF14" s="161"/>
      <c r="AG14" s="161"/>
      <c r="AH14" s="196">
        <f>SUM(Прайс[[#This Row],[КФ НСТ11]:[KFPr-SB-ZPG]])</f>
        <v>1110</v>
      </c>
      <c r="AI14" s="196"/>
      <c r="AJ14" s="161"/>
      <c r="AK14" s="161"/>
      <c r="AL14" s="161"/>
      <c r="AM14" s="196">
        <f>'комплекты фурнитуры'!$C$62</f>
        <v>620</v>
      </c>
      <c r="AN14" s="196">
        <f>'комплекты фурнитуры'!$C$63</f>
        <v>130</v>
      </c>
      <c r="AO14" s="196"/>
      <c r="AP14" s="196"/>
      <c r="AQ14" s="196"/>
      <c r="AR14" s="196"/>
      <c r="AS14" s="196"/>
      <c r="AT14" s="196"/>
      <c r="AU14" s="196"/>
      <c r="AV14" s="196"/>
      <c r="AW14" s="196"/>
      <c r="AX14" s="196"/>
      <c r="AY14" s="196"/>
      <c r="AZ14" s="196"/>
      <c r="BA14" s="196"/>
      <c r="BB14" s="196">
        <f>'комплекты фурнитуры'!$C$25</f>
        <v>5100</v>
      </c>
      <c r="BC14" s="196"/>
      <c r="BD14" s="196">
        <f>'комплекты фурнитуры'!$C$32</f>
        <v>370</v>
      </c>
      <c r="BE14" s="196"/>
      <c r="BF14" s="196">
        <f>'комплекты фурнитуры'!$C$33</f>
        <v>170</v>
      </c>
      <c r="BG14" s="196">
        <f>'комплекты фурнитуры'!$C$35</f>
        <v>4140</v>
      </c>
      <c r="BH14" s="196"/>
      <c r="BI14" s="196"/>
      <c r="BJ14" s="196"/>
      <c r="BK14" s="196"/>
      <c r="BL14" s="196"/>
      <c r="BM14" s="196"/>
      <c r="BN14" s="196"/>
      <c r="BO14" s="196"/>
      <c r="BP14" s="197">
        <f>Прайс[[#This Row],[КФ петли SENS накл.110 гр. с крестообр. Планкой]]*2+Прайс[[#This Row],[Комплект для ящика Hettich ATIRA Серый, NL-470, H-70]]</f>
        <v>6340</v>
      </c>
      <c r="BQ14" s="198">
        <f>Прайс[[#This Row],[KFP-SB-N110]]*2+Прайс[[#This Row],[KFN-SB-M86]]+Прайс[[#This Row],[KFN-SB-MD]]</f>
        <v>800</v>
      </c>
      <c r="BR14" s="198">
        <f>Прайс[[#This Row],[KFP-SB-N110]]*2+Прайс[[#This Row],[КФ ящика Matrix (H=89 мм)_450_GR]]</f>
        <v>4400</v>
      </c>
      <c r="BS14" s="162">
        <v>300</v>
      </c>
      <c r="BT14" s="162">
        <v>720</v>
      </c>
      <c r="BU14" s="162" t="str">
        <f>IF(OR(Прайс[[#This Row],[Тип]]="Нижний",Прайс[[#This Row],[Тип]]="Пенал"),"560",IF(Прайс[[#This Row],[Тип]]="Верхний",315,0))</f>
        <v>560</v>
      </c>
      <c r="BV14" s="199">
        <v>1.08</v>
      </c>
      <c r="BW14" s="199">
        <v>1.0649999999999999</v>
      </c>
      <c r="BX14" s="198">
        <v>0</v>
      </c>
      <c r="BY14" s="162">
        <v>0</v>
      </c>
      <c r="BZ14" s="162">
        <v>1</v>
      </c>
      <c r="CA14" s="162" t="s">
        <v>71</v>
      </c>
      <c r="CB14" s="198" t="s">
        <v>476</v>
      </c>
      <c r="CC14" s="162">
        <v>1</v>
      </c>
      <c r="CD14" s="162" t="s">
        <v>10</v>
      </c>
      <c r="CE14" s="162">
        <v>2940</v>
      </c>
      <c r="CF14" s="1"/>
      <c r="CG14" s="1"/>
      <c r="CH14" s="1">
        <v>3</v>
      </c>
      <c r="CI14" s="162">
        <v>0</v>
      </c>
      <c r="CJ14" s="162">
        <v>0</v>
      </c>
      <c r="CK14" s="162"/>
      <c r="CL14" s="162"/>
      <c r="CM14" s="162"/>
      <c r="CN14" s="162"/>
    </row>
    <row r="15" spans="1:92" ht="15" customHeight="1" x14ac:dyDescent="0.25">
      <c r="A15" s="108" t="s">
        <v>15</v>
      </c>
      <c r="B15" s="101" t="s">
        <v>6</v>
      </c>
      <c r="C15" s="101" t="s">
        <v>749</v>
      </c>
      <c r="D15" s="101" t="s">
        <v>73</v>
      </c>
      <c r="E15" s="101" t="s">
        <v>10</v>
      </c>
      <c r="F15" s="101" t="s">
        <v>95</v>
      </c>
      <c r="G15" s="109">
        <v>720</v>
      </c>
      <c r="H15" s="109">
        <v>720</v>
      </c>
      <c r="I15" s="109">
        <v>300</v>
      </c>
      <c r="J15" s="109">
        <v>900</v>
      </c>
      <c r="K15" s="109">
        <v>525</v>
      </c>
      <c r="L15" s="109">
        <v>560</v>
      </c>
      <c r="M15" s="178"/>
      <c r="N15" s="180"/>
      <c r="O15" s="111">
        <v>3510</v>
      </c>
      <c r="P15" s="200"/>
      <c r="Q15" s="200"/>
      <c r="R15" s="161">
        <f>'комплекты фурнитуры'!$C$3</f>
        <v>550</v>
      </c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>
        <f>'комплекты фурнитуры'!$C$23*2</f>
        <v>560</v>
      </c>
      <c r="AF15" s="161"/>
      <c r="AG15" s="161"/>
      <c r="AH15" s="196">
        <f>SUM(Прайс[[#This Row],[КФ НСТ11]:[KFPr-SB-ZPG]])</f>
        <v>1110</v>
      </c>
      <c r="AI15" s="196"/>
      <c r="AJ15" s="161"/>
      <c r="AK15" s="161"/>
      <c r="AL15" s="161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>
        <f>'комплекты фурнитуры'!$C$25</f>
        <v>5100</v>
      </c>
      <c r="BC15" s="196"/>
      <c r="BD15" s="196">
        <f>'комплекты фурнитуры'!$C$32</f>
        <v>370</v>
      </c>
      <c r="BE15" s="196"/>
      <c r="BF15" s="196">
        <f>'комплекты фурнитуры'!$C$33</f>
        <v>170</v>
      </c>
      <c r="BG15" s="196"/>
      <c r="BH15" s="196"/>
      <c r="BI15" s="196">
        <f>'комплекты фурнитуры'!$C$36</f>
        <v>6440</v>
      </c>
      <c r="BJ15" s="196"/>
      <c r="BK15" s="196"/>
      <c r="BL15" s="196"/>
      <c r="BM15" s="196"/>
      <c r="BN15" s="196"/>
      <c r="BO15" s="196"/>
      <c r="BP15" s="197">
        <f>4*Прайс[[#This Row],[Комплект для ящика Hettich ATIRA Серый, NL-470, H-70]]</f>
        <v>20400</v>
      </c>
      <c r="BQ15" s="198">
        <f>Прайс[[#This Row],[KFN-SB-M86]]*4+Прайс[[#This Row],[KFN-SB-MD]]*4</f>
        <v>2160</v>
      </c>
      <c r="BR15" s="198">
        <f>Прайс[[#This Row],[Комплект ящика INNOTECH ATIRA полного выдв. с  PUSH TO OPEN , Н70,NL470,цвет серебристый]]*4</f>
        <v>25760</v>
      </c>
      <c r="BS15" s="162">
        <v>300</v>
      </c>
      <c r="BT15" s="162">
        <v>720</v>
      </c>
      <c r="BU15" s="162" t="str">
        <f>IF(OR(Прайс[[#This Row],[Тип]]="Нижний",Прайс[[#This Row],[Тип]]="Пенал"),"560",IF(Прайс[[#This Row],[Тип]]="Верхний",315,0))</f>
        <v>560</v>
      </c>
      <c r="BV15" s="199">
        <v>1.08</v>
      </c>
      <c r="BW15" s="199">
        <v>1.0649999999999999</v>
      </c>
      <c r="BX15" s="198">
        <v>0</v>
      </c>
      <c r="BY15" s="162">
        <v>0</v>
      </c>
      <c r="BZ15" s="162">
        <v>0</v>
      </c>
      <c r="CA15" s="162" t="s">
        <v>71</v>
      </c>
      <c r="CB15" s="198" t="s">
        <v>474</v>
      </c>
      <c r="CC15" s="162">
        <v>0</v>
      </c>
      <c r="CD15" s="162" t="s">
        <v>10</v>
      </c>
      <c r="CE15" s="162">
        <v>3880</v>
      </c>
      <c r="CF15" s="1"/>
      <c r="CG15" s="1"/>
      <c r="CH15" s="1">
        <v>4</v>
      </c>
      <c r="CI15" s="162">
        <v>0</v>
      </c>
      <c r="CJ15" s="162">
        <v>0</v>
      </c>
      <c r="CK15" s="162"/>
      <c r="CL15" s="162"/>
      <c r="CM15" s="162"/>
      <c r="CN15" s="162"/>
    </row>
    <row r="16" spans="1:92" ht="15" customHeight="1" x14ac:dyDescent="0.25">
      <c r="A16" s="108" t="s">
        <v>1</v>
      </c>
      <c r="B16" s="101" t="s">
        <v>6</v>
      </c>
      <c r="C16" s="101" t="s">
        <v>750</v>
      </c>
      <c r="D16" s="101" t="s">
        <v>73</v>
      </c>
      <c r="E16" s="101" t="s">
        <v>10</v>
      </c>
      <c r="F16" s="101" t="s">
        <v>95</v>
      </c>
      <c r="G16" s="109">
        <v>720</v>
      </c>
      <c r="H16" s="109">
        <v>720</v>
      </c>
      <c r="I16" s="109">
        <v>300</v>
      </c>
      <c r="J16" s="109">
        <v>600</v>
      </c>
      <c r="K16" s="109">
        <v>525</v>
      </c>
      <c r="L16" s="109">
        <v>560</v>
      </c>
      <c r="M16" s="178"/>
      <c r="N16" s="180"/>
      <c r="O16" s="111">
        <v>3060</v>
      </c>
      <c r="P16" s="200"/>
      <c r="Q16" s="200"/>
      <c r="R16" s="161">
        <f>'комплекты фурнитуры'!$C$3</f>
        <v>550</v>
      </c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>
        <f>'комплекты фурнитуры'!$C$23*2</f>
        <v>560</v>
      </c>
      <c r="AF16" s="161"/>
      <c r="AG16" s="161"/>
      <c r="AH16" s="196">
        <f>SUM(Прайс[[#This Row],[КФ НСТ11]:[KFPr-SB-ZPG]])</f>
        <v>1110</v>
      </c>
      <c r="AI16" s="196"/>
      <c r="AJ16" s="161"/>
      <c r="AK16" s="161"/>
      <c r="AL16" s="161"/>
      <c r="AM16" s="196"/>
      <c r="AN16" s="196"/>
      <c r="AO16" s="196"/>
      <c r="AP16" s="196"/>
      <c r="AQ16" s="196"/>
      <c r="AR16" s="196"/>
      <c r="AS16" s="196"/>
      <c r="AT16" s="196"/>
      <c r="AU16" s="196"/>
      <c r="AV16" s="196"/>
      <c r="AW16" s="196"/>
      <c r="AX16" s="196"/>
      <c r="AY16" s="196"/>
      <c r="AZ16" s="196"/>
      <c r="BA16" s="196"/>
      <c r="BB16" s="196">
        <f>'комплекты фурнитуры'!$C$25</f>
        <v>5100</v>
      </c>
      <c r="BC16" s="196">
        <f>'комплекты фурнитуры'!$C$26</f>
        <v>6660</v>
      </c>
      <c r="BD16" s="196">
        <f>'комплекты фурнитуры'!$C$32</f>
        <v>370</v>
      </c>
      <c r="BE16" s="196">
        <f>'комплекты фурнитуры'!$C$31</f>
        <v>950</v>
      </c>
      <c r="BF16" s="196">
        <f>'комплекты фурнитуры'!$C$33</f>
        <v>170</v>
      </c>
      <c r="BG16" s="196"/>
      <c r="BH16" s="196">
        <f>'комплекты фурнитуры'!$C$34</f>
        <v>5040</v>
      </c>
      <c r="BI16" s="196">
        <f>'комплекты фурнитуры'!$C$36</f>
        <v>6440</v>
      </c>
      <c r="BJ16" s="196">
        <f>'комплекты фурнитуры'!$C$37</f>
        <v>7970</v>
      </c>
      <c r="BK16" s="196"/>
      <c r="BL16" s="196"/>
      <c r="BM16" s="196"/>
      <c r="BN16" s="196"/>
      <c r="BO16" s="196"/>
      <c r="BP16" s="197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98">
        <f>Прайс[[#This Row],[KFN-SB-M86]]*2+Прайс[[#This Row],[KFN-SB-M15]]+Прайс[[#This Row],[KFN-SB-MD]]*3</f>
        <v>2200</v>
      </c>
      <c r="BR16" s="19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62">
        <v>300</v>
      </c>
      <c r="BT16" s="162">
        <v>720</v>
      </c>
      <c r="BU16" s="162" t="str">
        <f>IF(OR(Прайс[[#This Row],[Тип]]="Нижний",Прайс[[#This Row],[Тип]]="Пенал"),"560",IF(Прайс[[#This Row],[Тип]]="Верхний",315,0))</f>
        <v>560</v>
      </c>
      <c r="BV16" s="199">
        <v>1.08</v>
      </c>
      <c r="BW16" s="199">
        <v>1.0649999999999999</v>
      </c>
      <c r="BX16" s="198">
        <v>0</v>
      </c>
      <c r="BY16" s="162">
        <v>0</v>
      </c>
      <c r="BZ16" s="162">
        <v>0</v>
      </c>
      <c r="CA16" s="162" t="s">
        <v>71</v>
      </c>
      <c r="CB16" s="198" t="s">
        <v>474</v>
      </c>
      <c r="CC16" s="162">
        <v>0</v>
      </c>
      <c r="CD16" s="162" t="s">
        <v>10</v>
      </c>
      <c r="CE16" s="162">
        <v>3420</v>
      </c>
      <c r="CF16" s="1"/>
      <c r="CG16" s="1"/>
      <c r="CH16" s="1">
        <v>3</v>
      </c>
      <c r="CI16" s="162">
        <v>0</v>
      </c>
      <c r="CJ16" s="162">
        <v>0</v>
      </c>
      <c r="CK16" s="162"/>
      <c r="CL16" s="162"/>
      <c r="CM16" s="162"/>
      <c r="CN16" s="162"/>
    </row>
    <row r="17" spans="1:92" ht="15" customHeight="1" x14ac:dyDescent="0.25">
      <c r="A17" s="108" t="s">
        <v>16</v>
      </c>
      <c r="B17" s="101" t="s">
        <v>6</v>
      </c>
      <c r="C17" s="101" t="s">
        <v>751</v>
      </c>
      <c r="D17" s="101" t="s">
        <v>73</v>
      </c>
      <c r="E17" s="101" t="s">
        <v>10</v>
      </c>
      <c r="F17" s="101" t="s">
        <v>95</v>
      </c>
      <c r="G17" s="109">
        <v>720</v>
      </c>
      <c r="H17" s="109">
        <v>720</v>
      </c>
      <c r="I17" s="109">
        <v>300</v>
      </c>
      <c r="J17" s="109">
        <v>950</v>
      </c>
      <c r="K17" s="109">
        <v>525</v>
      </c>
      <c r="L17" s="109">
        <v>560</v>
      </c>
      <c r="M17" s="178"/>
      <c r="N17" s="180"/>
      <c r="O17" s="111">
        <v>2960</v>
      </c>
      <c r="P17" s="200"/>
      <c r="Q17" s="200"/>
      <c r="R17" s="161">
        <f>'комплекты фурнитуры'!$C$3</f>
        <v>550</v>
      </c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>
        <f>'комплекты фурнитуры'!$C$23*2</f>
        <v>560</v>
      </c>
      <c r="AF17" s="161"/>
      <c r="AG17" s="161"/>
      <c r="AH17" s="196">
        <f>SUM(Прайс[[#This Row],[КФ НСТ11]:[KFPr-SB-ZPG]])</f>
        <v>1110</v>
      </c>
      <c r="AI17" s="196"/>
      <c r="AJ17" s="161"/>
      <c r="AK17" s="161"/>
      <c r="AL17" s="161"/>
      <c r="AM17" s="196"/>
      <c r="AN17" s="196"/>
      <c r="AO17" s="196"/>
      <c r="AP17" s="196"/>
      <c r="AQ17" s="196"/>
      <c r="AR17" s="196"/>
      <c r="AS17" s="196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>
        <f>'комплекты фурнитуры'!$C$26</f>
        <v>6660</v>
      </c>
      <c r="BD17" s="196"/>
      <c r="BE17" s="196">
        <f>'комплекты фурнитуры'!$C$31</f>
        <v>950</v>
      </c>
      <c r="BF17" s="196">
        <f>'комплекты фурнитуры'!$C$33</f>
        <v>170</v>
      </c>
      <c r="BG17" s="196"/>
      <c r="BH17" s="196">
        <f>'комплекты фурнитуры'!$C$34</f>
        <v>5040</v>
      </c>
      <c r="BI17" s="196"/>
      <c r="BJ17" s="196">
        <f>'комплекты фурнитуры'!$C$37</f>
        <v>7970</v>
      </c>
      <c r="BK17" s="196"/>
      <c r="BL17" s="196"/>
      <c r="BM17" s="196"/>
      <c r="BN17" s="196"/>
      <c r="BO17" s="196"/>
      <c r="BP17" s="197">
        <f>Прайс[[#This Row],[Комплект для ящика Hettich ATIRA Серый с реллингом, NL-470, H-176]]*2</f>
        <v>13320</v>
      </c>
      <c r="BQ17" s="198">
        <f>Прайс[[#This Row],[KFN-SB-M15]]*2+Прайс[[#This Row],[KFN-SB-MD]]*2</f>
        <v>2240</v>
      </c>
      <c r="BR17" s="198">
        <f>Прайс[[#This Row],[Комплект короба INNOTECH ATIRA полного выдв. с Push to open, Н176,NL470,рейлинги, цвет серебристый]]*2</f>
        <v>15940</v>
      </c>
      <c r="BS17" s="162">
        <v>300</v>
      </c>
      <c r="BT17" s="162">
        <v>720</v>
      </c>
      <c r="BU17" s="162" t="str">
        <f>IF(OR(Прайс[[#This Row],[Тип]]="Нижний",Прайс[[#This Row],[Тип]]="Пенал"),"560",IF(Прайс[[#This Row],[Тип]]="Верхний",315,0))</f>
        <v>560</v>
      </c>
      <c r="BV17" s="199">
        <v>1.08</v>
      </c>
      <c r="BW17" s="199">
        <v>1.0649999999999999</v>
      </c>
      <c r="BX17" s="198">
        <v>0</v>
      </c>
      <c r="BY17" s="162">
        <v>0</v>
      </c>
      <c r="BZ17" s="162">
        <v>0</v>
      </c>
      <c r="CA17" s="162" t="s">
        <v>71</v>
      </c>
      <c r="CB17" s="198" t="s">
        <v>474</v>
      </c>
      <c r="CC17" s="162">
        <v>0</v>
      </c>
      <c r="CD17" s="162" t="s">
        <v>10</v>
      </c>
      <c r="CE17" s="162">
        <v>3290</v>
      </c>
      <c r="CF17" s="1"/>
      <c r="CG17" s="1"/>
      <c r="CH17" s="1">
        <v>2</v>
      </c>
      <c r="CI17" s="162">
        <v>0</v>
      </c>
      <c r="CJ17" s="162">
        <v>0</v>
      </c>
      <c r="CK17" s="162"/>
      <c r="CL17" s="162"/>
      <c r="CM17" s="162"/>
      <c r="CN17" s="162"/>
    </row>
    <row r="18" spans="1:92" ht="15" customHeight="1" x14ac:dyDescent="0.25">
      <c r="A18" s="112" t="s">
        <v>731</v>
      </c>
      <c r="B18" s="101" t="s">
        <v>6</v>
      </c>
      <c r="C18" s="101" t="s">
        <v>752</v>
      </c>
      <c r="D18" s="101" t="s">
        <v>73</v>
      </c>
      <c r="E18" s="101" t="s">
        <v>10</v>
      </c>
      <c r="F18" s="101" t="s">
        <v>94</v>
      </c>
      <c r="G18" s="109">
        <v>720</v>
      </c>
      <c r="H18" s="109">
        <v>720</v>
      </c>
      <c r="I18" s="109">
        <v>600</v>
      </c>
      <c r="J18" s="109">
        <v>600</v>
      </c>
      <c r="K18" s="109">
        <v>525</v>
      </c>
      <c r="L18" s="109">
        <v>560</v>
      </c>
      <c r="M18" s="178"/>
      <c r="N18" s="180"/>
      <c r="O18" s="111">
        <v>3620</v>
      </c>
      <c r="P18" s="200"/>
      <c r="Q18" s="200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>
        <f>'комплекты фурнитуры'!$C$23*2</f>
        <v>560</v>
      </c>
      <c r="AF18" s="161"/>
      <c r="AG18" s="161"/>
      <c r="AH18" s="196">
        <f>SUM(Прайс[[#This Row],[КФ НСТ11]:[KFPr-SB-ZPG]])+Прайс[[#This Row],[КФ НСТ19]]</f>
        <v>1100</v>
      </c>
      <c r="AI18" s="196"/>
      <c r="AJ18" s="196"/>
      <c r="AK18" s="196"/>
      <c r="AL18" s="161"/>
      <c r="AM18" s="196"/>
      <c r="AN18" s="196"/>
      <c r="AO18" s="196"/>
      <c r="AP18" s="196"/>
      <c r="AQ18" s="196"/>
      <c r="AR18" s="196"/>
      <c r="AS18" s="196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>
        <f>'комплекты фурнитуры'!$C$26</f>
        <v>6660</v>
      </c>
      <c r="BD18" s="196"/>
      <c r="BE18" s="196"/>
      <c r="BF18" s="196"/>
      <c r="BG18" s="196"/>
      <c r="BH18" s="201"/>
      <c r="BI18" s="196"/>
      <c r="BJ18" s="196"/>
      <c r="BK18" s="196"/>
      <c r="BL18" s="196"/>
      <c r="BM18" s="196"/>
      <c r="BN18" s="196"/>
      <c r="BO18" s="196"/>
      <c r="BP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62">
        <v>600</v>
      </c>
      <c r="BT18" s="162">
        <v>720</v>
      </c>
      <c r="BU18" s="162">
        <v>560</v>
      </c>
      <c r="BV18" s="199">
        <v>0</v>
      </c>
      <c r="BW18" s="199">
        <v>0</v>
      </c>
      <c r="BX18" s="198">
        <v>0</v>
      </c>
      <c r="BY18" s="162">
        <v>0</v>
      </c>
      <c r="BZ18" s="162">
        <v>0</v>
      </c>
      <c r="CA18" s="162" t="s">
        <v>10</v>
      </c>
      <c r="CB18" s="198" t="s">
        <v>475</v>
      </c>
      <c r="CC18" s="162">
        <v>0</v>
      </c>
      <c r="CD18" s="162" t="s">
        <v>10</v>
      </c>
      <c r="CE18" s="162">
        <v>4090</v>
      </c>
      <c r="CF18" s="1">
        <f>'комплекты фурнитуры'!$C$19</f>
        <v>540</v>
      </c>
      <c r="CG18" s="113">
        <f>'комплекты фурнитуры'!$C$45</f>
        <v>8790</v>
      </c>
      <c r="CH18" s="1">
        <v>2</v>
      </c>
      <c r="CI18" s="162">
        <v>0</v>
      </c>
      <c r="CJ18" s="162">
        <v>0</v>
      </c>
      <c r="CK18" s="162"/>
      <c r="CL18" s="162"/>
      <c r="CM18" s="162"/>
      <c r="CN18" s="162"/>
    </row>
    <row r="19" spans="1:92" ht="15" customHeight="1" x14ac:dyDescent="0.25">
      <c r="A19" s="108" t="s">
        <v>17</v>
      </c>
      <c r="B19" s="101" t="s">
        <v>6</v>
      </c>
      <c r="C19" s="101" t="s">
        <v>753</v>
      </c>
      <c r="D19" s="101" t="s">
        <v>73</v>
      </c>
      <c r="E19" s="101" t="s">
        <v>10</v>
      </c>
      <c r="F19" s="101" t="s">
        <v>90</v>
      </c>
      <c r="G19" s="109">
        <v>720</v>
      </c>
      <c r="H19" s="109">
        <v>720</v>
      </c>
      <c r="I19" s="109">
        <v>450</v>
      </c>
      <c r="J19" s="109">
        <v>600</v>
      </c>
      <c r="K19" s="109">
        <v>525</v>
      </c>
      <c r="L19" s="109">
        <v>600</v>
      </c>
      <c r="M19" s="178"/>
      <c r="N19" s="180" t="s">
        <v>53</v>
      </c>
      <c r="O19" s="111">
        <v>2760</v>
      </c>
      <c r="P19" s="200"/>
      <c r="Q19" s="200"/>
      <c r="R19" s="161"/>
      <c r="S19" s="161">
        <f>'комплекты фурнитуры'!$C$4</f>
        <v>460</v>
      </c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>
        <f>'комплекты фурнитуры'!$C$23*2</f>
        <v>560</v>
      </c>
      <c r="AF19" s="161"/>
      <c r="AG19" s="161"/>
      <c r="AH19" s="196">
        <f>SUM(Прайс[[#This Row],[КФ НСТ11]:[KFPr-SB-ZPG]])</f>
        <v>1020</v>
      </c>
      <c r="AI19" s="196"/>
      <c r="AJ19" s="161"/>
      <c r="AK19" s="161"/>
      <c r="AL19" s="161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6"/>
      <c r="BA19" s="196">
        <f>'комплекты фурнитуры'!$C$30</f>
        <v>480</v>
      </c>
      <c r="BB19" s="196"/>
      <c r="BC19" s="196"/>
      <c r="BD19" s="196"/>
      <c r="BE19" s="196"/>
      <c r="BF19" s="196">
        <f>'комплекты фурнитуры'!$C$33</f>
        <v>170</v>
      </c>
      <c r="BG19" s="196"/>
      <c r="BH19" s="196"/>
      <c r="BI19" s="196"/>
      <c r="BJ19" s="196"/>
      <c r="BK19" s="196"/>
      <c r="BL19" s="196"/>
      <c r="BM19" s="196"/>
      <c r="BN19" s="196"/>
      <c r="BO19" s="196"/>
      <c r="BP19" s="198">
        <f>Прайс[[#This Row],[KFN-SB-M54]]+Прайс[[#This Row],[KFN-SB-MD]]</f>
        <v>650</v>
      </c>
      <c r="BQ19" s="198">
        <f>Прайс[[#This Row],[KFN-SB-M54]]+Прайс[[#This Row],[KFN-SB-MD]]</f>
        <v>650</v>
      </c>
      <c r="BR19" s="198">
        <f>Прайс[[#This Row],[KFN-SB-M54]]+Прайс[[#This Row],[KFN-SB-MD]]</f>
        <v>650</v>
      </c>
      <c r="BS19" s="162">
        <v>450</v>
      </c>
      <c r="BT19" s="162">
        <v>720</v>
      </c>
      <c r="BU19" s="162" t="str">
        <f>IF(OR(Прайс[[#This Row],[Тип]]="Нижний",Прайс[[#This Row],[Тип]]="Пенал"),"560",IF(Прайс[[#This Row],[Тип]]="Верхний",315,0))</f>
        <v>560</v>
      </c>
      <c r="BV19" s="199">
        <v>1.08</v>
      </c>
      <c r="BW19" s="199">
        <v>1.0649999999999999</v>
      </c>
      <c r="BX19" s="198">
        <v>0</v>
      </c>
      <c r="BY19" s="162">
        <v>0</v>
      </c>
      <c r="BZ19" s="162">
        <v>0</v>
      </c>
      <c r="CA19" s="162" t="s">
        <v>10</v>
      </c>
      <c r="CB19" s="198" t="s">
        <v>477</v>
      </c>
      <c r="CC19" s="162">
        <v>0</v>
      </c>
      <c r="CD19" s="162" t="s">
        <v>10</v>
      </c>
      <c r="CE19" s="162">
        <v>3190</v>
      </c>
      <c r="CF19" s="1"/>
      <c r="CG19" s="1"/>
      <c r="CH19" s="1">
        <v>1</v>
      </c>
      <c r="CI19" s="162">
        <v>0</v>
      </c>
      <c r="CJ19" s="162">
        <v>0</v>
      </c>
      <c r="CK19" s="162"/>
      <c r="CL19" s="162"/>
      <c r="CM19" s="162"/>
      <c r="CN19" s="162"/>
    </row>
    <row r="20" spans="1:92" ht="15" customHeight="1" x14ac:dyDescent="0.25">
      <c r="A20" s="108" t="s">
        <v>18</v>
      </c>
      <c r="B20" s="101" t="s">
        <v>6</v>
      </c>
      <c r="C20" s="101" t="s">
        <v>754</v>
      </c>
      <c r="D20" s="101" t="s">
        <v>75</v>
      </c>
      <c r="E20" s="101" t="s">
        <v>10</v>
      </c>
      <c r="F20" s="101" t="s">
        <v>87</v>
      </c>
      <c r="G20" s="109">
        <v>720</v>
      </c>
      <c r="H20" s="109">
        <v>720</v>
      </c>
      <c r="I20" s="109">
        <v>230</v>
      </c>
      <c r="J20" s="109">
        <v>230</v>
      </c>
      <c r="K20" s="109">
        <v>330</v>
      </c>
      <c r="L20" s="109">
        <v>600</v>
      </c>
      <c r="M20" s="178"/>
      <c r="N20" s="180" t="s">
        <v>54</v>
      </c>
      <c r="O20" s="111">
        <v>2870</v>
      </c>
      <c r="P20" s="200"/>
      <c r="Q20" s="200"/>
      <c r="R20" s="161"/>
      <c r="S20" s="161"/>
      <c r="T20" s="161"/>
      <c r="U20" s="161"/>
      <c r="V20" s="161"/>
      <c r="W20" s="161"/>
      <c r="X20" s="161"/>
      <c r="Y20" s="161">
        <f>'комплекты фурнитуры'!$C$13</f>
        <v>740</v>
      </c>
      <c r="Z20" s="161"/>
      <c r="AA20" s="161"/>
      <c r="AB20" s="161"/>
      <c r="AC20" s="161"/>
      <c r="AD20" s="161"/>
      <c r="AE20" s="161">
        <f>'комплекты фурнитуры'!$C$23*2</f>
        <v>560</v>
      </c>
      <c r="AF20" s="161"/>
      <c r="AG20" s="161"/>
      <c r="AH20" s="196">
        <f>SUM(Прайс[[#This Row],[КФ НСТ11]:[KFPr-SB-ZPG]])</f>
        <v>1300</v>
      </c>
      <c r="AI20" s="196"/>
      <c r="AJ20" s="161"/>
      <c r="AK20" s="161"/>
      <c r="AL20" s="161"/>
      <c r="AM20" s="196"/>
      <c r="AN20" s="196"/>
      <c r="AO20" s="196"/>
      <c r="AP20" s="196"/>
      <c r="AQ20" s="196">
        <f>'комплекты фурнитуры'!$C$54</f>
        <v>1560</v>
      </c>
      <c r="AR20" s="196">
        <f>'комплекты фурнитуры'!$C$55</f>
        <v>190</v>
      </c>
      <c r="AS20" s="196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7">
        <f>Прайс[[#This Row],[КKFP-SB-GT45]]*2</f>
        <v>3120</v>
      </c>
      <c r="BQ20" s="198">
        <f>Прайс[[#This Row],[KFP-SB-N45]]*2</f>
        <v>380</v>
      </c>
      <c r="BR20" s="198">
        <f>Прайс[[#This Row],[KFP-SB-N45]]*2</f>
        <v>380</v>
      </c>
      <c r="BS20" s="162">
        <v>230</v>
      </c>
      <c r="BT20" s="162">
        <v>720</v>
      </c>
      <c r="BU20" s="162">
        <v>540</v>
      </c>
      <c r="BV20" s="199">
        <v>1.08</v>
      </c>
      <c r="BW20" s="199">
        <v>1.0649999999999999</v>
      </c>
      <c r="BX20" s="198">
        <v>1.3</v>
      </c>
      <c r="BY20" s="162">
        <v>0</v>
      </c>
      <c r="BZ20" s="162">
        <v>0</v>
      </c>
      <c r="CA20" s="162" t="s">
        <v>71</v>
      </c>
      <c r="CB20" s="198" t="s">
        <v>474</v>
      </c>
      <c r="CC20" s="162">
        <v>0</v>
      </c>
      <c r="CD20" s="162" t="s">
        <v>10</v>
      </c>
      <c r="CE20" s="162">
        <v>3200</v>
      </c>
      <c r="CF20" s="1"/>
      <c r="CG20" s="1"/>
      <c r="CH20" s="1">
        <v>1</v>
      </c>
      <c r="CI20" s="162">
        <v>0</v>
      </c>
      <c r="CJ20" s="162">
        <v>0</v>
      </c>
      <c r="CK20" s="162"/>
      <c r="CL20" s="162"/>
      <c r="CM20" s="162"/>
      <c r="CN20" s="162"/>
    </row>
    <row r="21" spans="1:92" ht="15" customHeight="1" x14ac:dyDescent="0.25">
      <c r="A21" s="110" t="s">
        <v>19</v>
      </c>
      <c r="B21" s="101" t="s">
        <v>6</v>
      </c>
      <c r="C21" s="101" t="s">
        <v>755</v>
      </c>
      <c r="D21" s="101" t="s">
        <v>76</v>
      </c>
      <c r="E21" s="101" t="s">
        <v>10</v>
      </c>
      <c r="F21" s="101" t="s">
        <v>87</v>
      </c>
      <c r="G21" s="109">
        <v>720</v>
      </c>
      <c r="H21" s="109">
        <v>720</v>
      </c>
      <c r="I21" s="109">
        <v>315</v>
      </c>
      <c r="J21" s="109">
        <v>315</v>
      </c>
      <c r="K21" s="109">
        <v>315</v>
      </c>
      <c r="L21" s="109">
        <v>600</v>
      </c>
      <c r="M21" s="178"/>
      <c r="N21" s="180" t="s">
        <v>55</v>
      </c>
      <c r="O21" s="111">
        <v>2270</v>
      </c>
      <c r="P21" s="200"/>
      <c r="Q21" s="200"/>
      <c r="R21" s="161"/>
      <c r="S21" s="161"/>
      <c r="T21" s="161"/>
      <c r="U21" s="161"/>
      <c r="V21" s="161"/>
      <c r="W21" s="161">
        <f>'комплекты фурнитуры'!$C$11</f>
        <v>650</v>
      </c>
      <c r="X21" s="161"/>
      <c r="Y21" s="161"/>
      <c r="Z21" s="161"/>
      <c r="AA21" s="161"/>
      <c r="AB21" s="161"/>
      <c r="AC21" s="161"/>
      <c r="AD21" s="161"/>
      <c r="AE21" s="161">
        <f>'комплекты фурнитуры'!$C$23*2</f>
        <v>560</v>
      </c>
      <c r="AF21" s="161"/>
      <c r="AG21" s="161"/>
      <c r="AH21" s="196">
        <f>SUM(Прайс[[#This Row],[КФ НСТ11]:[KFPr-SB-ZPG]])</f>
        <v>1210</v>
      </c>
      <c r="AI21" s="196"/>
      <c r="AJ21" s="161"/>
      <c r="AK21" s="161"/>
      <c r="AL21" s="161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7">
        <v>0</v>
      </c>
      <c r="BQ21" s="198">
        <v>0</v>
      </c>
      <c r="BR21" s="198">
        <v>0</v>
      </c>
      <c r="BS21" s="162">
        <v>315</v>
      </c>
      <c r="BT21" s="162">
        <v>720</v>
      </c>
      <c r="BU21" s="162" t="str">
        <f>IF(OR(Прайс[[#This Row],[Тип]]="Нижний",Прайс[[#This Row],[Тип]]="Пенал"),"560",IF(Прайс[[#This Row],[Тип]]="Верхний",315,0))</f>
        <v>560</v>
      </c>
      <c r="BV21" s="199">
        <v>1.08</v>
      </c>
      <c r="BW21" s="199">
        <v>1.0649999999999999</v>
      </c>
      <c r="BX21" s="198">
        <v>1.3</v>
      </c>
      <c r="BY21" s="162">
        <v>1</v>
      </c>
      <c r="BZ21" s="162">
        <v>1</v>
      </c>
      <c r="CA21" s="162" t="s">
        <v>10</v>
      </c>
      <c r="CB21" s="198" t="s">
        <v>474</v>
      </c>
      <c r="CC21" s="162">
        <v>1</v>
      </c>
      <c r="CD21" s="162" t="s">
        <v>10</v>
      </c>
      <c r="CE21" s="162">
        <v>2540</v>
      </c>
      <c r="CF21" s="1"/>
      <c r="CG21" s="1"/>
      <c r="CH21" s="1">
        <v>0</v>
      </c>
      <c r="CI21" s="162">
        <v>0</v>
      </c>
      <c r="CJ21" s="162">
        <v>0</v>
      </c>
      <c r="CK21" s="162"/>
      <c r="CL21" s="162"/>
      <c r="CM21" s="162"/>
      <c r="CN21" s="162"/>
    </row>
    <row r="22" spans="1:92" ht="15" customHeight="1" x14ac:dyDescent="0.25">
      <c r="A22" s="102" t="s">
        <v>20</v>
      </c>
      <c r="B22" s="101" t="s">
        <v>6</v>
      </c>
      <c r="C22" s="101" t="s">
        <v>756</v>
      </c>
      <c r="D22" s="101" t="s">
        <v>76</v>
      </c>
      <c r="E22" s="101" t="s">
        <v>10</v>
      </c>
      <c r="F22" s="101" t="s">
        <v>87</v>
      </c>
      <c r="G22" s="109">
        <v>720</v>
      </c>
      <c r="H22" s="109">
        <v>720</v>
      </c>
      <c r="I22" s="109">
        <v>315</v>
      </c>
      <c r="J22" s="109">
        <v>315</v>
      </c>
      <c r="K22" s="109">
        <v>415</v>
      </c>
      <c r="L22" s="109">
        <v>600</v>
      </c>
      <c r="M22" s="178"/>
      <c r="N22" s="180" t="s">
        <v>56</v>
      </c>
      <c r="O22" s="111">
        <v>2270</v>
      </c>
      <c r="P22" s="200"/>
      <c r="Q22" s="200"/>
      <c r="R22" s="161"/>
      <c r="S22" s="161"/>
      <c r="T22" s="161"/>
      <c r="U22" s="161"/>
      <c r="V22" s="161"/>
      <c r="W22" s="161">
        <f>'комплекты фурнитуры'!$C$11</f>
        <v>650</v>
      </c>
      <c r="X22" s="161"/>
      <c r="Y22" s="161"/>
      <c r="Z22" s="161"/>
      <c r="AA22" s="161"/>
      <c r="AB22" s="161"/>
      <c r="AC22" s="161"/>
      <c r="AD22" s="161"/>
      <c r="AE22" s="161">
        <f>'комплекты фурнитуры'!$C$23*2</f>
        <v>560</v>
      </c>
      <c r="AF22" s="161"/>
      <c r="AG22" s="161"/>
      <c r="AH22" s="196">
        <f>SUM(Прайс[[#This Row],[КФ НСТ11]:[KFPr-SB-ZPG]])</f>
        <v>1210</v>
      </c>
      <c r="AI22" s="196"/>
      <c r="AJ22" s="161"/>
      <c r="AK22" s="161"/>
      <c r="AL22" s="161"/>
      <c r="AM22" s="196"/>
      <c r="AN22" s="196"/>
      <c r="AO22" s="196"/>
      <c r="AP22" s="196"/>
      <c r="AQ22" s="196"/>
      <c r="AR22" s="196"/>
      <c r="AS22" s="196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7">
        <v>0</v>
      </c>
      <c r="BQ22" s="198">
        <v>0</v>
      </c>
      <c r="BR22" s="198">
        <v>0</v>
      </c>
      <c r="BS22" s="162">
        <v>315</v>
      </c>
      <c r="BT22" s="162">
        <v>720</v>
      </c>
      <c r="BU22" s="162" t="str">
        <f>IF(OR(Прайс[[#This Row],[Тип]]="Нижний",Прайс[[#This Row],[Тип]]="Пенал"),"560",IF(Прайс[[#This Row],[Тип]]="Верхний",315,0))</f>
        <v>560</v>
      </c>
      <c r="BV22" s="199">
        <v>1.08</v>
      </c>
      <c r="BW22" s="199">
        <v>1.0649999999999999</v>
      </c>
      <c r="BX22" s="198">
        <v>1.3</v>
      </c>
      <c r="BY22" s="162">
        <v>1</v>
      </c>
      <c r="BZ22" s="162">
        <v>1</v>
      </c>
      <c r="CA22" s="162" t="s">
        <v>10</v>
      </c>
      <c r="CB22" s="198" t="s">
        <v>474</v>
      </c>
      <c r="CC22" s="162">
        <v>1</v>
      </c>
      <c r="CD22" s="162" t="s">
        <v>10</v>
      </c>
      <c r="CE22" s="162">
        <v>2540</v>
      </c>
      <c r="CF22" s="1"/>
      <c r="CG22" s="1"/>
      <c r="CH22" s="1">
        <v>1</v>
      </c>
      <c r="CI22" s="162">
        <v>0</v>
      </c>
      <c r="CJ22" s="162">
        <v>0</v>
      </c>
      <c r="CK22" s="162"/>
      <c r="CL22" s="162"/>
      <c r="CM22" s="162"/>
      <c r="CN22" s="162"/>
    </row>
    <row r="23" spans="1:92" ht="15" customHeight="1" x14ac:dyDescent="0.25">
      <c r="A23" s="102" t="s">
        <v>21</v>
      </c>
      <c r="B23" s="101" t="s">
        <v>6</v>
      </c>
      <c r="C23" s="101" t="s">
        <v>757</v>
      </c>
      <c r="D23" s="101" t="s">
        <v>73</v>
      </c>
      <c r="E23" s="101" t="s">
        <v>71</v>
      </c>
      <c r="F23" s="101" t="s">
        <v>87</v>
      </c>
      <c r="G23" s="109">
        <v>720</v>
      </c>
      <c r="H23" s="109">
        <v>720</v>
      </c>
      <c r="I23" s="109">
        <v>150</v>
      </c>
      <c r="J23" s="109">
        <v>600</v>
      </c>
      <c r="K23" s="109">
        <v>300</v>
      </c>
      <c r="L23" s="109">
        <v>640</v>
      </c>
      <c r="M23" s="178"/>
      <c r="N23" s="180"/>
      <c r="O23" s="111">
        <v>2538</v>
      </c>
      <c r="P23" s="200"/>
      <c r="Q23" s="200"/>
      <c r="R23" s="161">
        <f>'комплекты фурнитуры'!$C$3</f>
        <v>550</v>
      </c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>
        <f>'комплекты фурнитуры'!$C$23*2</f>
        <v>560</v>
      </c>
      <c r="AF23" s="161"/>
      <c r="AG23" s="161"/>
      <c r="AH23" s="196">
        <f>SUM(Прайс[[#This Row],[КФ НСТ11]:[KFPr-SB-ZPG]])</f>
        <v>1110</v>
      </c>
      <c r="AI23" s="196"/>
      <c r="AJ23" s="161"/>
      <c r="AK23" s="161"/>
      <c r="AL23" s="161"/>
      <c r="AM23" s="196">
        <f>'комплекты фурнитуры'!$C$62</f>
        <v>620</v>
      </c>
      <c r="AN23" s="196">
        <f>'комплекты фурнитуры'!$C$63</f>
        <v>130</v>
      </c>
      <c r="AO23" s="196"/>
      <c r="AP23" s="196"/>
      <c r="AQ23" s="196"/>
      <c r="AR23" s="196"/>
      <c r="AS23" s="196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>
        <f>'комплекты фурнитуры'!$C$80</f>
        <v>390</v>
      </c>
      <c r="BO23" s="196"/>
      <c r="BP23" s="197">
        <f>Прайс[[#This Row],[КФ петли SENS накл.110 гр. с крестообр. Планкой]]*2+Прайс[[#This Row],[КФ  крепления профиля Gola]]</f>
        <v>1630</v>
      </c>
      <c r="BQ23" s="198">
        <f>Прайс[[#This Row],[КФ  крепления профиля Gola]]+Прайс[[#This Row],[KFP-SB-N110]]*2</f>
        <v>650</v>
      </c>
      <c r="BR23" s="198">
        <f>Прайс[[#This Row],[КФ  крепления профиля Gola]]+Прайс[[#This Row],[KFP-SB-N110]]*2</f>
        <v>650</v>
      </c>
      <c r="BS23" s="202">
        <v>300</v>
      </c>
      <c r="BT23" s="162">
        <v>720</v>
      </c>
      <c r="BU23" s="162" t="str">
        <f>IF(OR(Прайс[[#This Row],[Тип]]="Нижний",Прайс[[#This Row],[Тип]]="Пенал"),"560",IF(Прайс[[#This Row],[Тип]]="Верхний",315,0))</f>
        <v>560</v>
      </c>
      <c r="BV23" s="199">
        <v>1.08</v>
      </c>
      <c r="BW23" s="199">
        <v>1.0649999999999999</v>
      </c>
      <c r="BX23" s="198">
        <v>1.3</v>
      </c>
      <c r="BY23" s="162">
        <v>0</v>
      </c>
      <c r="BZ23" s="162">
        <v>2</v>
      </c>
      <c r="CA23" s="162" t="s">
        <v>10</v>
      </c>
      <c r="CB23" s="198" t="s">
        <v>475</v>
      </c>
      <c r="CC23" s="162">
        <v>1</v>
      </c>
      <c r="CD23" s="162" t="s">
        <v>10</v>
      </c>
      <c r="CE23" s="162">
        <v>2829.6</v>
      </c>
      <c r="CF23" s="1"/>
      <c r="CG23" s="1"/>
      <c r="CH23" s="1">
        <v>1</v>
      </c>
      <c r="CI23" s="162">
        <v>0</v>
      </c>
      <c r="CJ23" s="162">
        <v>0</v>
      </c>
      <c r="CK23" s="162"/>
      <c r="CL23" s="162"/>
      <c r="CM23" s="162"/>
      <c r="CN23" s="162"/>
    </row>
    <row r="24" spans="1:92" ht="15" customHeight="1" x14ac:dyDescent="0.25">
      <c r="A24" s="102" t="s">
        <v>22</v>
      </c>
      <c r="B24" s="101" t="s">
        <v>6</v>
      </c>
      <c r="C24" s="101" t="s">
        <v>758</v>
      </c>
      <c r="D24" s="101" t="s">
        <v>73</v>
      </c>
      <c r="E24" s="101" t="s">
        <v>71</v>
      </c>
      <c r="F24" s="101" t="s">
        <v>87</v>
      </c>
      <c r="G24" s="109">
        <v>720</v>
      </c>
      <c r="H24" s="109">
        <v>720</v>
      </c>
      <c r="I24" s="109">
        <v>600</v>
      </c>
      <c r="J24" s="109">
        <v>900</v>
      </c>
      <c r="K24" s="109">
        <v>300</v>
      </c>
      <c r="L24" s="109">
        <v>640</v>
      </c>
      <c r="M24" s="178"/>
      <c r="N24" s="180"/>
      <c r="O24" s="111">
        <v>2538</v>
      </c>
      <c r="P24" s="200"/>
      <c r="Q24" s="200"/>
      <c r="R24" s="161">
        <f>'комплекты фурнитуры'!$C$3</f>
        <v>550</v>
      </c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>
        <f>'комплекты фурнитуры'!$C$23*2</f>
        <v>560</v>
      </c>
      <c r="AF24" s="161"/>
      <c r="AG24" s="161"/>
      <c r="AH24" s="196">
        <f>SUM(Прайс[[#This Row],[КФ НСТ11]:[KFPr-SB-ZPG]])</f>
        <v>1110</v>
      </c>
      <c r="AI24" s="196"/>
      <c r="AJ24" s="161"/>
      <c r="AK24" s="161"/>
      <c r="AL24" s="161"/>
      <c r="AM24" s="196">
        <f>'комплекты фурнитуры'!$C$62</f>
        <v>620</v>
      </c>
      <c r="AN24" s="196">
        <f>'комплекты фурнитуры'!$C$63</f>
        <v>130</v>
      </c>
      <c r="AO24" s="196"/>
      <c r="AP24" s="196"/>
      <c r="AQ24" s="196"/>
      <c r="AR24" s="196"/>
      <c r="AS24" s="196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>
        <f>'комплекты фурнитуры'!$C$80</f>
        <v>390</v>
      </c>
      <c r="BO24" s="196"/>
      <c r="BP24" s="197">
        <f>Прайс[[#This Row],[КФ петли SENS накл.110 гр. с крестообр. Планкой]]*4+Прайс[[#This Row],[КФ  крепления профиля Gola]]</f>
        <v>2870</v>
      </c>
      <c r="BQ24" s="198">
        <f>Прайс[[#This Row],[КФ  крепления профиля Gola]]+Прайс[[#This Row],[KFP-SB-N110]]*2</f>
        <v>650</v>
      </c>
      <c r="BR24" s="198">
        <f>Прайс[[#This Row],[КФ  крепления профиля Gola]]+Прайс[[#This Row],[KFP-SB-N110]]*2</f>
        <v>650</v>
      </c>
      <c r="BS24" s="202">
        <v>300</v>
      </c>
      <c r="BT24" s="162">
        <v>720</v>
      </c>
      <c r="BU24" s="162" t="str">
        <f>IF(OR(Прайс[[#This Row],[Тип]]="Нижний",Прайс[[#This Row],[Тип]]="Пенал"),"560",IF(Прайс[[#This Row],[Тип]]="Верхний",315,0))</f>
        <v>560</v>
      </c>
      <c r="BV24" s="199">
        <v>1.08</v>
      </c>
      <c r="BW24" s="199">
        <v>1.0649999999999999</v>
      </c>
      <c r="BX24" s="198">
        <v>1.3</v>
      </c>
      <c r="BY24" s="162">
        <v>0</v>
      </c>
      <c r="BZ24" s="162">
        <v>2</v>
      </c>
      <c r="CA24" s="162" t="s">
        <v>10</v>
      </c>
      <c r="CB24" s="198" t="s">
        <v>475</v>
      </c>
      <c r="CC24" s="162">
        <v>1</v>
      </c>
      <c r="CD24" s="162" t="s">
        <v>10</v>
      </c>
      <c r="CE24" s="162">
        <v>2829.6</v>
      </c>
      <c r="CF24" s="1"/>
      <c r="CG24" s="1"/>
      <c r="CH24" s="1">
        <v>2</v>
      </c>
      <c r="CI24" s="162">
        <v>0</v>
      </c>
      <c r="CJ24" s="162">
        <v>0</v>
      </c>
      <c r="CK24" s="162"/>
      <c r="CL24" s="162"/>
      <c r="CM24" s="162"/>
      <c r="CN24" s="162"/>
    </row>
    <row r="25" spans="1:92" ht="15" customHeight="1" x14ac:dyDescent="0.25">
      <c r="A25" s="102" t="s">
        <v>23</v>
      </c>
      <c r="B25" s="101" t="s">
        <v>6</v>
      </c>
      <c r="C25" s="101" t="s">
        <v>759</v>
      </c>
      <c r="D25" s="101" t="s">
        <v>73</v>
      </c>
      <c r="E25" s="101" t="s">
        <v>71</v>
      </c>
      <c r="F25" s="101" t="s">
        <v>95</v>
      </c>
      <c r="G25" s="109">
        <v>720</v>
      </c>
      <c r="H25" s="109">
        <v>720</v>
      </c>
      <c r="I25" s="109">
        <v>300</v>
      </c>
      <c r="J25" s="109">
        <v>900</v>
      </c>
      <c r="K25" s="109">
        <v>525</v>
      </c>
      <c r="L25" s="109">
        <v>560</v>
      </c>
      <c r="M25" s="178"/>
      <c r="N25" s="180" t="s">
        <v>57</v>
      </c>
      <c r="O25" s="111">
        <v>3196.8</v>
      </c>
      <c r="P25" s="200"/>
      <c r="Q25" s="200"/>
      <c r="R25" s="161">
        <f>'комплекты фурнитуры'!$C$3</f>
        <v>550</v>
      </c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>
        <f>'комплекты фурнитуры'!$C$23*2</f>
        <v>560</v>
      </c>
      <c r="AF25" s="161"/>
      <c r="AG25" s="161"/>
      <c r="AH25" s="196">
        <f>SUM(Прайс[[#This Row],[КФ НСТ11]:[KFPr-SB-ZPG]])</f>
        <v>1110</v>
      </c>
      <c r="AI25" s="196"/>
      <c r="AJ25" s="161"/>
      <c r="AK25" s="161"/>
      <c r="AL25" s="161"/>
      <c r="AM25" s="196"/>
      <c r="AN25" s="196"/>
      <c r="AO25" s="196"/>
      <c r="AP25" s="196"/>
      <c r="AQ25" s="196"/>
      <c r="AR25" s="196"/>
      <c r="AS25" s="196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>
        <f>'комплекты фурнитуры'!$C$26</f>
        <v>6660</v>
      </c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>
        <f>'комплекты фурнитуры'!$C$80</f>
        <v>390</v>
      </c>
      <c r="BO25" s="196"/>
      <c r="BP25" s="197">
        <f>Прайс[[#This Row],[Комплект для ящика Hettich ATIRA Серый с реллингом, NL-470, H-176]]*2+Прайс[[#This Row],[КФ  крепления профиля Gola]]*2</f>
        <v>14100</v>
      </c>
      <c r="BQ25" s="197">
        <f>Прайс[[#This Row],[Комплект для ящика Hettich ATIRA Серый с реллингом, NL-470, H-176]]*2+Прайс[[#This Row],[КФ  крепления профиля Gola]]*2</f>
        <v>14100</v>
      </c>
      <c r="BR25" s="197">
        <f>Прайс[[#This Row],[Комплект для ящика Hettich ATIRA Серый с реллингом, NL-470, H-176]]*2+Прайс[[#This Row],[КФ  крепления профиля Gola]]*2</f>
        <v>14100</v>
      </c>
      <c r="BS25" s="202">
        <v>300</v>
      </c>
      <c r="BT25" s="162">
        <v>720</v>
      </c>
      <c r="BU25" s="162" t="str">
        <f>IF(OR(Прайс[[#This Row],[Тип]]="Нижний",Прайс[[#This Row],[Тип]]="Пенал"),"560",IF(Прайс[[#This Row],[Тип]]="Верхний",315,0))</f>
        <v>560</v>
      </c>
      <c r="BV25" s="199">
        <v>1.08</v>
      </c>
      <c r="BW25" s="199">
        <v>1.0649999999999999</v>
      </c>
      <c r="BX25" s="198">
        <v>0</v>
      </c>
      <c r="BY25" s="162">
        <v>0</v>
      </c>
      <c r="BZ25" s="162">
        <v>0</v>
      </c>
      <c r="CA25" s="162" t="s">
        <v>10</v>
      </c>
      <c r="CB25" s="198" t="s">
        <v>475</v>
      </c>
      <c r="CC25" s="162">
        <v>0</v>
      </c>
      <c r="CD25" s="162" t="s">
        <v>10</v>
      </c>
      <c r="CE25" s="162">
        <v>3553.2</v>
      </c>
      <c r="CF25" s="1"/>
      <c r="CG25" s="1"/>
      <c r="CH25" s="1">
        <v>2</v>
      </c>
      <c r="CI25" s="162">
        <v>0</v>
      </c>
      <c r="CJ25" s="162">
        <v>0</v>
      </c>
      <c r="CK25" s="162"/>
      <c r="CL25" s="162"/>
      <c r="CM25" s="162"/>
      <c r="CN25" s="162"/>
    </row>
    <row r="26" spans="1:92" ht="15" customHeight="1" x14ac:dyDescent="0.25">
      <c r="A26" s="102" t="s">
        <v>24</v>
      </c>
      <c r="B26" s="101" t="s">
        <v>6</v>
      </c>
      <c r="C26" s="101" t="s">
        <v>760</v>
      </c>
      <c r="D26" s="101" t="s">
        <v>73</v>
      </c>
      <c r="E26" s="101" t="s">
        <v>71</v>
      </c>
      <c r="F26" s="101" t="s">
        <v>95</v>
      </c>
      <c r="G26" s="109">
        <v>720</v>
      </c>
      <c r="H26" s="109">
        <v>720</v>
      </c>
      <c r="I26" s="109">
        <v>300</v>
      </c>
      <c r="J26" s="109">
        <v>900</v>
      </c>
      <c r="K26" s="109">
        <v>525</v>
      </c>
      <c r="L26" s="109">
        <v>560</v>
      </c>
      <c r="M26" s="178"/>
      <c r="N26" s="180" t="s">
        <v>58</v>
      </c>
      <c r="O26" s="111">
        <v>3304.8</v>
      </c>
      <c r="P26" s="200"/>
      <c r="Q26" s="200"/>
      <c r="R26" s="161">
        <f>'комплекты фурнитуры'!$C$3</f>
        <v>550</v>
      </c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>
        <f>'комплекты фурнитуры'!$C$23*2</f>
        <v>560</v>
      </c>
      <c r="AF26" s="161"/>
      <c r="AG26" s="161"/>
      <c r="AH26" s="196">
        <f>SUM(Прайс[[#This Row],[КФ НСТ11]:[KFPr-SB-ZPG]])</f>
        <v>1110</v>
      </c>
      <c r="AI26" s="196"/>
      <c r="AJ26" s="161"/>
      <c r="AK26" s="161"/>
      <c r="AL26" s="161"/>
      <c r="AM26" s="196"/>
      <c r="AN26" s="196"/>
      <c r="AO26" s="196"/>
      <c r="AP26" s="196"/>
      <c r="AQ26" s="196"/>
      <c r="AR26" s="196"/>
      <c r="AS26" s="196"/>
      <c r="AT26" s="196"/>
      <c r="AU26" s="196"/>
      <c r="AV26" s="196"/>
      <c r="AW26" s="196"/>
      <c r="AX26" s="196"/>
      <c r="AY26" s="196"/>
      <c r="AZ26" s="196"/>
      <c r="BA26" s="196"/>
      <c r="BB26" s="196">
        <f>'комплекты фурнитуры'!$C$25</f>
        <v>5100</v>
      </c>
      <c r="BC26" s="196">
        <f>'комплекты фурнитуры'!$C$26</f>
        <v>6660</v>
      </c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>
        <f>'комплекты фурнитуры'!$C$80</f>
        <v>390</v>
      </c>
      <c r="BO26" s="196"/>
      <c r="BP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02">
        <v>300</v>
      </c>
      <c r="BT26" s="162">
        <v>720</v>
      </c>
      <c r="BU26" s="162" t="str">
        <f>IF(OR(Прайс[[#This Row],[Тип]]="Нижний",Прайс[[#This Row],[Тип]]="Пенал"),"560",IF(Прайс[[#This Row],[Тип]]="Верхний",315,0))</f>
        <v>560</v>
      </c>
      <c r="BV26" s="199">
        <v>1.08</v>
      </c>
      <c r="BW26" s="199">
        <v>1.0649999999999999</v>
      </c>
      <c r="BX26" s="198">
        <v>0</v>
      </c>
      <c r="BY26" s="162">
        <v>0</v>
      </c>
      <c r="BZ26" s="162">
        <v>0</v>
      </c>
      <c r="CA26" s="162" t="s">
        <v>10</v>
      </c>
      <c r="CB26" s="198" t="s">
        <v>475</v>
      </c>
      <c r="CC26" s="162">
        <v>0</v>
      </c>
      <c r="CD26" s="162" t="s">
        <v>10</v>
      </c>
      <c r="CE26" s="162">
        <v>3693.6</v>
      </c>
      <c r="CF26" s="1"/>
      <c r="CG26" s="1"/>
      <c r="CH26" s="1">
        <v>3</v>
      </c>
      <c r="CI26" s="162">
        <v>0</v>
      </c>
      <c r="CJ26" s="162">
        <v>0</v>
      </c>
      <c r="CK26" s="162"/>
      <c r="CL26" s="162"/>
      <c r="CM26" s="162"/>
      <c r="CN26" s="162"/>
    </row>
    <row r="27" spans="1:92" ht="15" customHeight="1" x14ac:dyDescent="0.25">
      <c r="A27" s="102" t="s">
        <v>392</v>
      </c>
      <c r="B27" s="101" t="s">
        <v>6</v>
      </c>
      <c r="C27" s="101" t="s">
        <v>761</v>
      </c>
      <c r="D27" s="101" t="s">
        <v>73</v>
      </c>
      <c r="E27" s="101" t="s">
        <v>71</v>
      </c>
      <c r="F27" s="101" t="s">
        <v>88</v>
      </c>
      <c r="G27" s="109">
        <v>720</v>
      </c>
      <c r="H27" s="109">
        <v>720</v>
      </c>
      <c r="I27" s="109">
        <v>150</v>
      </c>
      <c r="J27" s="109">
        <v>150</v>
      </c>
      <c r="K27" s="109">
        <v>515</v>
      </c>
      <c r="L27" s="109">
        <v>640</v>
      </c>
      <c r="M27" s="178"/>
      <c r="N27" s="180" t="s">
        <v>53</v>
      </c>
      <c r="O27" s="111">
        <v>2538</v>
      </c>
      <c r="P27" s="200"/>
      <c r="Q27" s="200"/>
      <c r="R27" s="161">
        <f>'комплекты фурнитуры'!$C$3</f>
        <v>550</v>
      </c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>
        <v>540</v>
      </c>
      <c r="AF27" s="161"/>
      <c r="AG27" s="161"/>
      <c r="AH27" s="196">
        <f>SUM(Прайс[[#This Row],[КФ НСТ11]:[KFPr-SB-ZPG]])</f>
        <v>1090</v>
      </c>
      <c r="AI27" s="196"/>
      <c r="AJ27" s="161"/>
      <c r="AK27" s="161"/>
      <c r="AL27" s="161"/>
      <c r="AM27" s="196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>
        <f>'комплекты фурнитуры'!$C$46</f>
        <v>11560</v>
      </c>
      <c r="BL27" s="196"/>
      <c r="BM27" s="196"/>
      <c r="BN27" s="196">
        <f>'комплекты фурнитуры'!$C$80</f>
        <v>390</v>
      </c>
      <c r="BO27" s="196"/>
      <c r="BP27" s="197">
        <f>Прайс[[#This Row],[KFS-SB-BYT]]+Прайс[[#This Row],[КФ евровинт]]*2+Прайс[[#This Row],[КФ  крепления профиля Gola]]</f>
        <v>11950</v>
      </c>
      <c r="BQ27" s="197">
        <f>Прайс[[#This Row],[KFS-SB-BYT]]+Прайс[[#This Row],[КФ евровинт]]*2+Прайс[[#This Row],[КФ  крепления профиля Gola]]</f>
        <v>11950</v>
      </c>
      <c r="BR27" s="197">
        <f>Прайс[[#This Row],[KFS-SB-BYT]]+Прайс[[#This Row],[КФ евровинт]]*2+Прайс[[#This Row],[КФ  крепления профиля Gola]]</f>
        <v>11950</v>
      </c>
      <c r="BS27" s="202">
        <v>300</v>
      </c>
      <c r="BT27" s="162">
        <v>720</v>
      </c>
      <c r="BU27" s="162" t="str">
        <f>IF(OR(Прайс[[#This Row],[Тип]]="Нижний",Прайс[[#This Row],[Тип]]="Пенал"),"560",IF(Прайс[[#This Row],[Тип]]="Верхний",315,0))</f>
        <v>560</v>
      </c>
      <c r="BV27" s="199">
        <v>1.08</v>
      </c>
      <c r="BW27" s="199">
        <v>1.0649999999999999</v>
      </c>
      <c r="BX27" s="198">
        <v>1.3</v>
      </c>
      <c r="BY27" s="162">
        <v>0</v>
      </c>
      <c r="BZ27" s="162">
        <v>0</v>
      </c>
      <c r="CA27" s="162" t="s">
        <v>10</v>
      </c>
      <c r="CB27" s="198" t="s">
        <v>475</v>
      </c>
      <c r="CC27" s="162">
        <v>0</v>
      </c>
      <c r="CD27" s="162" t="s">
        <v>10</v>
      </c>
      <c r="CE27" s="162">
        <v>2829.6</v>
      </c>
      <c r="CF27" s="1"/>
      <c r="CG27" s="1"/>
      <c r="CH27" s="1">
        <v>1</v>
      </c>
      <c r="CI27" s="162">
        <v>0</v>
      </c>
      <c r="CJ27" s="162">
        <v>0</v>
      </c>
      <c r="CK27" s="162"/>
      <c r="CL27" s="162"/>
      <c r="CM27" s="162"/>
      <c r="CN27" s="162"/>
    </row>
    <row r="28" spans="1:92" ht="15" customHeight="1" x14ac:dyDescent="0.25">
      <c r="A28" s="110" t="s">
        <v>393</v>
      </c>
      <c r="B28" s="101" t="s">
        <v>6</v>
      </c>
      <c r="C28" s="101" t="s">
        <v>762</v>
      </c>
      <c r="D28" s="101" t="s">
        <v>73</v>
      </c>
      <c r="E28" s="101" t="s">
        <v>71</v>
      </c>
      <c r="F28" s="101" t="s">
        <v>88</v>
      </c>
      <c r="G28" s="109">
        <v>720</v>
      </c>
      <c r="H28" s="109">
        <v>720</v>
      </c>
      <c r="I28" s="109">
        <v>450</v>
      </c>
      <c r="J28" s="109">
        <v>450</v>
      </c>
      <c r="K28" s="109">
        <v>515</v>
      </c>
      <c r="L28" s="109">
        <v>640</v>
      </c>
      <c r="M28" s="178"/>
      <c r="N28" s="180" t="s">
        <v>53</v>
      </c>
      <c r="O28" s="111">
        <v>2538</v>
      </c>
      <c r="P28" s="200"/>
      <c r="Q28" s="200"/>
      <c r="R28" s="161">
        <f>'комплекты фурнитуры'!$C$3</f>
        <v>550</v>
      </c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>
        <f>'комплекты фурнитуры'!$C$23*2</f>
        <v>560</v>
      </c>
      <c r="AF28" s="161"/>
      <c r="AG28" s="161"/>
      <c r="AH28" s="196">
        <f>SUM(Прайс[[#This Row],[КФ НСТ11]:[KFPr-SB-ZPG]])</f>
        <v>1110</v>
      </c>
      <c r="AI28" s="196"/>
      <c r="AJ28" s="161"/>
      <c r="AK28" s="161"/>
      <c r="AL28" s="161"/>
      <c r="AM28" s="196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>
        <f>'комплекты фурнитуры'!$C$48</f>
        <v>10520</v>
      </c>
      <c r="BM28" s="196">
        <f>'комплекты фурнитуры'!$C$84</f>
        <v>10</v>
      </c>
      <c r="BN28" s="196">
        <f>'комплекты фурнитуры'!$C$80</f>
        <v>390</v>
      </c>
      <c r="BO28" s="196"/>
      <c r="BP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02">
        <v>300</v>
      </c>
      <c r="BT28" s="162">
        <v>720</v>
      </c>
      <c r="BU28" s="162" t="str">
        <f>IF(OR(Прайс[[#This Row],[Тип]]="Нижний",Прайс[[#This Row],[Тип]]="Пенал"),"560",IF(Прайс[[#This Row],[Тип]]="Верхний",315,0))</f>
        <v>560</v>
      </c>
      <c r="BV28" s="199">
        <v>1.08</v>
      </c>
      <c r="BW28" s="199">
        <v>1.0649999999999999</v>
      </c>
      <c r="BX28" s="198">
        <v>1.3</v>
      </c>
      <c r="BY28" s="162">
        <v>0</v>
      </c>
      <c r="BZ28" s="162">
        <v>0</v>
      </c>
      <c r="CA28" s="162" t="s">
        <v>10</v>
      </c>
      <c r="CB28" s="198" t="s">
        <v>475</v>
      </c>
      <c r="CC28" s="162">
        <v>0</v>
      </c>
      <c r="CD28" s="162" t="s">
        <v>10</v>
      </c>
      <c r="CE28" s="162">
        <v>2829.6</v>
      </c>
      <c r="CF28" s="1"/>
      <c r="CG28" s="1"/>
      <c r="CH28" s="1">
        <v>1</v>
      </c>
      <c r="CI28" s="162">
        <v>0</v>
      </c>
      <c r="CJ28" s="162">
        <v>0</v>
      </c>
      <c r="CK28" s="162"/>
      <c r="CL28" s="162"/>
      <c r="CM28" s="162"/>
      <c r="CN28" s="162"/>
    </row>
    <row r="29" spans="1:92" ht="15" customHeight="1" x14ac:dyDescent="0.25">
      <c r="A29" s="114" t="s">
        <v>25</v>
      </c>
      <c r="B29" s="101" t="s">
        <v>6</v>
      </c>
      <c r="C29" s="101" t="s">
        <v>763</v>
      </c>
      <c r="D29" s="101" t="s">
        <v>73</v>
      </c>
      <c r="E29" s="101" t="s">
        <v>71</v>
      </c>
      <c r="F29" s="101" t="s">
        <v>89</v>
      </c>
      <c r="G29" s="109">
        <v>720</v>
      </c>
      <c r="H29" s="109">
        <v>720</v>
      </c>
      <c r="I29" s="109">
        <v>300</v>
      </c>
      <c r="J29" s="109">
        <v>600</v>
      </c>
      <c r="K29" s="109">
        <v>300</v>
      </c>
      <c r="L29" s="109">
        <v>640</v>
      </c>
      <c r="M29" s="178"/>
      <c r="N29" s="180"/>
      <c r="O29" s="111">
        <v>2538</v>
      </c>
      <c r="P29" s="200"/>
      <c r="Q29" s="200"/>
      <c r="R29" s="161">
        <f>'комплекты фурнитуры'!$C$3</f>
        <v>550</v>
      </c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>
        <f>'комплекты фурнитуры'!$C$23*2</f>
        <v>560</v>
      </c>
      <c r="AF29" s="161"/>
      <c r="AG29" s="161"/>
      <c r="AH29" s="196">
        <f>SUM(Прайс[[#This Row],[КФ НСТ11]:[KFPr-SB-ZPG]])</f>
        <v>1110</v>
      </c>
      <c r="AI29" s="196"/>
      <c r="AJ29" s="161"/>
      <c r="AK29" s="161"/>
      <c r="AL29" s="161"/>
      <c r="AM29" s="196">
        <f>'комплекты фурнитуры'!$C$62</f>
        <v>620</v>
      </c>
      <c r="AN29" s="196">
        <f>'комплекты фурнитуры'!$C$63</f>
        <v>130</v>
      </c>
      <c r="AO29" s="196"/>
      <c r="AP29" s="196"/>
      <c r="AQ29" s="196"/>
      <c r="AR29" s="196"/>
      <c r="AS29" s="196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>
        <f>'комплекты фурнитуры'!$C$80</f>
        <v>390</v>
      </c>
      <c r="BO29" s="196"/>
      <c r="BP29" s="197">
        <f>Прайс[[#This Row],[КФ петли SENS накл.110 гр. с крестообр. Планкой]]*2+Прайс[[#This Row],[КФ  крепления профиля Gola]]</f>
        <v>1630</v>
      </c>
      <c r="BQ29" s="197">
        <f>Прайс[[#This Row],[КФ петли SENS накл.110 гр. с крестообр. Планкой]]*2+Прайс[[#This Row],[КФ  крепления профиля Gola]]</f>
        <v>1630</v>
      </c>
      <c r="BR29" s="197">
        <f>Прайс[[#This Row],[КФ петли SENS накл.110 гр. с крестообр. Планкой]]*2+Прайс[[#This Row],[КФ  крепления профиля Gola]]</f>
        <v>1630</v>
      </c>
      <c r="BS29" s="202">
        <v>300</v>
      </c>
      <c r="BT29" s="162">
        <v>720</v>
      </c>
      <c r="BU29" s="162" t="str">
        <f>IF(OR(Прайс[[#This Row],[Тип]]="Нижний",Прайс[[#This Row],[Тип]]="Пенал"),"560",IF(Прайс[[#This Row],[Тип]]="Верхний",315,0))</f>
        <v>560</v>
      </c>
      <c r="BV29" s="199">
        <v>1.08</v>
      </c>
      <c r="BW29" s="199">
        <v>1.0649999999999999</v>
      </c>
      <c r="BX29" s="198">
        <v>1.3</v>
      </c>
      <c r="BY29" s="162">
        <v>0</v>
      </c>
      <c r="BZ29" s="162">
        <v>0</v>
      </c>
      <c r="CA29" s="162" t="s">
        <v>10</v>
      </c>
      <c r="CB29" s="198" t="s">
        <v>475</v>
      </c>
      <c r="CC29" s="162">
        <v>0</v>
      </c>
      <c r="CD29" s="162" t="s">
        <v>10</v>
      </c>
      <c r="CE29" s="162">
        <v>2829.6</v>
      </c>
      <c r="CF29" s="1"/>
      <c r="CG29" s="1"/>
      <c r="CH29" s="1">
        <v>1</v>
      </c>
      <c r="CI29" s="162">
        <v>0</v>
      </c>
      <c r="CJ29" s="162">
        <v>0</v>
      </c>
      <c r="CK29" s="162"/>
      <c r="CL29" s="162"/>
      <c r="CM29" s="162"/>
      <c r="CN29" s="162"/>
    </row>
    <row r="30" spans="1:92" ht="15" customHeight="1" x14ac:dyDescent="0.25">
      <c r="A30" s="114" t="s">
        <v>26</v>
      </c>
      <c r="B30" s="101" t="s">
        <v>6</v>
      </c>
      <c r="C30" s="101" t="s">
        <v>764</v>
      </c>
      <c r="D30" s="101" t="s">
        <v>73</v>
      </c>
      <c r="E30" s="101" t="s">
        <v>71</v>
      </c>
      <c r="F30" s="101" t="s">
        <v>89</v>
      </c>
      <c r="G30" s="109">
        <v>720</v>
      </c>
      <c r="H30" s="109">
        <v>720</v>
      </c>
      <c r="I30" s="109">
        <v>600</v>
      </c>
      <c r="J30" s="109">
        <v>900</v>
      </c>
      <c r="K30" s="109">
        <v>300</v>
      </c>
      <c r="L30" s="109">
        <v>640</v>
      </c>
      <c r="M30" s="178"/>
      <c r="N30" s="180"/>
      <c r="O30" s="111">
        <v>2538</v>
      </c>
      <c r="P30" s="200"/>
      <c r="Q30" s="200"/>
      <c r="R30" s="161">
        <f>'комплекты фурнитуры'!$C$3</f>
        <v>550</v>
      </c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>
        <f>'комплекты фурнитуры'!$C$23*2</f>
        <v>560</v>
      </c>
      <c r="AF30" s="161"/>
      <c r="AG30" s="161"/>
      <c r="AH30" s="196">
        <f>SUM(Прайс[[#This Row],[КФ НСТ11]:[KFPr-SB-ZPG]])</f>
        <v>1110</v>
      </c>
      <c r="AI30" s="196"/>
      <c r="AJ30" s="161"/>
      <c r="AK30" s="161"/>
      <c r="AL30" s="161"/>
      <c r="AM30" s="196">
        <f>'комплекты фурнитуры'!$C$62</f>
        <v>620</v>
      </c>
      <c r="AN30" s="196">
        <f>'комплекты фурнитуры'!$C$63</f>
        <v>130</v>
      </c>
      <c r="AO30" s="196"/>
      <c r="AP30" s="196"/>
      <c r="AQ30" s="196"/>
      <c r="AR30" s="196"/>
      <c r="AS30" s="196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>
        <f>'комплекты фурнитуры'!$C$80</f>
        <v>390</v>
      </c>
      <c r="BO30" s="196"/>
      <c r="BP30" s="197">
        <f>Прайс[[#This Row],[КФ петли SENS накл.110 гр. с крестообр. Планкой]]*4+Прайс[[#This Row],[КФ  крепления профиля Gola]]</f>
        <v>2870</v>
      </c>
      <c r="BQ30" s="197">
        <f>Прайс[[#This Row],[КФ петли SENS накл.110 гр. с крестообр. Планкой]]*4+Прайс[[#This Row],[КФ  крепления профиля Gola]]</f>
        <v>2870</v>
      </c>
      <c r="BR30" s="197">
        <f>Прайс[[#This Row],[КФ петли SENS накл.110 гр. с крестообр. Планкой]]*4+Прайс[[#This Row],[КФ  крепления профиля Gola]]</f>
        <v>2870</v>
      </c>
      <c r="BS30" s="202">
        <v>300</v>
      </c>
      <c r="BT30" s="162">
        <v>720</v>
      </c>
      <c r="BU30" s="162" t="str">
        <f>IF(OR(Прайс[[#This Row],[Тип]]="Нижний",Прайс[[#This Row],[Тип]]="Пенал"),"560",IF(Прайс[[#This Row],[Тип]]="Верхний",315,0))</f>
        <v>560</v>
      </c>
      <c r="BV30" s="199">
        <v>1.08</v>
      </c>
      <c r="BW30" s="199">
        <v>1.0649999999999999</v>
      </c>
      <c r="BX30" s="198">
        <v>1.3</v>
      </c>
      <c r="BY30" s="162">
        <v>0</v>
      </c>
      <c r="BZ30" s="162">
        <v>0</v>
      </c>
      <c r="CA30" s="162" t="s">
        <v>10</v>
      </c>
      <c r="CB30" s="198" t="s">
        <v>475</v>
      </c>
      <c r="CC30" s="162">
        <v>0</v>
      </c>
      <c r="CD30" s="162" t="s">
        <v>10</v>
      </c>
      <c r="CE30" s="162">
        <v>2829.6</v>
      </c>
      <c r="CF30" s="1"/>
      <c r="CG30" s="1"/>
      <c r="CH30" s="1">
        <v>2</v>
      </c>
      <c r="CI30" s="162">
        <v>0</v>
      </c>
      <c r="CJ30" s="162">
        <v>0</v>
      </c>
      <c r="CK30" s="162"/>
      <c r="CL30" s="162"/>
      <c r="CM30" s="162"/>
      <c r="CN30" s="162"/>
    </row>
    <row r="31" spans="1:92" ht="15" customHeight="1" x14ac:dyDescent="0.25">
      <c r="A31" s="114" t="s">
        <v>134</v>
      </c>
      <c r="B31" s="101" t="s">
        <v>6</v>
      </c>
      <c r="C31" s="101" t="s">
        <v>765</v>
      </c>
      <c r="D31" s="101" t="s">
        <v>69</v>
      </c>
      <c r="E31" s="101" t="s">
        <v>71</v>
      </c>
      <c r="F31" s="101" t="s">
        <v>87</v>
      </c>
      <c r="G31" s="109">
        <v>720</v>
      </c>
      <c r="H31" s="109">
        <v>720</v>
      </c>
      <c r="I31" s="109">
        <v>710</v>
      </c>
      <c r="J31" s="109">
        <v>950</v>
      </c>
      <c r="K31" s="109">
        <v>360</v>
      </c>
      <c r="L31" s="109">
        <v>560</v>
      </c>
      <c r="M31" s="178"/>
      <c r="N31" s="180"/>
      <c r="O31" s="111">
        <v>3456</v>
      </c>
      <c r="P31" s="200"/>
      <c r="Q31" s="200"/>
      <c r="R31" s="161"/>
      <c r="S31" s="161"/>
      <c r="T31" s="161">
        <f>'комплекты фурнитуры'!$C$6</f>
        <v>810</v>
      </c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>
        <f>'комплекты фурнитуры'!$C$23*2</f>
        <v>560</v>
      </c>
      <c r="AF31" s="161"/>
      <c r="AG31" s="161"/>
      <c r="AH31" s="196">
        <f>SUM(Прайс[[#This Row],[КФ НСТ11]:[KFPr-SB-ZPG]])</f>
        <v>1370</v>
      </c>
      <c r="AI31" s="196"/>
      <c r="AJ31" s="161">
        <f>'комплекты фурнитуры'!$C$78</f>
        <v>30</v>
      </c>
      <c r="AK31" s="161"/>
      <c r="AL31" s="161"/>
      <c r="AM31" s="196"/>
      <c r="AN31" s="196"/>
      <c r="AO31" s="196">
        <f>'комплекты фурнитуры'!$C$56</f>
        <v>1300</v>
      </c>
      <c r="AP31" s="196"/>
      <c r="AQ31" s="196"/>
      <c r="AR31" s="196"/>
      <c r="AS31" s="196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>
        <f>'комплекты фурнитуры'!$C$80</f>
        <v>390</v>
      </c>
      <c r="BO31" s="196"/>
      <c r="BP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62">
        <v>300</v>
      </c>
      <c r="BT31" s="162">
        <v>720</v>
      </c>
      <c r="BU31" s="162">
        <v>315</v>
      </c>
      <c r="BV31" s="199">
        <v>1.08</v>
      </c>
      <c r="BW31" s="199">
        <v>1.0649999999999999</v>
      </c>
      <c r="BX31" s="198">
        <v>1.3</v>
      </c>
      <c r="BY31" s="162">
        <v>0</v>
      </c>
      <c r="BZ31" s="162">
        <v>2</v>
      </c>
      <c r="CA31" s="162" t="s">
        <v>10</v>
      </c>
      <c r="CB31" s="198" t="s">
        <v>475</v>
      </c>
      <c r="CC31" s="162">
        <v>1</v>
      </c>
      <c r="CD31" s="162" t="s">
        <v>10</v>
      </c>
      <c r="CE31" s="162">
        <v>3920.4</v>
      </c>
      <c r="CF31" s="1"/>
      <c r="CG31" s="1"/>
      <c r="CH31" s="1">
        <v>1</v>
      </c>
      <c r="CI31" s="162">
        <v>0</v>
      </c>
      <c r="CJ31" s="162">
        <v>0</v>
      </c>
      <c r="CK31" s="162"/>
      <c r="CL31" s="162"/>
      <c r="CM31" s="162"/>
      <c r="CN31" s="162"/>
    </row>
    <row r="32" spans="1:92" ht="15" customHeight="1" x14ac:dyDescent="0.25">
      <c r="A32" s="114" t="s">
        <v>133</v>
      </c>
      <c r="B32" s="101" t="s">
        <v>6</v>
      </c>
      <c r="C32" s="101" t="s">
        <v>766</v>
      </c>
      <c r="D32" s="101" t="s">
        <v>69</v>
      </c>
      <c r="E32" s="101" t="s">
        <v>71</v>
      </c>
      <c r="F32" s="101" t="s">
        <v>87</v>
      </c>
      <c r="G32" s="109">
        <v>720</v>
      </c>
      <c r="H32" s="109">
        <v>720</v>
      </c>
      <c r="I32" s="109">
        <v>810</v>
      </c>
      <c r="J32" s="109">
        <v>1050</v>
      </c>
      <c r="K32" s="109">
        <v>360</v>
      </c>
      <c r="L32" s="109">
        <v>560</v>
      </c>
      <c r="M32" s="178"/>
      <c r="N32" s="180"/>
      <c r="O32" s="111">
        <v>3456</v>
      </c>
      <c r="P32" s="200"/>
      <c r="Q32" s="200"/>
      <c r="R32" s="161"/>
      <c r="S32" s="161"/>
      <c r="T32" s="161">
        <f>'комплекты фурнитуры'!$C$6</f>
        <v>810</v>
      </c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>
        <f>'комплекты фурнитуры'!$C$23*2</f>
        <v>560</v>
      </c>
      <c r="AF32" s="161"/>
      <c r="AG32" s="161"/>
      <c r="AH32" s="196">
        <f>SUM(Прайс[[#This Row],[КФ НСТ11]:[KFPr-SB-ZPG]])</f>
        <v>1370</v>
      </c>
      <c r="AI32" s="196"/>
      <c r="AJ32" s="161">
        <f>'комплекты фурнитуры'!$C$78</f>
        <v>30</v>
      </c>
      <c r="AK32" s="161"/>
      <c r="AL32" s="161"/>
      <c r="AM32" s="196"/>
      <c r="AN32" s="196"/>
      <c r="AO32" s="196">
        <f>'комплекты фурнитуры'!$C$56</f>
        <v>1300</v>
      </c>
      <c r="AP32" s="196"/>
      <c r="AQ32" s="196"/>
      <c r="AR32" s="196"/>
      <c r="AS32" s="196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>
        <f>'комплекты фурнитуры'!$C$80</f>
        <v>390</v>
      </c>
      <c r="BO32" s="196"/>
      <c r="BP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62">
        <v>300</v>
      </c>
      <c r="BT32" s="162">
        <v>720</v>
      </c>
      <c r="BU32" s="162">
        <v>315</v>
      </c>
      <c r="BV32" s="199">
        <v>1.08</v>
      </c>
      <c r="BW32" s="199">
        <v>1.0649999999999999</v>
      </c>
      <c r="BX32" s="198">
        <v>1.3</v>
      </c>
      <c r="BY32" s="162">
        <v>0</v>
      </c>
      <c r="BZ32" s="162">
        <v>2</v>
      </c>
      <c r="CA32" s="162" t="s">
        <v>10</v>
      </c>
      <c r="CB32" s="198" t="s">
        <v>475</v>
      </c>
      <c r="CC32" s="162">
        <v>0</v>
      </c>
      <c r="CD32" s="162" t="s">
        <v>10</v>
      </c>
      <c r="CE32" s="162">
        <v>3920.4</v>
      </c>
      <c r="CF32" s="1"/>
      <c r="CG32" s="1"/>
      <c r="CH32" s="1">
        <v>1</v>
      </c>
      <c r="CI32" s="162">
        <v>0</v>
      </c>
      <c r="CJ32" s="162">
        <v>0</v>
      </c>
      <c r="CK32" s="162"/>
      <c r="CL32" s="162"/>
      <c r="CM32" s="162"/>
      <c r="CN32" s="162"/>
    </row>
    <row r="33" spans="1:92" ht="15" customHeight="1" x14ac:dyDescent="0.25">
      <c r="A33" s="115" t="s">
        <v>27</v>
      </c>
      <c r="B33" s="101" t="s">
        <v>6</v>
      </c>
      <c r="C33" s="101" t="s">
        <v>844</v>
      </c>
      <c r="D33" s="101" t="s">
        <v>73</v>
      </c>
      <c r="E33" s="101" t="s">
        <v>10</v>
      </c>
      <c r="F33" s="101" t="s">
        <v>91</v>
      </c>
      <c r="G33" s="109">
        <v>240</v>
      </c>
      <c r="H33" s="109">
        <v>2400</v>
      </c>
      <c r="I33" s="109">
        <v>50</v>
      </c>
      <c r="J33" s="109">
        <v>100</v>
      </c>
      <c r="K33" s="109">
        <v>315</v>
      </c>
      <c r="L33" s="109">
        <v>700</v>
      </c>
      <c r="M33" s="178"/>
      <c r="N33" s="180"/>
      <c r="O33" s="111">
        <v>1940</v>
      </c>
      <c r="P33" s="200"/>
      <c r="Q33" s="200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>
        <f>'комплекты фурнитуры'!$C$18</f>
        <v>600</v>
      </c>
      <c r="AE33" s="161"/>
      <c r="AF33" s="161"/>
      <c r="AG33" s="161"/>
      <c r="AH33" s="196">
        <f>SUM(Прайс[[#This Row],[КФ НСТ11]:[KFPr-SB-ZPG]])</f>
        <v>600</v>
      </c>
      <c r="AI33" s="196"/>
      <c r="AJ33" s="161"/>
      <c r="AK33" s="161"/>
      <c r="AL33" s="161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AZ33" s="196"/>
      <c r="BA33" s="196"/>
      <c r="BB33" s="196"/>
      <c r="BC33" s="196"/>
      <c r="BD33" s="196"/>
      <c r="BE33" s="196"/>
      <c r="BF33" s="196"/>
      <c r="BG33" s="196"/>
      <c r="BH33" s="196"/>
      <c r="BI33" s="196"/>
      <c r="BJ33" s="196"/>
      <c r="BK33" s="196"/>
      <c r="BL33" s="196"/>
      <c r="BM33" s="196"/>
      <c r="BN33" s="196"/>
      <c r="BO33" s="196"/>
      <c r="BP33" s="197">
        <v>0</v>
      </c>
      <c r="BQ33" s="198">
        <v>0</v>
      </c>
      <c r="BR33" s="198">
        <v>0</v>
      </c>
      <c r="BS33" s="162">
        <v>100</v>
      </c>
      <c r="BT33" s="162">
        <v>720</v>
      </c>
      <c r="BU33" s="162">
        <v>560</v>
      </c>
      <c r="BV33" s="199">
        <v>1.08</v>
      </c>
      <c r="BW33" s="199">
        <v>1.0649999999999999</v>
      </c>
      <c r="BX33" s="198">
        <v>1.3</v>
      </c>
      <c r="BY33" s="162">
        <v>0</v>
      </c>
      <c r="BZ33" s="162">
        <v>0</v>
      </c>
      <c r="CA33" s="162" t="s">
        <v>10</v>
      </c>
      <c r="CB33" s="198" t="s">
        <v>474</v>
      </c>
      <c r="CC33" s="162">
        <v>0</v>
      </c>
      <c r="CD33" s="162" t="s">
        <v>10</v>
      </c>
      <c r="CE33" s="162">
        <v>2170</v>
      </c>
      <c r="CF33" s="1"/>
      <c r="CG33" s="1"/>
      <c r="CH33" s="1">
        <v>1</v>
      </c>
      <c r="CI33" s="162">
        <v>0</v>
      </c>
      <c r="CJ33" s="162">
        <v>0</v>
      </c>
      <c r="CK33" s="162"/>
      <c r="CL33" s="162"/>
      <c r="CM33" s="162"/>
      <c r="CN33" s="162"/>
    </row>
    <row r="34" spans="1:92" ht="15" customHeight="1" x14ac:dyDescent="0.25">
      <c r="A34" s="115" t="s">
        <v>2</v>
      </c>
      <c r="B34" s="101" t="s">
        <v>7</v>
      </c>
      <c r="C34" s="101" t="s">
        <v>767</v>
      </c>
      <c r="D34" s="101" t="s">
        <v>8</v>
      </c>
      <c r="E34" s="101" t="s">
        <v>10</v>
      </c>
      <c r="F34" s="101" t="s">
        <v>87</v>
      </c>
      <c r="G34" s="109">
        <v>240</v>
      </c>
      <c r="H34" s="109">
        <v>1250</v>
      </c>
      <c r="I34" s="109">
        <v>150</v>
      </c>
      <c r="J34" s="109">
        <v>900</v>
      </c>
      <c r="K34" s="109">
        <v>250</v>
      </c>
      <c r="L34" s="109">
        <v>560</v>
      </c>
      <c r="M34" s="178"/>
      <c r="N34" s="180"/>
      <c r="O34" s="111">
        <v>1780</v>
      </c>
      <c r="P34" s="200"/>
      <c r="Q34" s="200"/>
      <c r="R34" s="161">
        <f>'комплекты фурнитуры'!$C$3</f>
        <v>550</v>
      </c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>
        <f>'комплекты фурнитуры'!$C$72</f>
        <v>210</v>
      </c>
      <c r="AG34" s="161">
        <f>'комплекты фурнитуры'!$C$73</f>
        <v>30</v>
      </c>
      <c r="AH34" s="196">
        <f>SUM(Прайс[[#This Row],[КФ НСТ11]:[KFPr-SB-ZPG]])</f>
        <v>790</v>
      </c>
      <c r="AI34" s="196"/>
      <c r="AJ34" s="161"/>
      <c r="AK34" s="161"/>
      <c r="AL34" s="161"/>
      <c r="AM34" s="196"/>
      <c r="AN34" s="196"/>
      <c r="AO34" s="196"/>
      <c r="AP34" s="196"/>
      <c r="AQ34" s="196"/>
      <c r="AR34" s="196"/>
      <c r="AS34" s="196"/>
      <c r="AT34" s="196"/>
      <c r="AU34" s="196"/>
      <c r="AV34" s="196"/>
      <c r="AW34" s="196"/>
      <c r="AX34" s="196"/>
      <c r="AY34" s="196"/>
      <c r="AZ34" s="196"/>
      <c r="BA34" s="196"/>
      <c r="BB34" s="196"/>
      <c r="BC34" s="196"/>
      <c r="BD34" s="196"/>
      <c r="BE34" s="196"/>
      <c r="BF34" s="196"/>
      <c r="BG34" s="196"/>
      <c r="BH34" s="196"/>
      <c r="BI34" s="196"/>
      <c r="BJ34" s="196"/>
      <c r="BK34" s="196"/>
      <c r="BL34" s="196"/>
      <c r="BM34" s="196"/>
      <c r="BN34" s="196"/>
      <c r="BO34" s="196"/>
      <c r="BP34" s="197">
        <v>0</v>
      </c>
      <c r="BQ34" s="198">
        <v>0</v>
      </c>
      <c r="BR34" s="198">
        <v>0</v>
      </c>
      <c r="BS34" s="162">
        <v>300</v>
      </c>
      <c r="BT34" s="162">
        <v>720</v>
      </c>
      <c r="BU34" s="162">
        <f>IF(OR(Прайс[[#This Row],[Тип]]="Нижний",Прайс[[#This Row],[Тип]]="Пенал"),"560",IF(Прайс[[#This Row],[Тип]]="Верхний",315,0))</f>
        <v>315</v>
      </c>
      <c r="BV34" s="199">
        <v>1.08</v>
      </c>
      <c r="BW34" s="199">
        <v>1.0649999999999999</v>
      </c>
      <c r="BX34" s="198">
        <v>1.3</v>
      </c>
      <c r="BY34" s="162">
        <v>0</v>
      </c>
      <c r="BZ34" s="162">
        <v>3</v>
      </c>
      <c r="CA34" s="162" t="s">
        <v>10</v>
      </c>
      <c r="CB34" s="198" t="s">
        <v>474</v>
      </c>
      <c r="CC34" s="162">
        <v>1</v>
      </c>
      <c r="CD34" s="162" t="s">
        <v>71</v>
      </c>
      <c r="CE34" s="162">
        <v>1960</v>
      </c>
      <c r="CF34" s="1"/>
      <c r="CG34" s="1"/>
      <c r="CH34" s="1">
        <v>0</v>
      </c>
      <c r="CI34" s="162">
        <v>0</v>
      </c>
      <c r="CJ34" s="162">
        <v>0</v>
      </c>
      <c r="CK34" s="162"/>
      <c r="CL34" s="162"/>
      <c r="CM34" s="162"/>
      <c r="CN34" s="162"/>
    </row>
    <row r="35" spans="1:92" ht="15" customHeight="1" x14ac:dyDescent="0.25">
      <c r="A35" s="115" t="s">
        <v>77</v>
      </c>
      <c r="B35" s="101" t="s">
        <v>7</v>
      </c>
      <c r="C35" s="101" t="s">
        <v>768</v>
      </c>
      <c r="D35" s="101" t="s">
        <v>73</v>
      </c>
      <c r="E35" s="101" t="s">
        <v>10</v>
      </c>
      <c r="F35" s="101" t="s">
        <v>87</v>
      </c>
      <c r="G35" s="109">
        <v>360</v>
      </c>
      <c r="H35" s="109">
        <v>1250</v>
      </c>
      <c r="I35" s="109">
        <v>150</v>
      </c>
      <c r="J35" s="109">
        <v>600</v>
      </c>
      <c r="K35" s="109">
        <v>250</v>
      </c>
      <c r="L35" s="109">
        <v>560</v>
      </c>
      <c r="M35" s="178"/>
      <c r="N35" s="180"/>
      <c r="O35" s="111">
        <v>1780</v>
      </c>
      <c r="P35" s="200"/>
      <c r="Q35" s="200">
        <v>540</v>
      </c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>
        <f>'комплекты фурнитуры'!$C$72</f>
        <v>210</v>
      </c>
      <c r="AG35" s="161">
        <f>'комплекты фурнитуры'!$C$73</f>
        <v>30</v>
      </c>
      <c r="AH35" s="196">
        <f>SUM(Прайс[[#This Row],[КФ НСТ11]:[KFPr-SB-ZPG]])</f>
        <v>780</v>
      </c>
      <c r="AI35" s="196"/>
      <c r="AJ35" s="161"/>
      <c r="AK35" s="161"/>
      <c r="AL35" s="161"/>
      <c r="AM35" s="196">
        <f>'комплекты фурнитуры'!$C$62</f>
        <v>620</v>
      </c>
      <c r="AN35" s="196">
        <f>'комплекты фурнитуры'!$C$63</f>
        <v>130</v>
      </c>
      <c r="AO35" s="196"/>
      <c r="AP35" s="196"/>
      <c r="AQ35" s="196"/>
      <c r="AR35" s="196"/>
      <c r="AS35" s="196"/>
      <c r="AT35" s="196"/>
      <c r="AU35" s="196"/>
      <c r="AV35" s="196"/>
      <c r="AW35" s="196"/>
      <c r="AX35" s="196"/>
      <c r="AY35" s="196"/>
      <c r="AZ35" s="196"/>
      <c r="BA35" s="196"/>
      <c r="BB35" s="196"/>
      <c r="BC35" s="196"/>
      <c r="BD35" s="196"/>
      <c r="BE35" s="196"/>
      <c r="BF35" s="196"/>
      <c r="BG35" s="196"/>
      <c r="BH35" s="196"/>
      <c r="BI35" s="196"/>
      <c r="BJ35" s="196"/>
      <c r="BK35" s="196"/>
      <c r="BL35" s="196"/>
      <c r="BM35" s="196"/>
      <c r="BN35" s="196"/>
      <c r="BO35" s="196"/>
      <c r="BP35" s="197">
        <f>Прайс[[#This Row],[КФ петли SENS накл.110 гр. с крестообр. Планкой]]*2</f>
        <v>1240</v>
      </c>
      <c r="BQ35" s="198">
        <f>Прайс[[#This Row],[KFP-SB-N110]]*2</f>
        <v>260</v>
      </c>
      <c r="BR35" s="198">
        <f>Прайс[[#This Row],[KFP-SB-N110]]*2</f>
        <v>260</v>
      </c>
      <c r="BS35" s="162">
        <v>300</v>
      </c>
      <c r="BT35" s="162">
        <v>720</v>
      </c>
      <c r="BU35" s="162">
        <f>IF(OR(Прайс[[#This Row],[Тип]]="Нижний",Прайс[[#This Row],[Тип]]="Пенал"),"560",IF(Прайс[[#This Row],[Тип]]="Верхний",315,0))</f>
        <v>315</v>
      </c>
      <c r="BV35" s="199">
        <v>1.08</v>
      </c>
      <c r="BW35" s="199">
        <v>1.0649999999999999</v>
      </c>
      <c r="BX35" s="198">
        <v>1.3</v>
      </c>
      <c r="BY35" s="162">
        <v>0</v>
      </c>
      <c r="BZ35" s="162">
        <v>3</v>
      </c>
      <c r="CA35" s="162" t="s">
        <v>71</v>
      </c>
      <c r="CB35" s="198" t="s">
        <v>474</v>
      </c>
      <c r="CC35" s="162">
        <v>1</v>
      </c>
      <c r="CD35" s="162" t="s">
        <v>71</v>
      </c>
      <c r="CE35" s="162">
        <v>1960</v>
      </c>
      <c r="CF35" s="1"/>
      <c r="CG35" s="1"/>
      <c r="CH35" s="1">
        <v>1</v>
      </c>
      <c r="CI35" s="162">
        <v>0</v>
      </c>
      <c r="CJ35" s="162">
        <v>0</v>
      </c>
      <c r="CK35" s="162"/>
      <c r="CL35" s="162"/>
      <c r="CM35" s="162"/>
      <c r="CN35" s="162"/>
    </row>
    <row r="36" spans="1:92" s="245" customFormat="1" ht="15" customHeight="1" x14ac:dyDescent="0.25">
      <c r="A36" s="242" t="s">
        <v>78</v>
      </c>
      <c r="B36" s="161" t="s">
        <v>7</v>
      </c>
      <c r="C36" s="161" t="s">
        <v>769</v>
      </c>
      <c r="D36" s="161" t="s">
        <v>73</v>
      </c>
      <c r="E36" s="161" t="s">
        <v>10</v>
      </c>
      <c r="F36" s="161" t="s">
        <v>99</v>
      </c>
      <c r="G36" s="243">
        <v>800</v>
      </c>
      <c r="H36" s="243">
        <v>960</v>
      </c>
      <c r="I36" s="243">
        <v>450</v>
      </c>
      <c r="J36" s="243">
        <v>600</v>
      </c>
      <c r="K36" s="243">
        <v>350</v>
      </c>
      <c r="L36" s="243">
        <v>500</v>
      </c>
      <c r="M36" s="161"/>
      <c r="N36" s="244"/>
      <c r="O36" s="200">
        <v>1780</v>
      </c>
      <c r="P36" s="200">
        <v>740</v>
      </c>
      <c r="Q36" s="200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>
        <f>'комплекты фурнитуры'!$C$72</f>
        <v>210</v>
      </c>
      <c r="AG36" s="161">
        <f>'комплекты фурнитуры'!$C$73</f>
        <v>30</v>
      </c>
      <c r="AH36" s="196">
        <f>SUM(Прайс[[#This Row],[КФ НСТ11]:[KFPr-SB-ZPG]])</f>
        <v>980</v>
      </c>
      <c r="AI36" s="196"/>
      <c r="AJ36" s="161"/>
      <c r="AK36" s="161"/>
      <c r="AL36" s="161"/>
      <c r="AM36" s="196">
        <f>'комплекты фурнитуры'!$C$62</f>
        <v>620</v>
      </c>
      <c r="AN36" s="196">
        <f>'комплекты фурнитуры'!$C$63</f>
        <v>130</v>
      </c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AZ36" s="196"/>
      <c r="BA36" s="196"/>
      <c r="BB36" s="196"/>
      <c r="BC36" s="196"/>
      <c r="BD36" s="196"/>
      <c r="BE36" s="196"/>
      <c r="BF36" s="196"/>
      <c r="BG36" s="196"/>
      <c r="BH36" s="196"/>
      <c r="BI36" s="196"/>
      <c r="BJ36" s="196"/>
      <c r="BK36" s="196"/>
      <c r="BL36" s="196"/>
      <c r="BM36" s="196"/>
      <c r="BN36" s="196"/>
      <c r="BO36" s="196"/>
      <c r="BP36" s="197">
        <f>Прайс[[#This Row],[КФ петли SENS накл.110 гр. с крестообр. Планкой]]*2</f>
        <v>1240</v>
      </c>
      <c r="BQ36" s="198">
        <f>Прайс[[#This Row],[KFP-SB-N110]]*2</f>
        <v>260</v>
      </c>
      <c r="BR36" s="198">
        <f>Прайс[[#This Row],[KFP-SB-N110]]*2</f>
        <v>260</v>
      </c>
      <c r="BS36" s="162">
        <v>300</v>
      </c>
      <c r="BT36" s="162">
        <v>720</v>
      </c>
      <c r="BU36" s="162">
        <f>IF(OR(Прайс[[#This Row],[Тип]]="Нижний",Прайс[[#This Row],[Тип]]="Пенал"),"560",IF(Прайс[[#This Row],[Тип]]="Верхний",315,0))</f>
        <v>315</v>
      </c>
      <c r="BV36" s="199">
        <v>1.08</v>
      </c>
      <c r="BW36" s="199">
        <v>1.0649999999999999</v>
      </c>
      <c r="BX36" s="198">
        <v>1.03</v>
      </c>
      <c r="BY36" s="162">
        <v>1</v>
      </c>
      <c r="BZ36" s="162">
        <v>1</v>
      </c>
      <c r="CA36" s="162" t="s">
        <v>71</v>
      </c>
      <c r="CB36" s="198" t="s">
        <v>474</v>
      </c>
      <c r="CC36" s="162">
        <v>1</v>
      </c>
      <c r="CD36" s="162" t="s">
        <v>71</v>
      </c>
      <c r="CE36" s="162">
        <v>1960</v>
      </c>
      <c r="CF36" s="162"/>
      <c r="CG36" s="162"/>
      <c r="CH36" s="162">
        <v>1</v>
      </c>
      <c r="CI36" s="162">
        <v>0</v>
      </c>
      <c r="CJ36" s="162">
        <v>0</v>
      </c>
      <c r="CK36" s="162"/>
      <c r="CL36" s="162"/>
      <c r="CM36" s="162"/>
      <c r="CN36" s="162"/>
    </row>
    <row r="37" spans="1:92" s="245" customFormat="1" ht="15" customHeight="1" x14ac:dyDescent="0.25">
      <c r="A37" s="242" t="s">
        <v>79</v>
      </c>
      <c r="B37" s="161" t="s">
        <v>7</v>
      </c>
      <c r="C37" s="161" t="s">
        <v>770</v>
      </c>
      <c r="D37" s="161" t="s">
        <v>73</v>
      </c>
      <c r="E37" s="161" t="s">
        <v>10</v>
      </c>
      <c r="F37" s="161" t="s">
        <v>92</v>
      </c>
      <c r="G37" s="243">
        <v>240</v>
      </c>
      <c r="H37" s="243">
        <v>600</v>
      </c>
      <c r="I37" s="243">
        <v>350</v>
      </c>
      <c r="J37" s="243">
        <v>700</v>
      </c>
      <c r="K37" s="243">
        <v>315</v>
      </c>
      <c r="L37" s="243">
        <v>560</v>
      </c>
      <c r="M37" s="161"/>
      <c r="N37" s="244" t="s">
        <v>59</v>
      </c>
      <c r="O37" s="200">
        <v>1780</v>
      </c>
      <c r="P37" s="200"/>
      <c r="Q37" s="200"/>
      <c r="R37" s="161">
        <f>'комплекты фурнитуры'!$C$3</f>
        <v>550</v>
      </c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>
        <f>'комплекты фурнитуры'!$C$72</f>
        <v>210</v>
      </c>
      <c r="AG37" s="161">
        <f>'комплекты фурнитуры'!$C$73</f>
        <v>30</v>
      </c>
      <c r="AH37" s="196">
        <f>SUM(Прайс[[#This Row],[КФ НСТ11]:[KFPr-SB-ZPG]])</f>
        <v>790</v>
      </c>
      <c r="AI37" s="196"/>
      <c r="AJ37" s="161"/>
      <c r="AK37" s="161"/>
      <c r="AL37" s="161"/>
      <c r="AM37" s="196"/>
      <c r="AN37" s="196">
        <f>'комплекты фурнитуры'!$C$63</f>
        <v>130</v>
      </c>
      <c r="AO37" s="196"/>
      <c r="AP37" s="196"/>
      <c r="AQ37" s="196"/>
      <c r="AR37" s="196"/>
      <c r="AS37" s="196"/>
      <c r="AT37" s="196"/>
      <c r="AU37" s="196"/>
      <c r="AV37" s="196"/>
      <c r="AW37" s="196">
        <f>'комплекты фурнитуры'!$C$67</f>
        <v>6080</v>
      </c>
      <c r="AX37" s="196">
        <f>'комплекты фурнитуры'!$C$68</f>
        <v>6940</v>
      </c>
      <c r="AY37" s="196">
        <f>'комплекты фурнитуры'!$C$70</f>
        <v>2290</v>
      </c>
      <c r="AZ37" s="196"/>
      <c r="BA37" s="196"/>
      <c r="BB37" s="196"/>
      <c r="BC37" s="196"/>
      <c r="BD37" s="196"/>
      <c r="BE37" s="196"/>
      <c r="BF37" s="196"/>
      <c r="BG37" s="196"/>
      <c r="BH37" s="196"/>
      <c r="BI37" s="196"/>
      <c r="BJ37" s="196"/>
      <c r="BK37" s="196"/>
      <c r="BL37" s="196"/>
      <c r="BM37" s="196"/>
      <c r="BN37" s="196"/>
      <c r="BO37" s="196"/>
      <c r="BP37" s="197">
        <f>Прайс[[#This Row],[KFP-SP-PPGK]]</f>
        <v>6080</v>
      </c>
      <c r="BQ37" s="198">
        <f>Прайс[[#This Row],[KFP-SP-PPA]]+Прайс[[#This Row],[KFP-SB-N110]]*2</f>
        <v>2550</v>
      </c>
      <c r="BR37" s="198">
        <f>Прайс[[#This Row],[KFP-SP-PPA]]+Прайс[[#This Row],[KFP-SB-N110]]*2</f>
        <v>2550</v>
      </c>
      <c r="BS37" s="162">
        <v>300</v>
      </c>
      <c r="BT37" s="162">
        <v>720</v>
      </c>
      <c r="BU37" s="162">
        <f>IF(OR(Прайс[[#This Row],[Тип]]="Нижний",Прайс[[#This Row],[Тип]]="Пенал"),"560",IF(Прайс[[#This Row],[Тип]]="Верхний",315,0))</f>
        <v>315</v>
      </c>
      <c r="BV37" s="199">
        <v>1.08</v>
      </c>
      <c r="BW37" s="199">
        <v>1.0649999999999999</v>
      </c>
      <c r="BX37" s="198">
        <v>1.3</v>
      </c>
      <c r="BY37" s="162">
        <v>0</v>
      </c>
      <c r="BZ37" s="162">
        <v>0</v>
      </c>
      <c r="CA37" s="162" t="s">
        <v>71</v>
      </c>
      <c r="CB37" s="198" t="s">
        <v>474</v>
      </c>
      <c r="CC37" s="162">
        <v>0</v>
      </c>
      <c r="CD37" s="162" t="s">
        <v>10</v>
      </c>
      <c r="CE37" s="162">
        <v>1960</v>
      </c>
      <c r="CF37" s="162"/>
      <c r="CG37" s="162"/>
      <c r="CH37" s="162">
        <v>1</v>
      </c>
      <c r="CI37" s="162">
        <v>0</v>
      </c>
      <c r="CJ37" s="162">
        <v>0</v>
      </c>
      <c r="CK37" s="162"/>
      <c r="CL37" s="162"/>
      <c r="CM37" s="162"/>
      <c r="CN37" s="162"/>
    </row>
    <row r="38" spans="1:92" s="245" customFormat="1" ht="15" customHeight="1" x14ac:dyDescent="0.25">
      <c r="A38" s="242" t="s">
        <v>80</v>
      </c>
      <c r="B38" s="161" t="s">
        <v>7</v>
      </c>
      <c r="C38" s="161" t="s">
        <v>771</v>
      </c>
      <c r="D38" s="161" t="s">
        <v>73</v>
      </c>
      <c r="E38" s="161" t="s">
        <v>10</v>
      </c>
      <c r="F38" s="161" t="s">
        <v>99</v>
      </c>
      <c r="G38" s="243">
        <v>600</v>
      </c>
      <c r="H38" s="243">
        <v>800</v>
      </c>
      <c r="I38" s="243">
        <v>450</v>
      </c>
      <c r="J38" s="243">
        <v>600</v>
      </c>
      <c r="K38" s="243">
        <v>350</v>
      </c>
      <c r="L38" s="243">
        <v>500</v>
      </c>
      <c r="M38" s="161"/>
      <c r="N38" s="244"/>
      <c r="O38" s="200">
        <v>2340</v>
      </c>
      <c r="P38" s="200"/>
      <c r="Q38" s="200"/>
      <c r="R38" s="161"/>
      <c r="S38" s="161"/>
      <c r="T38" s="161"/>
      <c r="U38" s="161"/>
      <c r="V38" s="161"/>
      <c r="W38" s="161"/>
      <c r="X38" s="161"/>
      <c r="Y38" s="161">
        <f>'комплекты фурнитуры'!$C$13</f>
        <v>740</v>
      </c>
      <c r="Z38" s="161"/>
      <c r="AA38" s="161"/>
      <c r="AB38" s="161"/>
      <c r="AC38" s="161"/>
      <c r="AD38" s="161"/>
      <c r="AE38" s="161"/>
      <c r="AF38" s="161">
        <f>'комплекты фурнитуры'!$C$72</f>
        <v>210</v>
      </c>
      <c r="AG38" s="161">
        <f>'комплекты фурнитуры'!$C$73</f>
        <v>30</v>
      </c>
      <c r="AH38" s="196">
        <f>SUM(Прайс[[#This Row],[КФ НСТ11]:[KFPr-SB-ZPG]])</f>
        <v>980</v>
      </c>
      <c r="AI38" s="196"/>
      <c r="AJ38" s="161"/>
      <c r="AK38" s="161"/>
      <c r="AL38" s="161"/>
      <c r="AM38" s="196"/>
      <c r="AN38" s="196">
        <f>'комплекты фурнитуры'!$C$63</f>
        <v>130</v>
      </c>
      <c r="AO38" s="196"/>
      <c r="AP38" s="196"/>
      <c r="AQ38" s="196"/>
      <c r="AR38" s="196"/>
      <c r="AS38" s="196"/>
      <c r="AT38" s="196"/>
      <c r="AU38" s="196"/>
      <c r="AV38" s="196"/>
      <c r="AW38" s="196">
        <f>'комплекты фурнитуры'!$C$67</f>
        <v>6080</v>
      </c>
      <c r="AX38" s="196"/>
      <c r="AY38" s="196">
        <f>'комплекты фурнитуры'!$C$70</f>
        <v>2290</v>
      </c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7">
        <f>Прайс[[#This Row],[KFP-SP-PPGK]]</f>
        <v>6080</v>
      </c>
      <c r="BQ38" s="198">
        <f>Прайс[[#This Row],[KFP-SP-PPA]]+Прайс[[#This Row],[KFP-SB-N110]]*2</f>
        <v>2550</v>
      </c>
      <c r="BR38" s="198">
        <v>0</v>
      </c>
      <c r="BS38" s="162">
        <v>600</v>
      </c>
      <c r="BT38" s="162">
        <v>720</v>
      </c>
      <c r="BU38" s="162">
        <v>350</v>
      </c>
      <c r="BV38" s="199">
        <v>1.08</v>
      </c>
      <c r="BW38" s="199">
        <v>1.0649999999999999</v>
      </c>
      <c r="BX38" s="198">
        <v>1.03</v>
      </c>
      <c r="BY38" s="162">
        <v>0</v>
      </c>
      <c r="BZ38" s="162">
        <v>0</v>
      </c>
      <c r="CA38" s="162" t="s">
        <v>10</v>
      </c>
      <c r="CB38" s="198" t="s">
        <v>476</v>
      </c>
      <c r="CC38" s="162">
        <v>0</v>
      </c>
      <c r="CD38" s="162" t="s">
        <v>10</v>
      </c>
      <c r="CE38" s="162">
        <v>2670</v>
      </c>
      <c r="CF38" s="162"/>
      <c r="CG38" s="162"/>
      <c r="CH38" s="162">
        <v>1</v>
      </c>
      <c r="CI38" s="162">
        <v>0</v>
      </c>
      <c r="CJ38" s="162">
        <v>0</v>
      </c>
      <c r="CK38" s="162"/>
      <c r="CL38" s="162"/>
      <c r="CM38" s="162"/>
      <c r="CN38" s="162"/>
    </row>
    <row r="39" spans="1:92" ht="15" customHeight="1" x14ac:dyDescent="0.25">
      <c r="A39" s="115" t="s">
        <v>81</v>
      </c>
      <c r="B39" s="101" t="s">
        <v>7</v>
      </c>
      <c r="C39" s="101" t="s">
        <v>772</v>
      </c>
      <c r="D39" s="101" t="s">
        <v>73</v>
      </c>
      <c r="E39" s="101" t="s">
        <v>10</v>
      </c>
      <c r="F39" s="101" t="s">
        <v>87</v>
      </c>
      <c r="G39" s="109">
        <v>360</v>
      </c>
      <c r="H39" s="109">
        <v>1250</v>
      </c>
      <c r="I39" s="109">
        <v>400</v>
      </c>
      <c r="J39" s="109">
        <v>900</v>
      </c>
      <c r="K39" s="109">
        <v>250</v>
      </c>
      <c r="L39" s="109">
        <v>560</v>
      </c>
      <c r="M39" s="178"/>
      <c r="N39" s="180"/>
      <c r="O39" s="111">
        <v>1780</v>
      </c>
      <c r="P39" s="200"/>
      <c r="Q39" s="200">
        <v>540</v>
      </c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>
        <f>'комплекты фурнитуры'!$C$72</f>
        <v>210</v>
      </c>
      <c r="AG39" s="161">
        <f>'комплекты фурнитуры'!$C$73</f>
        <v>30</v>
      </c>
      <c r="AH39" s="196">
        <f>SUM(Прайс[[#This Row],[КФ НСТ11]:[KFPr-SB-ZPG]])</f>
        <v>780</v>
      </c>
      <c r="AI39" s="196"/>
      <c r="AJ39" s="161"/>
      <c r="AK39" s="161"/>
      <c r="AL39" s="161"/>
      <c r="AM39" s="196">
        <f>'комплекты фурнитуры'!$C$62</f>
        <v>620</v>
      </c>
      <c r="AN39" s="196">
        <f>'комплекты фурнитуры'!$C$63</f>
        <v>130</v>
      </c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6"/>
      <c r="BK39" s="196"/>
      <c r="BL39" s="196"/>
      <c r="BM39" s="196"/>
      <c r="BN39" s="196"/>
      <c r="BO39" s="196"/>
      <c r="BP39" s="197">
        <f>Прайс[[#This Row],[КФ петли SENS накл.110 гр. с крестообр. Планкой]]*4</f>
        <v>2480</v>
      </c>
      <c r="BQ39" s="198">
        <f>Прайс[[#This Row],[KFP-SB-N110]]*4</f>
        <v>520</v>
      </c>
      <c r="BR39" s="198">
        <f>Прайс[[#This Row],[KFP-SB-N110]]*4</f>
        <v>520</v>
      </c>
      <c r="BS39" s="162">
        <v>300</v>
      </c>
      <c r="BT39" s="162">
        <v>720</v>
      </c>
      <c r="BU39" s="162">
        <f>IF(OR(Прайс[[#This Row],[Тип]]="Нижний",Прайс[[#This Row],[Тип]]="Пенал"),"560",IF(Прайс[[#This Row],[Тип]]="Верхний",315,0))</f>
        <v>315</v>
      </c>
      <c r="BV39" s="199">
        <v>1.08</v>
      </c>
      <c r="BW39" s="199">
        <v>1.0649999999999999</v>
      </c>
      <c r="BX39" s="198">
        <v>1.3</v>
      </c>
      <c r="BY39" s="162">
        <v>0</v>
      </c>
      <c r="BZ39" s="162">
        <v>3</v>
      </c>
      <c r="CA39" s="162" t="s">
        <v>71</v>
      </c>
      <c r="CB39" s="198" t="s">
        <v>474</v>
      </c>
      <c r="CC39" s="162">
        <v>0</v>
      </c>
      <c r="CD39" s="162" t="s">
        <v>71</v>
      </c>
      <c r="CE39" s="162">
        <v>1960</v>
      </c>
      <c r="CF39" s="1"/>
      <c r="CG39" s="1"/>
      <c r="CH39" s="1">
        <v>2</v>
      </c>
      <c r="CI39" s="162">
        <v>0</v>
      </c>
      <c r="CJ39" s="162">
        <v>0</v>
      </c>
      <c r="CK39" s="162"/>
      <c r="CL39" s="162"/>
      <c r="CM39" s="162"/>
      <c r="CN39" s="162"/>
    </row>
    <row r="40" spans="1:92" ht="15" customHeight="1" x14ac:dyDescent="0.25">
      <c r="A40" s="115" t="s">
        <v>28</v>
      </c>
      <c r="B40" s="101" t="s">
        <v>7</v>
      </c>
      <c r="C40" s="101" t="s">
        <v>773</v>
      </c>
      <c r="D40" s="101" t="s">
        <v>73</v>
      </c>
      <c r="E40" s="101" t="s">
        <v>10</v>
      </c>
      <c r="F40" s="101" t="s">
        <v>92</v>
      </c>
      <c r="G40" s="109">
        <v>720</v>
      </c>
      <c r="H40" s="109">
        <v>720</v>
      </c>
      <c r="I40" s="109">
        <v>400</v>
      </c>
      <c r="J40" s="109">
        <v>900</v>
      </c>
      <c r="K40" s="109">
        <v>300</v>
      </c>
      <c r="L40" s="109">
        <v>400</v>
      </c>
      <c r="M40" s="178"/>
      <c r="N40" s="180" t="s">
        <v>60</v>
      </c>
      <c r="O40" s="111">
        <v>1780</v>
      </c>
      <c r="P40" s="200"/>
      <c r="Q40" s="200"/>
      <c r="R40" s="161">
        <f>'комплекты фурнитуры'!$C$3</f>
        <v>550</v>
      </c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>
        <f>'комплекты фурнитуры'!$C$72</f>
        <v>210</v>
      </c>
      <c r="AG40" s="161">
        <f>'комплекты фурнитуры'!$C$73</f>
        <v>30</v>
      </c>
      <c r="AH40" s="196">
        <f>SUM(Прайс[[#This Row],[КФ НСТ11]:[KFPr-SB-ZPG]])</f>
        <v>790</v>
      </c>
      <c r="AI40" s="196"/>
      <c r="AJ40" s="161"/>
      <c r="AK40" s="161"/>
      <c r="AL40" s="161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>
        <f>'комплекты фурнитуры'!$C$69</f>
        <v>13990</v>
      </c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7">
        <f>Прайс[[#This Row],[KFP-SB-PPHF_W]]</f>
        <v>13990</v>
      </c>
      <c r="BQ40" s="197">
        <f>Прайс[[#This Row],[KFP-SB-PPHF_W]]</f>
        <v>13990</v>
      </c>
      <c r="BR40" s="197">
        <f>Прайс[[#This Row],[KFP-SB-PPHF_W]]</f>
        <v>13990</v>
      </c>
      <c r="BS40" s="162">
        <v>300</v>
      </c>
      <c r="BT40" s="162">
        <v>720</v>
      </c>
      <c r="BU40" s="162">
        <f>IF(OR(Прайс[[#This Row],[Тип]]="Нижний",Прайс[[#This Row],[Тип]]="Пенал"),"560",IF(Прайс[[#This Row],[Тип]]="Верхний",315,0))</f>
        <v>315</v>
      </c>
      <c r="BV40" s="199">
        <v>1.08</v>
      </c>
      <c r="BW40" s="199">
        <v>1.0649999999999999</v>
      </c>
      <c r="BX40" s="198">
        <v>1.3</v>
      </c>
      <c r="BY40" s="162">
        <v>1</v>
      </c>
      <c r="BZ40" s="162">
        <v>1</v>
      </c>
      <c r="CA40" s="162" t="s">
        <v>10</v>
      </c>
      <c r="CB40" s="198" t="s">
        <v>475</v>
      </c>
      <c r="CC40" s="162">
        <v>1</v>
      </c>
      <c r="CD40" s="162" t="s">
        <v>71</v>
      </c>
      <c r="CE40" s="162">
        <v>1960</v>
      </c>
      <c r="CF40" s="1"/>
      <c r="CG40" s="1"/>
      <c r="CH40" s="1">
        <v>2</v>
      </c>
      <c r="CI40" s="162">
        <v>0</v>
      </c>
      <c r="CJ40" s="162">
        <v>0</v>
      </c>
      <c r="CK40" s="162"/>
      <c r="CL40" s="162"/>
      <c r="CM40" s="162"/>
      <c r="CN40" s="162"/>
    </row>
    <row r="41" spans="1:92" ht="15" customHeight="1" x14ac:dyDescent="0.25">
      <c r="A41" s="115" t="s">
        <v>472</v>
      </c>
      <c r="B41" s="101" t="s">
        <v>7</v>
      </c>
      <c r="C41" s="101" t="s">
        <v>774</v>
      </c>
      <c r="D41" s="101" t="s">
        <v>69</v>
      </c>
      <c r="E41" s="101" t="s">
        <v>10</v>
      </c>
      <c r="F41" s="101" t="s">
        <v>87</v>
      </c>
      <c r="G41" s="109">
        <v>360</v>
      </c>
      <c r="H41" s="109">
        <v>1250</v>
      </c>
      <c r="I41" s="109">
        <v>595</v>
      </c>
      <c r="J41" s="109">
        <v>1000</v>
      </c>
      <c r="K41" s="109">
        <v>315</v>
      </c>
      <c r="L41" s="109">
        <v>560</v>
      </c>
      <c r="M41" s="178"/>
      <c r="N41" s="180"/>
      <c r="O41" s="111">
        <v>2960</v>
      </c>
      <c r="P41" s="200"/>
      <c r="Q41" s="200"/>
      <c r="R41" s="161"/>
      <c r="S41" s="161"/>
      <c r="T41" s="161"/>
      <c r="U41" s="161"/>
      <c r="V41" s="161"/>
      <c r="W41" s="161"/>
      <c r="X41" s="161"/>
      <c r="Y41" s="161"/>
      <c r="Z41" s="161"/>
      <c r="AA41" s="161">
        <f>'комплекты фурнитуры'!$C$15</f>
        <v>1130</v>
      </c>
      <c r="AB41" s="161"/>
      <c r="AC41" s="161"/>
      <c r="AD41" s="161"/>
      <c r="AE41" s="161"/>
      <c r="AF41" s="161">
        <f>'комплекты фурнитуры'!$C$72</f>
        <v>210</v>
      </c>
      <c r="AG41" s="161">
        <f>'комплекты фурнитуры'!$C$73</f>
        <v>30</v>
      </c>
      <c r="AH41" s="196">
        <f>SUM(Прайс[[#This Row],[КФ НСТ11]:[KFPr-SB-ZPG]])</f>
        <v>1370</v>
      </c>
      <c r="AI41" s="196"/>
      <c r="AJ41" s="161">
        <f>'комплекты фурнитуры'!$C$78</f>
        <v>30</v>
      </c>
      <c r="AK41" s="161">
        <f>'комплекты фурнитуры'!$C$90</f>
        <v>20</v>
      </c>
      <c r="AL41" s="161"/>
      <c r="AM41" s="196"/>
      <c r="AN41" s="196"/>
      <c r="AO41" s="196">
        <f>'комплекты фурнитуры'!$C$56</f>
        <v>1300</v>
      </c>
      <c r="AP41" s="196">
        <f>'комплекты фурнитуры'!$C$58</f>
        <v>480</v>
      </c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7">
        <f>Прайс[[#This Row],[KFPr-SB-SPL]]+Прайс[[#This Row],[KFPr-SB-SMRZ_16мм]]+Прайс[[#This Row],[КФ петли вклад. 95 гр. с крестообр. планкой]]*2</f>
        <v>2650</v>
      </c>
      <c r="BQ41" s="198">
        <f>Прайс[[#This Row],[KFPr-SB-SPL]]+Прайс[[#This Row],[KFPr-SB-SMRZ_16мм]]+Прайс[[#This Row],[KFP-SB-PY94]]*2</f>
        <v>1010</v>
      </c>
      <c r="BR41" s="198">
        <f>Прайс[[#This Row],[KFPr-SB-SPL]]+Прайс[[#This Row],[KFPr-SB-SMRZ_16мм]]+Прайс[[#This Row],[KFP-SB-PY94]]*2</f>
        <v>1010</v>
      </c>
      <c r="BS41" s="162">
        <v>600</v>
      </c>
      <c r="BT41" s="162">
        <v>720</v>
      </c>
      <c r="BU41" s="162">
        <v>560</v>
      </c>
      <c r="BV41" s="199">
        <v>1.08</v>
      </c>
      <c r="BW41" s="199">
        <v>1.0649999999999999</v>
      </c>
      <c r="BX41" s="198">
        <v>0</v>
      </c>
      <c r="BY41" s="162">
        <v>0</v>
      </c>
      <c r="BZ41" s="162">
        <v>2</v>
      </c>
      <c r="CA41" s="162" t="s">
        <v>71</v>
      </c>
      <c r="CB41" s="198" t="s">
        <v>474</v>
      </c>
      <c r="CC41" s="162">
        <v>1</v>
      </c>
      <c r="CD41" s="162" t="s">
        <v>71</v>
      </c>
      <c r="CE41" s="162">
        <v>3270</v>
      </c>
      <c r="CF41" s="1"/>
      <c r="CG41" s="1"/>
      <c r="CH41" s="1">
        <v>1</v>
      </c>
      <c r="CI41" s="162">
        <v>0</v>
      </c>
      <c r="CJ41" s="162">
        <v>0</v>
      </c>
      <c r="CK41" s="162"/>
      <c r="CL41" s="162"/>
      <c r="CM41" s="162"/>
      <c r="CN41" s="162"/>
    </row>
    <row r="42" spans="1:92" ht="15" customHeight="1" x14ac:dyDescent="0.25">
      <c r="A42" s="116" t="s">
        <v>29</v>
      </c>
      <c r="B42" s="101" t="s">
        <v>7</v>
      </c>
      <c r="C42" s="101" t="s">
        <v>775</v>
      </c>
      <c r="D42" s="101" t="s">
        <v>73</v>
      </c>
      <c r="E42" s="101" t="s">
        <v>10</v>
      </c>
      <c r="F42" s="101" t="s">
        <v>93</v>
      </c>
      <c r="G42" s="109">
        <v>440</v>
      </c>
      <c r="H42" s="109">
        <v>1210</v>
      </c>
      <c r="I42" s="109">
        <v>500</v>
      </c>
      <c r="J42" s="109">
        <v>600</v>
      </c>
      <c r="K42" s="109">
        <v>300</v>
      </c>
      <c r="L42" s="109">
        <v>400</v>
      </c>
      <c r="M42" s="178"/>
      <c r="N42" s="180"/>
      <c r="O42" s="111">
        <v>2860</v>
      </c>
      <c r="P42" s="200"/>
      <c r="Q42" s="200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>
        <f>'комплекты фурнитуры'!$C$17</f>
        <v>760</v>
      </c>
      <c r="AD42" s="161"/>
      <c r="AE42" s="161"/>
      <c r="AF42" s="161">
        <f>'комплекты фурнитуры'!$C$72</f>
        <v>210</v>
      </c>
      <c r="AG42" s="161">
        <f>'комплекты фурнитуры'!$C$73</f>
        <v>30</v>
      </c>
      <c r="AH42" s="196">
        <f>SUM(Прайс[[#This Row],[КФ НСТ11]:[KFPr-SB-ZPG]])</f>
        <v>1000</v>
      </c>
      <c r="AI42" s="196"/>
      <c r="AJ42" s="161"/>
      <c r="AK42" s="161"/>
      <c r="AL42" s="161"/>
      <c r="AM42" s="196">
        <f>'комплекты фурнитуры'!$C$62</f>
        <v>620</v>
      </c>
      <c r="AN42" s="196">
        <f>'комплекты фурнитуры'!$C$63</f>
        <v>130</v>
      </c>
      <c r="AO42" s="196"/>
      <c r="AP42" s="196"/>
      <c r="AQ42" s="196"/>
      <c r="AR42" s="196"/>
      <c r="AS42" s="196"/>
      <c r="AT42" s="196"/>
      <c r="AU42" s="196"/>
      <c r="AV42" s="196"/>
      <c r="AW42" s="196"/>
      <c r="AX42" s="196"/>
      <c r="AY42" s="196"/>
      <c r="AZ42" s="196"/>
      <c r="BA42" s="196"/>
      <c r="BB42" s="196"/>
      <c r="BC42" s="196"/>
      <c r="BD42" s="196"/>
      <c r="BE42" s="196"/>
      <c r="BF42" s="196"/>
      <c r="BG42" s="196"/>
      <c r="BH42" s="196"/>
      <c r="BI42" s="196"/>
      <c r="BJ42" s="196"/>
      <c r="BK42" s="196"/>
      <c r="BL42" s="196"/>
      <c r="BM42" s="196"/>
      <c r="BN42" s="196"/>
      <c r="BO42" s="196"/>
      <c r="BP42" s="197">
        <f>Прайс[[#This Row],[КФ петли SENS накл.110 гр. с крестообр. Планкой]]*2</f>
        <v>1240</v>
      </c>
      <c r="BQ42" s="198">
        <f>Прайс[[#This Row],[KFP-SB-N110]]*2</f>
        <v>260</v>
      </c>
      <c r="BR42" s="198">
        <f>Прайс[[#This Row],[KFP-SB-N110]]*2</f>
        <v>260</v>
      </c>
      <c r="BS42" s="162">
        <v>500</v>
      </c>
      <c r="BT42" s="162">
        <v>680</v>
      </c>
      <c r="BU42" s="162">
        <f>IF(OR(Прайс[[#This Row],[Тип]]="Нижний",Прайс[[#This Row],[Тип]]="Пенал"),"560",IF(Прайс[[#This Row],[Тип]]="Верхний",315,0))</f>
        <v>315</v>
      </c>
      <c r="BV42" s="199">
        <v>1.095</v>
      </c>
      <c r="BW42" s="199">
        <v>1.0649999999999999</v>
      </c>
      <c r="BX42" s="198">
        <v>1.3</v>
      </c>
      <c r="BY42" s="162">
        <v>1</v>
      </c>
      <c r="BZ42" s="162">
        <v>2</v>
      </c>
      <c r="CA42" s="162" t="s">
        <v>71</v>
      </c>
      <c r="CB42" s="198" t="s">
        <v>474</v>
      </c>
      <c r="CC42" s="162">
        <v>1</v>
      </c>
      <c r="CD42" s="162" t="s">
        <v>10</v>
      </c>
      <c r="CE42" s="162">
        <v>3210</v>
      </c>
      <c r="CF42" s="1"/>
      <c r="CG42" s="1"/>
      <c r="CH42" s="1">
        <v>1</v>
      </c>
      <c r="CI42" s="162">
        <v>0</v>
      </c>
      <c r="CJ42" s="162">
        <v>0</v>
      </c>
      <c r="CK42" s="162"/>
      <c r="CL42" s="162"/>
      <c r="CM42" s="162"/>
      <c r="CN42" s="162"/>
    </row>
    <row r="43" spans="1:92" ht="15" customHeight="1" x14ac:dyDescent="0.25">
      <c r="A43" s="116" t="s">
        <v>30</v>
      </c>
      <c r="B43" s="101" t="s">
        <v>7</v>
      </c>
      <c r="C43" s="101" t="s">
        <v>776</v>
      </c>
      <c r="D43" s="101" t="s">
        <v>73</v>
      </c>
      <c r="E43" s="101" t="s">
        <v>10</v>
      </c>
      <c r="F43" s="101" t="s">
        <v>93</v>
      </c>
      <c r="G43" s="109">
        <v>440</v>
      </c>
      <c r="H43" s="109">
        <v>1210</v>
      </c>
      <c r="I43" s="109">
        <v>600</v>
      </c>
      <c r="J43" s="109">
        <v>900</v>
      </c>
      <c r="K43" s="109">
        <v>300</v>
      </c>
      <c r="L43" s="109">
        <v>400</v>
      </c>
      <c r="M43" s="178"/>
      <c r="N43" s="180"/>
      <c r="O43" s="111">
        <v>2860</v>
      </c>
      <c r="P43" s="200"/>
      <c r="Q43" s="200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>
        <f>'комплекты фурнитуры'!$C$17</f>
        <v>760</v>
      </c>
      <c r="AD43" s="161"/>
      <c r="AE43" s="161"/>
      <c r="AF43" s="161">
        <f>'комплекты фурнитуры'!$C$72</f>
        <v>210</v>
      </c>
      <c r="AG43" s="161">
        <f>'комплекты фурнитуры'!$C$73</f>
        <v>30</v>
      </c>
      <c r="AH43" s="196">
        <f>SUM(Прайс[[#This Row],[КФ НСТ11]:[KFPr-SB-ZPG]])</f>
        <v>1000</v>
      </c>
      <c r="AI43" s="196"/>
      <c r="AJ43" s="161"/>
      <c r="AK43" s="161"/>
      <c r="AL43" s="161"/>
      <c r="AM43" s="196">
        <f>'комплекты фурнитуры'!$C$62</f>
        <v>620</v>
      </c>
      <c r="AN43" s="196">
        <f>'комплекты фурнитуры'!$C$63</f>
        <v>130</v>
      </c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AZ43" s="196"/>
      <c r="BA43" s="196"/>
      <c r="BB43" s="196"/>
      <c r="BC43" s="196"/>
      <c r="BD43" s="196"/>
      <c r="BE43" s="196"/>
      <c r="BF43" s="196"/>
      <c r="BG43" s="196"/>
      <c r="BH43" s="196"/>
      <c r="BI43" s="196"/>
      <c r="BJ43" s="196"/>
      <c r="BK43" s="196"/>
      <c r="BL43" s="196"/>
      <c r="BM43" s="196"/>
      <c r="BN43" s="196"/>
      <c r="BO43" s="196"/>
      <c r="BP43" s="197">
        <f>Прайс[[#This Row],[КФ петли SENS накл.110 гр. с крестообр. Планкой]]*4</f>
        <v>2480</v>
      </c>
      <c r="BQ43" s="198">
        <f>Прайс[[#This Row],[KFP-SB-N110]]*4</f>
        <v>520</v>
      </c>
      <c r="BR43" s="198">
        <f>Прайс[[#This Row],[KFP-SB-N110]]*4</f>
        <v>520</v>
      </c>
      <c r="BS43" s="162">
        <v>500</v>
      </c>
      <c r="BT43" s="162">
        <v>680</v>
      </c>
      <c r="BU43" s="162">
        <f>IF(OR(Прайс[[#This Row],[Тип]]="Нижний",Прайс[[#This Row],[Тип]]="Пенал"),"560",IF(Прайс[[#This Row],[Тип]]="Верхний",315,0))</f>
        <v>315</v>
      </c>
      <c r="BV43" s="199">
        <v>1.095</v>
      </c>
      <c r="BW43" s="199">
        <v>1.0649999999999999</v>
      </c>
      <c r="BX43" s="198">
        <v>1.3</v>
      </c>
      <c r="BY43" s="162">
        <v>1</v>
      </c>
      <c r="BZ43" s="162">
        <v>2</v>
      </c>
      <c r="CA43" s="162" t="s">
        <v>71</v>
      </c>
      <c r="CB43" s="198" t="s">
        <v>474</v>
      </c>
      <c r="CC43" s="162">
        <v>1</v>
      </c>
      <c r="CD43" s="162" t="s">
        <v>10</v>
      </c>
      <c r="CE43" s="162">
        <v>3210</v>
      </c>
      <c r="CF43" s="1"/>
      <c r="CG43" s="1"/>
      <c r="CH43" s="1">
        <v>2</v>
      </c>
      <c r="CI43" s="162">
        <v>0</v>
      </c>
      <c r="CJ43" s="162">
        <v>0</v>
      </c>
      <c r="CK43" s="162"/>
      <c r="CL43" s="162"/>
      <c r="CM43" s="162"/>
      <c r="CN43" s="162"/>
    </row>
    <row r="44" spans="1:92" ht="15" customHeight="1" x14ac:dyDescent="0.25">
      <c r="A44" s="115" t="s">
        <v>31</v>
      </c>
      <c r="B44" s="101" t="s">
        <v>7</v>
      </c>
      <c r="C44" s="101" t="s">
        <v>777</v>
      </c>
      <c r="D44" s="101" t="s">
        <v>74</v>
      </c>
      <c r="E44" s="101" t="s">
        <v>10</v>
      </c>
      <c r="F44" s="101" t="s">
        <v>87</v>
      </c>
      <c r="G44" s="109">
        <v>360</v>
      </c>
      <c r="H44" s="109">
        <v>960</v>
      </c>
      <c r="I44" s="109">
        <v>600</v>
      </c>
      <c r="J44" s="109">
        <v>600</v>
      </c>
      <c r="K44" s="109">
        <v>600</v>
      </c>
      <c r="L44" s="109">
        <v>600</v>
      </c>
      <c r="M44" s="178"/>
      <c r="N44" s="180" t="s">
        <v>53</v>
      </c>
      <c r="O44" s="111">
        <v>2820</v>
      </c>
      <c r="P44" s="200"/>
      <c r="Q44" s="200"/>
      <c r="R44" s="161"/>
      <c r="S44" s="161"/>
      <c r="T44" s="161"/>
      <c r="U44" s="161"/>
      <c r="V44" s="161"/>
      <c r="W44" s="161"/>
      <c r="X44" s="161"/>
      <c r="Y44" s="161">
        <f>'комплекты фурнитуры'!$C$13</f>
        <v>740</v>
      </c>
      <c r="Z44" s="161"/>
      <c r="AA44" s="161"/>
      <c r="AB44" s="161"/>
      <c r="AC44" s="161"/>
      <c r="AD44" s="161"/>
      <c r="AE44" s="161"/>
      <c r="AF44" s="161">
        <f>'комплекты фурнитуры'!$C$72</f>
        <v>210</v>
      </c>
      <c r="AG44" s="161">
        <f>'комплекты фурнитуры'!$C$73</f>
        <v>30</v>
      </c>
      <c r="AH44" s="196">
        <f>SUM(Прайс[[#This Row],[КФ НСТ11]:[KFPr-SB-ZPG]])</f>
        <v>980</v>
      </c>
      <c r="AI44" s="196"/>
      <c r="AJ44" s="161"/>
      <c r="AK44" s="161"/>
      <c r="AL44" s="161"/>
      <c r="AM44" s="196"/>
      <c r="AN44" s="196"/>
      <c r="AO44" s="196"/>
      <c r="AP44" s="196"/>
      <c r="AQ44" s="196">
        <f>'комплекты фурнитуры'!$C$54</f>
        <v>1560</v>
      </c>
      <c r="AR44" s="196">
        <f>'комплекты фурнитуры'!$C$55</f>
        <v>190</v>
      </c>
      <c r="AS44" s="196"/>
      <c r="AT44" s="196"/>
      <c r="AU44" s="196"/>
      <c r="AV44" s="196"/>
      <c r="AW44" s="196"/>
      <c r="AX44" s="196"/>
      <c r="AY44" s="196"/>
      <c r="AZ44" s="196"/>
      <c r="BA44" s="196"/>
      <c r="BB44" s="196"/>
      <c r="BC44" s="196"/>
      <c r="BD44" s="196"/>
      <c r="BE44" s="196"/>
      <c r="BF44" s="196"/>
      <c r="BG44" s="196"/>
      <c r="BH44" s="196"/>
      <c r="BI44" s="196"/>
      <c r="BJ44" s="196"/>
      <c r="BK44" s="196"/>
      <c r="BL44" s="196"/>
      <c r="BM44" s="196"/>
      <c r="BN44" s="196"/>
      <c r="BO44" s="196"/>
      <c r="BP44" s="197">
        <f>Прайс[[#This Row],[КKFP-SB-GT45]]*2</f>
        <v>3120</v>
      </c>
      <c r="BQ44" s="198">
        <f>Прайс[[#This Row],[KFP-SB-N45]]*2</f>
        <v>380</v>
      </c>
      <c r="BR44" s="198">
        <f>Прайс[[#This Row],[KFP-SB-N45]]*2</f>
        <v>380</v>
      </c>
      <c r="BS44" s="162">
        <v>600</v>
      </c>
      <c r="BT44" s="162">
        <v>720</v>
      </c>
      <c r="BU44" s="162">
        <v>600</v>
      </c>
      <c r="BV44" s="199">
        <v>1.08</v>
      </c>
      <c r="BW44" s="199">
        <v>1.0649999999999999</v>
      </c>
      <c r="BX44" s="198">
        <v>0</v>
      </c>
      <c r="BY44" s="162">
        <v>0</v>
      </c>
      <c r="BZ44" s="162">
        <v>3</v>
      </c>
      <c r="CA44" s="162" t="s">
        <v>71</v>
      </c>
      <c r="CB44" s="198" t="s">
        <v>474</v>
      </c>
      <c r="CC44" s="162">
        <v>1</v>
      </c>
      <c r="CD44" s="162" t="s">
        <v>10</v>
      </c>
      <c r="CE44" s="162">
        <v>3110</v>
      </c>
      <c r="CF44" s="1"/>
      <c r="CG44" s="1"/>
      <c r="CH44" s="1">
        <v>1</v>
      </c>
      <c r="CI44" s="162">
        <v>0</v>
      </c>
      <c r="CJ44" s="162">
        <v>0</v>
      </c>
      <c r="CK44" s="162"/>
      <c r="CL44" s="162"/>
      <c r="CM44" s="162"/>
      <c r="CN44" s="162"/>
    </row>
    <row r="45" spans="1:92" s="232" customFormat="1" ht="15" customHeight="1" x14ac:dyDescent="0.25">
      <c r="A45" s="234" t="s">
        <v>394</v>
      </c>
      <c r="B45" s="228" t="s">
        <v>7</v>
      </c>
      <c r="C45" s="228" t="s">
        <v>778</v>
      </c>
      <c r="D45" s="228" t="s">
        <v>73</v>
      </c>
      <c r="E45" s="228" t="s">
        <v>10</v>
      </c>
      <c r="F45" s="228" t="s">
        <v>94</v>
      </c>
      <c r="G45" s="235">
        <v>601</v>
      </c>
      <c r="H45" s="235">
        <v>1250</v>
      </c>
      <c r="I45" s="235">
        <v>450</v>
      </c>
      <c r="J45" s="235">
        <v>450</v>
      </c>
      <c r="K45" s="235">
        <v>315</v>
      </c>
      <c r="L45" s="235">
        <v>360</v>
      </c>
      <c r="M45" s="228"/>
      <c r="N45" s="236" t="s">
        <v>62</v>
      </c>
      <c r="O45" s="229">
        <v>1710</v>
      </c>
      <c r="P45" s="229"/>
      <c r="Q45" s="229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>
        <f>'комплекты фурнитуры'!$C$16</f>
        <v>340</v>
      </c>
      <c r="AC45" s="228"/>
      <c r="AD45" s="228"/>
      <c r="AE45" s="228"/>
      <c r="AF45" s="228">
        <f>'комплекты фурнитуры'!$C$72</f>
        <v>210</v>
      </c>
      <c r="AG45" s="228">
        <f>'комплекты фурнитуры'!$C$73</f>
        <v>30</v>
      </c>
      <c r="AH45" s="230">
        <f>SUM(Прайс[[#This Row],[КФ НСТ11]:[KFPr-SB-ZPG]])</f>
        <v>580</v>
      </c>
      <c r="AI45" s="230"/>
      <c r="AJ45" s="228"/>
      <c r="AK45" s="228"/>
      <c r="AL45" s="228"/>
      <c r="AM45" s="230">
        <f>'комплекты фурнитуры'!$C$62</f>
        <v>620</v>
      </c>
      <c r="AN45" s="230">
        <f>'комплекты фурнитуры'!$C$63</f>
        <v>130</v>
      </c>
      <c r="AO45" s="230"/>
      <c r="AP45" s="230"/>
      <c r="AQ45" s="230"/>
      <c r="AR45" s="230"/>
      <c r="AS45" s="230">
        <f>'комплекты фурнитуры'!$C$41</f>
        <v>1600</v>
      </c>
      <c r="AT45" s="230"/>
      <c r="AU45" s="230"/>
      <c r="AV45" s="230"/>
      <c r="AW45" s="230"/>
      <c r="AX45" s="230"/>
      <c r="AY45" s="230"/>
      <c r="AZ45" s="230"/>
      <c r="BA45" s="230"/>
      <c r="BB45" s="230"/>
      <c r="BC45" s="230"/>
      <c r="BD45" s="230"/>
      <c r="BE45" s="230"/>
      <c r="BF45" s="230"/>
      <c r="BG45" s="230"/>
      <c r="BH45" s="230"/>
      <c r="BI45" s="230"/>
      <c r="BJ45" s="230"/>
      <c r="BK45" s="230"/>
      <c r="BL45" s="230"/>
      <c r="BM45" s="230"/>
      <c r="BN45" s="230"/>
      <c r="BO45" s="230"/>
      <c r="BP45" s="237">
        <f>Прайс[[#This Row],[КФ петли SENS накл.110 гр. с крестообр. Планкой]]*2+Прайс[[#This Row],[KFS-SB-45 (посудосушители)]]</f>
        <v>2840</v>
      </c>
      <c r="BQ45" s="238">
        <f>Прайс[[#This Row],[KFP-SB-N110]]*2+Прайс[[#This Row],[KFS-SB-45 (посудосушители)]]</f>
        <v>1860</v>
      </c>
      <c r="BR45" s="238">
        <f>Прайс[[#This Row],[KFP-SB-N110]]*2+Прайс[[#This Row],[KFS-SB-45 (посудосушители)]]</f>
        <v>1860</v>
      </c>
      <c r="BS45" s="231">
        <v>450</v>
      </c>
      <c r="BT45" s="231">
        <v>720</v>
      </c>
      <c r="BU45" s="231">
        <f>IF(OR(Прайс[[#This Row],[Тип]]="Нижний",Прайс[[#This Row],[Тип]]="Пенал"),"560",IF(Прайс[[#This Row],[Тип]]="Верхний",315,0))</f>
        <v>315</v>
      </c>
      <c r="BV45" s="239">
        <v>1.095</v>
      </c>
      <c r="BW45" s="239">
        <v>1.0649999999999999</v>
      </c>
      <c r="BX45" s="238">
        <v>1.3</v>
      </c>
      <c r="BY45" s="231">
        <v>0</v>
      </c>
      <c r="BZ45" s="231">
        <v>2</v>
      </c>
      <c r="CA45" s="231" t="s">
        <v>71</v>
      </c>
      <c r="CB45" s="238" t="s">
        <v>474</v>
      </c>
      <c r="CC45" s="231">
        <v>1</v>
      </c>
      <c r="CD45" s="231" t="s">
        <v>71</v>
      </c>
      <c r="CE45" s="231">
        <v>1880</v>
      </c>
      <c r="CF45" s="231"/>
      <c r="CG45" s="231"/>
      <c r="CH45" s="231">
        <v>1</v>
      </c>
      <c r="CI45" s="162">
        <v>0</v>
      </c>
      <c r="CJ45" s="162">
        <v>0</v>
      </c>
      <c r="CK45" s="231"/>
      <c r="CL45" s="231"/>
      <c r="CM45" s="231"/>
      <c r="CN45" s="231"/>
    </row>
    <row r="46" spans="1:92" ht="15" customHeight="1" x14ac:dyDescent="0.25">
      <c r="A46" s="115" t="s">
        <v>395</v>
      </c>
      <c r="B46" s="101" t="s">
        <v>7</v>
      </c>
      <c r="C46" s="101" t="s">
        <v>779</v>
      </c>
      <c r="D46" s="101" t="s">
        <v>73</v>
      </c>
      <c r="E46" s="101" t="s">
        <v>10</v>
      </c>
      <c r="F46" s="101" t="s">
        <v>94</v>
      </c>
      <c r="G46" s="109">
        <v>601</v>
      </c>
      <c r="H46" s="109">
        <v>1250</v>
      </c>
      <c r="I46" s="109">
        <v>596</v>
      </c>
      <c r="J46" s="109">
        <v>596</v>
      </c>
      <c r="K46" s="109">
        <v>315</v>
      </c>
      <c r="L46" s="109">
        <v>360</v>
      </c>
      <c r="M46" s="178"/>
      <c r="N46" s="180" t="s">
        <v>62</v>
      </c>
      <c r="O46" s="111">
        <v>1710</v>
      </c>
      <c r="P46" s="200"/>
      <c r="Q46" s="200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>
        <f>'комплекты фурнитуры'!$C$16</f>
        <v>340</v>
      </c>
      <c r="AC46" s="161"/>
      <c r="AD46" s="161"/>
      <c r="AE46" s="161"/>
      <c r="AF46" s="161">
        <f>'комплекты фурнитуры'!$C$72</f>
        <v>210</v>
      </c>
      <c r="AG46" s="161">
        <f>'комплекты фурнитуры'!$C$73</f>
        <v>30</v>
      </c>
      <c r="AH46" s="196">
        <f>SUM(Прайс[[#This Row],[КФ НСТ11]:[KFPr-SB-ZPG]])</f>
        <v>580</v>
      </c>
      <c r="AI46" s="196"/>
      <c r="AJ46" s="161"/>
      <c r="AK46" s="161"/>
      <c r="AL46" s="161"/>
      <c r="AM46" s="196">
        <f>'комплекты фурнитуры'!$C$62</f>
        <v>620</v>
      </c>
      <c r="AN46" s="196">
        <f>'комплекты фурнитуры'!$C$63</f>
        <v>130</v>
      </c>
      <c r="AO46" s="196"/>
      <c r="AP46" s="196"/>
      <c r="AQ46" s="196"/>
      <c r="AR46" s="196"/>
      <c r="AS46" s="196"/>
      <c r="AT46" s="196">
        <f>'комплекты фурнитуры'!$C$38</f>
        <v>4920</v>
      </c>
      <c r="AU46" s="196"/>
      <c r="AV46" s="196"/>
      <c r="AW46" s="196"/>
      <c r="AX46" s="196"/>
      <c r="AY46" s="196"/>
      <c r="AZ46" s="196"/>
      <c r="BA46" s="196"/>
      <c r="BB46" s="196"/>
      <c r="BC46" s="196"/>
      <c r="BD46" s="196"/>
      <c r="BE46" s="196"/>
      <c r="BF46" s="196"/>
      <c r="BG46" s="196"/>
      <c r="BH46" s="196"/>
      <c r="BI46" s="196"/>
      <c r="BJ46" s="196"/>
      <c r="BK46" s="196"/>
      <c r="BL46" s="196"/>
      <c r="BM46" s="196"/>
      <c r="BN46" s="196"/>
      <c r="BO46" s="196"/>
      <c r="BP46" s="197">
        <f>Прайс[[#This Row],[КФ петли SENS накл.110 гр. с крестообр. Планкой]]*2+Прайс[[#This Row],[КФ Сушка AFF 600]]</f>
        <v>6160</v>
      </c>
      <c r="BQ46" s="198">
        <f>Прайс[[#This Row],[KFP-SB-N110]]*2+Прайс[[#This Row],[КФ Сушка AFF 600]]</f>
        <v>5180</v>
      </c>
      <c r="BR46" s="198">
        <f>Прайс[[#This Row],[KFP-SB-N110]]*2+Прайс[[#This Row],[КФ Сушка AFF 600]]</f>
        <v>5180</v>
      </c>
      <c r="BS46" s="162">
        <v>450</v>
      </c>
      <c r="BT46" s="162">
        <v>720</v>
      </c>
      <c r="BU46" s="162">
        <f>IF(OR(Прайс[[#This Row],[Тип]]="Нижний",Прайс[[#This Row],[Тип]]="Пенал"),"560",IF(Прайс[[#This Row],[Тип]]="Верхний",315,0))</f>
        <v>315</v>
      </c>
      <c r="BV46" s="199">
        <v>1.095</v>
      </c>
      <c r="BW46" s="199">
        <v>1.0649999999999999</v>
      </c>
      <c r="BX46" s="198">
        <v>1.3</v>
      </c>
      <c r="BY46" s="162">
        <v>0</v>
      </c>
      <c r="BZ46" s="162">
        <v>2</v>
      </c>
      <c r="CA46" s="162" t="s">
        <v>71</v>
      </c>
      <c r="CB46" s="198" t="s">
        <v>474</v>
      </c>
      <c r="CC46" s="162">
        <v>1</v>
      </c>
      <c r="CD46" s="162" t="s">
        <v>71</v>
      </c>
      <c r="CE46" s="162">
        <v>1880</v>
      </c>
      <c r="CF46" s="1"/>
      <c r="CG46" s="1"/>
      <c r="CH46" s="1">
        <v>1</v>
      </c>
      <c r="CI46" s="162">
        <v>0</v>
      </c>
      <c r="CJ46" s="162">
        <v>0</v>
      </c>
      <c r="CK46" s="162"/>
      <c r="CL46" s="162"/>
      <c r="CM46" s="162"/>
      <c r="CN46" s="162"/>
    </row>
    <row r="47" spans="1:92" ht="15" customHeight="1" x14ac:dyDescent="0.25">
      <c r="A47" s="115" t="s">
        <v>396</v>
      </c>
      <c r="B47" s="101" t="s">
        <v>7</v>
      </c>
      <c r="C47" s="101" t="s">
        <v>780</v>
      </c>
      <c r="D47" s="101" t="s">
        <v>73</v>
      </c>
      <c r="E47" s="101" t="s">
        <v>10</v>
      </c>
      <c r="F47" s="101" t="s">
        <v>94</v>
      </c>
      <c r="G47" s="109">
        <v>601</v>
      </c>
      <c r="H47" s="109">
        <v>1250</v>
      </c>
      <c r="I47" s="109">
        <v>596</v>
      </c>
      <c r="J47" s="109">
        <v>596</v>
      </c>
      <c r="K47" s="109">
        <v>315</v>
      </c>
      <c r="L47" s="109">
        <v>360</v>
      </c>
      <c r="M47" s="178"/>
      <c r="N47" s="180" t="s">
        <v>61</v>
      </c>
      <c r="O47" s="111">
        <v>1710</v>
      </c>
      <c r="P47" s="200"/>
      <c r="Q47" s="200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>
        <f>'комплекты фурнитуры'!$C$16</f>
        <v>340</v>
      </c>
      <c r="AC47" s="161"/>
      <c r="AD47" s="161"/>
      <c r="AE47" s="161"/>
      <c r="AF47" s="161">
        <f>'комплекты фурнитуры'!$C$72</f>
        <v>210</v>
      </c>
      <c r="AG47" s="161">
        <f>'комплекты фурнитуры'!$C$73</f>
        <v>30</v>
      </c>
      <c r="AH47" s="196">
        <f>SUM(Прайс[[#This Row],[КФ НСТ11]:[KFPr-SB-ZPG]])</f>
        <v>580</v>
      </c>
      <c r="AI47" s="196"/>
      <c r="AJ47" s="161"/>
      <c r="AK47" s="161"/>
      <c r="AL47" s="161"/>
      <c r="AM47" s="196">
        <f>'комплекты фурнитуры'!$C$62</f>
        <v>620</v>
      </c>
      <c r="AN47" s="196">
        <f>'комплекты фурнитуры'!$C$63</f>
        <v>130</v>
      </c>
      <c r="AO47" s="196"/>
      <c r="AP47" s="196"/>
      <c r="AQ47" s="196"/>
      <c r="AR47" s="196"/>
      <c r="AS47" s="196"/>
      <c r="AT47" s="196">
        <f>'комплекты фурнитуры'!$C$38</f>
        <v>4920</v>
      </c>
      <c r="AU47" s="196"/>
      <c r="AV47" s="196"/>
      <c r="AW47" s="196"/>
      <c r="AX47" s="196"/>
      <c r="AY47" s="196"/>
      <c r="AZ47" s="196"/>
      <c r="BA47" s="196"/>
      <c r="BB47" s="196"/>
      <c r="BC47" s="196"/>
      <c r="BD47" s="196"/>
      <c r="BE47" s="196"/>
      <c r="BF47" s="196"/>
      <c r="BG47" s="196"/>
      <c r="BH47" s="196"/>
      <c r="BI47" s="196"/>
      <c r="BJ47" s="196"/>
      <c r="BK47" s="196"/>
      <c r="BL47" s="196"/>
      <c r="BM47" s="196"/>
      <c r="BN47" s="196"/>
      <c r="BO47" s="196"/>
      <c r="BP47" s="197">
        <f>Прайс[[#This Row],[КФ петли SENS накл.110 гр. с крестообр. Планкой]]*4+Прайс[[#This Row],[КФ Сушка AFF 600]]</f>
        <v>7400</v>
      </c>
      <c r="BQ47" s="198">
        <f>Прайс[[#This Row],[KFP-SB-N110]]*4+Прайс[[#This Row],[КФ Сушка AFF 600]]</f>
        <v>5440</v>
      </c>
      <c r="BR47" s="198">
        <f>Прайс[[#This Row],[KFP-SB-N110]]*4+Прайс[[#This Row],[КФ Сушка AFF 600]]</f>
        <v>5440</v>
      </c>
      <c r="BS47" s="162">
        <v>450</v>
      </c>
      <c r="BT47" s="162">
        <v>720</v>
      </c>
      <c r="BU47" s="162">
        <f>IF(OR(Прайс[[#This Row],[Тип]]="Нижний",Прайс[[#This Row],[Тип]]="Пенал"),"560",IF(Прайс[[#This Row],[Тип]]="Верхний",315,0))</f>
        <v>315</v>
      </c>
      <c r="BV47" s="199">
        <v>1.095</v>
      </c>
      <c r="BW47" s="199">
        <v>1.0649999999999999</v>
      </c>
      <c r="BX47" s="198">
        <v>1.3</v>
      </c>
      <c r="BY47" s="162">
        <v>0</v>
      </c>
      <c r="BZ47" s="162">
        <v>2</v>
      </c>
      <c r="CA47" s="162" t="s">
        <v>10</v>
      </c>
      <c r="CB47" s="198" t="s">
        <v>476</v>
      </c>
      <c r="CC47" s="162">
        <v>1</v>
      </c>
      <c r="CD47" s="162" t="s">
        <v>71</v>
      </c>
      <c r="CE47" s="162">
        <v>1880</v>
      </c>
      <c r="CF47" s="1"/>
      <c r="CG47" s="1"/>
      <c r="CH47" s="1">
        <v>2</v>
      </c>
      <c r="CI47" s="162">
        <v>0</v>
      </c>
      <c r="CJ47" s="162">
        <v>0</v>
      </c>
      <c r="CK47" s="162"/>
      <c r="CL47" s="162"/>
      <c r="CM47" s="162"/>
      <c r="CN47" s="162"/>
    </row>
    <row r="48" spans="1:92" ht="15" customHeight="1" x14ac:dyDescent="0.25">
      <c r="A48" s="115" t="s">
        <v>397</v>
      </c>
      <c r="B48" s="101" t="s">
        <v>7</v>
      </c>
      <c r="C48" s="101" t="s">
        <v>781</v>
      </c>
      <c r="D48" s="101" t="s">
        <v>73</v>
      </c>
      <c r="E48" s="101" t="s">
        <v>10</v>
      </c>
      <c r="F48" s="101" t="s">
        <v>94</v>
      </c>
      <c r="G48" s="109">
        <v>601</v>
      </c>
      <c r="H48" s="109">
        <v>1250</v>
      </c>
      <c r="I48" s="109">
        <v>796</v>
      </c>
      <c r="J48" s="109">
        <v>796</v>
      </c>
      <c r="K48" s="109">
        <v>315</v>
      </c>
      <c r="L48" s="109">
        <v>360</v>
      </c>
      <c r="M48" s="178"/>
      <c r="N48" s="180" t="s">
        <v>61</v>
      </c>
      <c r="O48" s="111">
        <v>1710</v>
      </c>
      <c r="P48" s="200"/>
      <c r="Q48" s="200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>
        <f>'комплекты фурнитуры'!$C$16</f>
        <v>340</v>
      </c>
      <c r="AC48" s="161"/>
      <c r="AD48" s="161"/>
      <c r="AE48" s="161"/>
      <c r="AF48" s="161">
        <f>'комплекты фурнитуры'!$C$72</f>
        <v>210</v>
      </c>
      <c r="AG48" s="161">
        <f>'комплекты фурнитуры'!$C$73</f>
        <v>30</v>
      </c>
      <c r="AH48" s="196">
        <f>SUM(Прайс[[#This Row],[КФ НСТ11]:[KFPr-SB-ZPG]])</f>
        <v>580</v>
      </c>
      <c r="AI48" s="196"/>
      <c r="AJ48" s="161"/>
      <c r="AK48" s="161"/>
      <c r="AL48" s="161"/>
      <c r="AM48" s="196">
        <f>'комплекты фурнитуры'!$C$62</f>
        <v>620</v>
      </c>
      <c r="AN48" s="196">
        <f>'комплекты фурнитуры'!$C$63</f>
        <v>130</v>
      </c>
      <c r="AO48" s="196"/>
      <c r="AP48" s="196"/>
      <c r="AQ48" s="196"/>
      <c r="AR48" s="196"/>
      <c r="AS48" s="196"/>
      <c r="AT48" s="196"/>
      <c r="AU48" s="196">
        <f>'комплекты фурнитуры'!$C$39</f>
        <v>5530</v>
      </c>
      <c r="AV48" s="196"/>
      <c r="AW48" s="196"/>
      <c r="AX48" s="196"/>
      <c r="AY48" s="196"/>
      <c r="AZ48" s="196"/>
      <c r="BA48" s="196"/>
      <c r="BB48" s="196"/>
      <c r="BC48" s="196"/>
      <c r="BD48" s="196"/>
      <c r="BE48" s="196"/>
      <c r="BF48" s="196"/>
      <c r="BG48" s="196"/>
      <c r="BH48" s="196"/>
      <c r="BI48" s="196"/>
      <c r="BJ48" s="196"/>
      <c r="BK48" s="196"/>
      <c r="BL48" s="196"/>
      <c r="BM48" s="196"/>
      <c r="BN48" s="196"/>
      <c r="BO48" s="196"/>
      <c r="BP48" s="197">
        <f>Прайс[[#This Row],[КФ петли SENS накл.110 гр. с крестообр. Планкой]]*4+Прайс[[#This Row],[КФ Сушка AFF 800]]</f>
        <v>8010</v>
      </c>
      <c r="BQ48" s="198">
        <f>Прайс[[#This Row],[KFP-SB-N110]]*4+Прайс[[#This Row],[КФ Сушка AFF 800]]</f>
        <v>6050</v>
      </c>
      <c r="BR48" s="198">
        <f>Прайс[[#This Row],[KFP-SB-N110]]*4+Прайс[[#This Row],[КФ Сушка AFF 800]]</f>
        <v>6050</v>
      </c>
      <c r="BS48" s="162">
        <v>450</v>
      </c>
      <c r="BT48" s="162">
        <v>720</v>
      </c>
      <c r="BU48" s="162">
        <f>IF(OR(Прайс[[#This Row],[Тип]]="Нижний",Прайс[[#This Row],[Тип]]="Пенал"),"560",IF(Прайс[[#This Row],[Тип]]="Верхний",315,0))</f>
        <v>315</v>
      </c>
      <c r="BV48" s="199">
        <v>1.095</v>
      </c>
      <c r="BW48" s="199">
        <v>1.0649999999999999</v>
      </c>
      <c r="BX48" s="198">
        <v>1.3</v>
      </c>
      <c r="BY48" s="162">
        <v>0</v>
      </c>
      <c r="BZ48" s="162">
        <v>2</v>
      </c>
      <c r="CA48" s="162" t="s">
        <v>10</v>
      </c>
      <c r="CB48" s="198" t="s">
        <v>476</v>
      </c>
      <c r="CC48" s="162">
        <v>1</v>
      </c>
      <c r="CD48" s="162" t="s">
        <v>71</v>
      </c>
      <c r="CE48" s="162">
        <v>1880</v>
      </c>
      <c r="CF48" s="1"/>
      <c r="CG48" s="1"/>
      <c r="CH48" s="1">
        <v>2</v>
      </c>
      <c r="CI48" s="162">
        <v>0</v>
      </c>
      <c r="CJ48" s="162">
        <v>0</v>
      </c>
      <c r="CK48" s="162"/>
      <c r="CL48" s="162"/>
      <c r="CM48" s="162"/>
      <c r="CN48" s="162"/>
    </row>
    <row r="49" spans="1:92" ht="15" customHeight="1" x14ac:dyDescent="0.25">
      <c r="A49" s="115" t="s">
        <v>398</v>
      </c>
      <c r="B49" s="101" t="s">
        <v>7</v>
      </c>
      <c r="C49" s="101" t="s">
        <v>782</v>
      </c>
      <c r="D49" s="101" t="s">
        <v>73</v>
      </c>
      <c r="E49" s="101" t="s">
        <v>10</v>
      </c>
      <c r="F49" s="101" t="s">
        <v>94</v>
      </c>
      <c r="G49" s="109">
        <v>601</v>
      </c>
      <c r="H49" s="109">
        <v>1250</v>
      </c>
      <c r="I49" s="109">
        <v>896</v>
      </c>
      <c r="J49" s="109">
        <v>896</v>
      </c>
      <c r="K49" s="109">
        <v>315</v>
      </c>
      <c r="L49" s="109">
        <v>360</v>
      </c>
      <c r="M49" s="178"/>
      <c r="N49" s="180" t="s">
        <v>61</v>
      </c>
      <c r="O49" s="111">
        <v>1710</v>
      </c>
      <c r="P49" s="200"/>
      <c r="Q49" s="200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>
        <f>'комплекты фурнитуры'!$C$16</f>
        <v>340</v>
      </c>
      <c r="AC49" s="161"/>
      <c r="AD49" s="161"/>
      <c r="AE49" s="161"/>
      <c r="AF49" s="161">
        <f>'комплекты фурнитуры'!$C$72</f>
        <v>210</v>
      </c>
      <c r="AG49" s="161">
        <f>'комплекты фурнитуры'!$C$73</f>
        <v>30</v>
      </c>
      <c r="AH49" s="196">
        <f>SUM(Прайс[[#This Row],[КФ НСТ11]:[KFPr-SB-ZPG]])</f>
        <v>580</v>
      </c>
      <c r="AI49" s="196"/>
      <c r="AJ49" s="161"/>
      <c r="AK49" s="161"/>
      <c r="AL49" s="161"/>
      <c r="AM49" s="196">
        <f>'комплекты фурнитуры'!$C$62</f>
        <v>620</v>
      </c>
      <c r="AN49" s="196">
        <f>'комплекты фурнитуры'!$C$63</f>
        <v>130</v>
      </c>
      <c r="AO49" s="196"/>
      <c r="AP49" s="196"/>
      <c r="AQ49" s="196"/>
      <c r="AR49" s="196"/>
      <c r="AS49" s="196"/>
      <c r="AT49" s="196"/>
      <c r="AU49" s="196"/>
      <c r="AV49" s="196">
        <f>'комплекты фурнитуры'!$C$40</f>
        <v>6130</v>
      </c>
      <c r="AW49" s="196"/>
      <c r="AX49" s="196"/>
      <c r="AY49" s="196"/>
      <c r="AZ49" s="196"/>
      <c r="BA49" s="196"/>
      <c r="BB49" s="196"/>
      <c r="BC49" s="196"/>
      <c r="BD49" s="196"/>
      <c r="BE49" s="196"/>
      <c r="BF49" s="196"/>
      <c r="BG49" s="196"/>
      <c r="BH49" s="196"/>
      <c r="BI49" s="196"/>
      <c r="BJ49" s="196"/>
      <c r="BK49" s="196"/>
      <c r="BL49" s="196"/>
      <c r="BM49" s="196"/>
      <c r="BN49" s="196"/>
      <c r="BO49" s="196"/>
      <c r="BP49" s="197">
        <f>Прайс[[#This Row],[КФ петли SENS накл.110 гр. с крестообр. Планкой]]*4+Прайс[[#This Row],[КФ Сушка AFF 900]]</f>
        <v>8610</v>
      </c>
      <c r="BQ49" s="198">
        <f>Прайс[[#This Row],[KFP-SB-N110]]*4+Прайс[[#This Row],[КФ Сушка AFF 900]]</f>
        <v>6650</v>
      </c>
      <c r="BR49" s="198">
        <f>Прайс[[#This Row],[KFP-SB-N110]]*4+Прайс[[#This Row],[КФ Сушка AFF 900]]</f>
        <v>6650</v>
      </c>
      <c r="BS49" s="162">
        <v>450</v>
      </c>
      <c r="BT49" s="162">
        <v>720</v>
      </c>
      <c r="BU49" s="162">
        <f>IF(OR(Прайс[[#This Row],[Тип]]="Нижний",Прайс[[#This Row],[Тип]]="Пенал"),"560",IF(Прайс[[#This Row],[Тип]]="Верхний",315,0))</f>
        <v>315</v>
      </c>
      <c r="BV49" s="199">
        <v>1.095</v>
      </c>
      <c r="BW49" s="199">
        <v>1.0649999999999999</v>
      </c>
      <c r="BX49" s="198">
        <v>1.3</v>
      </c>
      <c r="BY49" s="162">
        <v>0</v>
      </c>
      <c r="BZ49" s="162">
        <v>2</v>
      </c>
      <c r="CA49" s="162" t="s">
        <v>10</v>
      </c>
      <c r="CB49" s="198" t="s">
        <v>476</v>
      </c>
      <c r="CC49" s="162">
        <v>1</v>
      </c>
      <c r="CD49" s="162" t="s">
        <v>71</v>
      </c>
      <c r="CE49" s="162">
        <v>1880</v>
      </c>
      <c r="CF49" s="1"/>
      <c r="CG49" s="1"/>
      <c r="CH49" s="1">
        <v>2</v>
      </c>
      <c r="CI49" s="162">
        <v>0</v>
      </c>
      <c r="CJ49" s="162">
        <v>0</v>
      </c>
      <c r="CK49" s="162"/>
      <c r="CL49" s="162"/>
      <c r="CM49" s="162"/>
      <c r="CN49" s="162"/>
    </row>
    <row r="50" spans="1:92" ht="15" customHeight="1" x14ac:dyDescent="0.25">
      <c r="A50" s="115" t="s">
        <v>399</v>
      </c>
      <c r="B50" s="101" t="s">
        <v>7</v>
      </c>
      <c r="C50" s="101" t="s">
        <v>783</v>
      </c>
      <c r="D50" s="101" t="s">
        <v>73</v>
      </c>
      <c r="E50" s="101" t="s">
        <v>10</v>
      </c>
      <c r="F50" s="101" t="s">
        <v>94</v>
      </c>
      <c r="G50" s="109">
        <v>720</v>
      </c>
      <c r="H50" s="109">
        <v>720</v>
      </c>
      <c r="I50" s="109">
        <v>450</v>
      </c>
      <c r="J50" s="109">
        <v>450</v>
      </c>
      <c r="K50" s="109">
        <v>315</v>
      </c>
      <c r="L50" s="109">
        <v>315</v>
      </c>
      <c r="M50" s="178"/>
      <c r="N50" s="180"/>
      <c r="O50" s="111">
        <v>1710</v>
      </c>
      <c r="P50" s="200"/>
      <c r="Q50" s="200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>
        <f>'комплекты фурнитуры'!$C$16</f>
        <v>340</v>
      </c>
      <c r="AC50" s="161"/>
      <c r="AD50" s="161"/>
      <c r="AE50" s="161"/>
      <c r="AF50" s="161">
        <f>'комплекты фурнитуры'!$C$72</f>
        <v>210</v>
      </c>
      <c r="AG50" s="161">
        <f>'комплекты фурнитуры'!$C$73</f>
        <v>30</v>
      </c>
      <c r="AH50" s="196">
        <f>SUM(Прайс[[#This Row],[КФ НСТ11]:[KFPr-SB-ZPG]])</f>
        <v>580</v>
      </c>
      <c r="AI50" s="196"/>
      <c r="AJ50" s="161"/>
      <c r="AK50" s="161"/>
      <c r="AL50" s="161"/>
      <c r="AM50" s="196"/>
      <c r="AN50" s="196"/>
      <c r="AO50" s="196"/>
      <c r="AP50" s="196"/>
      <c r="AQ50" s="196"/>
      <c r="AR50" s="196"/>
      <c r="AS50" s="196">
        <f>'комплекты фурнитуры'!$C$41</f>
        <v>1600</v>
      </c>
      <c r="AT50" s="196"/>
      <c r="AU50" s="196"/>
      <c r="AV50" s="196"/>
      <c r="AW50" s="196"/>
      <c r="AX50" s="196"/>
      <c r="AY50" s="196"/>
      <c r="AZ50" s="196">
        <f>'комплекты фурнитуры'!$C$69</f>
        <v>13990</v>
      </c>
      <c r="BA50" s="196"/>
      <c r="BB50" s="196"/>
      <c r="BC50" s="196"/>
      <c r="BD50" s="196"/>
      <c r="BE50" s="196"/>
      <c r="BF50" s="196"/>
      <c r="BG50" s="196"/>
      <c r="BH50" s="196"/>
      <c r="BI50" s="196"/>
      <c r="BJ50" s="196"/>
      <c r="BK50" s="196"/>
      <c r="BL50" s="196"/>
      <c r="BM50" s="196"/>
      <c r="BN50" s="196"/>
      <c r="BO50" s="196"/>
      <c r="BP50" s="197">
        <f>Прайс[[#This Row],[KFS-SB-45 (посудосушители)]]+Прайс[[#This Row],[KFP-SB-PPHF_W]]</f>
        <v>15590</v>
      </c>
      <c r="BQ50" s="197">
        <f>Прайс[[#This Row],[KFS-SB-45 (посудосушители)]]+Прайс[[#This Row],[KFP-SB-PPHF_W]]</f>
        <v>15590</v>
      </c>
      <c r="BR50" s="197">
        <f>Прайс[[#This Row],[KFS-SB-45 (посудосушители)]]+Прайс[[#This Row],[KFP-SB-PPHF_W]]</f>
        <v>15590</v>
      </c>
      <c r="BS50" s="162">
        <v>450</v>
      </c>
      <c r="BT50" s="162">
        <v>720</v>
      </c>
      <c r="BU50" s="162">
        <f>IF(OR(Прайс[[#This Row],[Тип]]="Нижний",Прайс[[#This Row],[Тип]]="Пенал"),"560",IF(Прайс[[#This Row],[Тип]]="Верхний",315,0))</f>
        <v>315</v>
      </c>
      <c r="BV50" s="199">
        <v>1.08</v>
      </c>
      <c r="BW50" s="199">
        <v>1.0649999999999999</v>
      </c>
      <c r="BX50" s="198">
        <v>1.3</v>
      </c>
      <c r="BY50" s="162">
        <v>0</v>
      </c>
      <c r="BZ50" s="162">
        <v>0</v>
      </c>
      <c r="CA50" s="162" t="s">
        <v>10</v>
      </c>
      <c r="CB50" s="198" t="s">
        <v>475</v>
      </c>
      <c r="CC50" s="162">
        <v>0</v>
      </c>
      <c r="CD50" s="162" t="s">
        <v>10</v>
      </c>
      <c r="CE50" s="162">
        <v>1880</v>
      </c>
      <c r="CF50" s="1"/>
      <c r="CG50" s="1"/>
      <c r="CH50" s="1">
        <v>2</v>
      </c>
      <c r="CI50" s="162">
        <v>0</v>
      </c>
      <c r="CJ50" s="162">
        <v>0</v>
      </c>
      <c r="CK50" s="162"/>
      <c r="CL50" s="162"/>
      <c r="CM50" s="162"/>
      <c r="CN50" s="162"/>
    </row>
    <row r="51" spans="1:92" ht="15" customHeight="1" x14ac:dyDescent="0.25">
      <c r="A51" s="117" t="s">
        <v>400</v>
      </c>
      <c r="B51" s="101" t="s">
        <v>7</v>
      </c>
      <c r="C51" s="101" t="s">
        <v>784</v>
      </c>
      <c r="D51" s="101" t="s">
        <v>73</v>
      </c>
      <c r="E51" s="101" t="s">
        <v>10</v>
      </c>
      <c r="F51" s="101" t="s">
        <v>94</v>
      </c>
      <c r="G51" s="109">
        <v>240</v>
      </c>
      <c r="H51" s="109">
        <v>600</v>
      </c>
      <c r="I51" s="109">
        <v>450</v>
      </c>
      <c r="J51" s="109">
        <v>450</v>
      </c>
      <c r="K51" s="109">
        <v>315</v>
      </c>
      <c r="L51" s="109">
        <v>360</v>
      </c>
      <c r="M51" s="178"/>
      <c r="N51" s="180" t="s">
        <v>63</v>
      </c>
      <c r="O51" s="111">
        <v>1710</v>
      </c>
      <c r="P51" s="200"/>
      <c r="Q51" s="200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>
        <f>'комплекты фурнитуры'!$C$16</f>
        <v>340</v>
      </c>
      <c r="AC51" s="161"/>
      <c r="AD51" s="161"/>
      <c r="AE51" s="161"/>
      <c r="AF51" s="161">
        <f>'комплекты фурнитуры'!$C$72</f>
        <v>210</v>
      </c>
      <c r="AG51" s="161">
        <f>'комплекты фурнитуры'!$C$73</f>
        <v>30</v>
      </c>
      <c r="AH51" s="196">
        <f>SUM(Прайс[[#This Row],[КФ НСТ11]:[KFPr-SB-ZPG]])</f>
        <v>580</v>
      </c>
      <c r="AI51" s="196"/>
      <c r="AJ51" s="161"/>
      <c r="AK51" s="161"/>
      <c r="AL51" s="161"/>
      <c r="AM51" s="196"/>
      <c r="AN51" s="196"/>
      <c r="AO51" s="196"/>
      <c r="AP51" s="196"/>
      <c r="AQ51" s="196"/>
      <c r="AR51" s="196"/>
      <c r="AS51" s="196">
        <f>'комплекты фурнитуры'!D49</f>
        <v>1000</v>
      </c>
      <c r="AT51" s="196"/>
      <c r="AU51" s="196"/>
      <c r="AV51" s="196"/>
      <c r="AW51" s="196">
        <f>'комплекты фурнитуры'!$C$67</f>
        <v>6080</v>
      </c>
      <c r="AX51" s="196">
        <f>'комплекты фурнитуры'!$C$68</f>
        <v>6940</v>
      </c>
      <c r="AY51" s="196"/>
      <c r="AZ51" s="196"/>
      <c r="BA51" s="196"/>
      <c r="BB51" s="196"/>
      <c r="BC51" s="196"/>
      <c r="BD51" s="196"/>
      <c r="BE51" s="196"/>
      <c r="BF51" s="196"/>
      <c r="BG51" s="196"/>
      <c r="BH51" s="196"/>
      <c r="BI51" s="196"/>
      <c r="BJ51" s="196"/>
      <c r="BK51" s="196"/>
      <c r="BL51" s="196"/>
      <c r="BM51" s="196"/>
      <c r="BN51" s="196"/>
      <c r="BO51" s="196"/>
      <c r="BP51" s="197">
        <f>Прайс[[#This Row],[KFP-SP-PPGK]]+Прайс[[#This Row],[KFS-SB-45 (посудосушители)]]</f>
        <v>7080</v>
      </c>
      <c r="BQ51" s="197">
        <f>Прайс[[#This Row],[KFP-SP-PPGK]]+Прайс[[#This Row],[KFS-SB-45 (посудосушители)]]</f>
        <v>7080</v>
      </c>
      <c r="BR51" s="197">
        <f>Прайс[[#This Row],[KFP-SP-PPGK]]+Прайс[[#This Row],[KFS-SB-45 (посудосушители)]]</f>
        <v>7080</v>
      </c>
      <c r="BS51" s="162">
        <v>300</v>
      </c>
      <c r="BT51" s="162">
        <v>720</v>
      </c>
      <c r="BU51" s="162">
        <f>IF(OR(Прайс[[#This Row],[Тип]]="Нижний",Прайс[[#This Row],[Тип]]="Пенал"),"560",IF(Прайс[[#This Row],[Тип]]="Верхний",315,0))</f>
        <v>315</v>
      </c>
      <c r="BV51" s="199">
        <v>1.08</v>
      </c>
      <c r="BW51" s="199">
        <v>1.0649999999999999</v>
      </c>
      <c r="BX51" s="198">
        <v>1.3</v>
      </c>
      <c r="BY51" s="162">
        <v>0</v>
      </c>
      <c r="BZ51" s="162">
        <v>0</v>
      </c>
      <c r="CA51" s="162" t="s">
        <v>10</v>
      </c>
      <c r="CB51" s="198" t="s">
        <v>475</v>
      </c>
      <c r="CC51" s="162">
        <v>0</v>
      </c>
      <c r="CD51" s="162" t="s">
        <v>10</v>
      </c>
      <c r="CE51" s="162">
        <v>1880</v>
      </c>
      <c r="CF51" s="1"/>
      <c r="CG51" s="1"/>
      <c r="CH51" s="1">
        <v>1</v>
      </c>
      <c r="CI51" s="162">
        <v>0</v>
      </c>
      <c r="CJ51" s="162">
        <v>0</v>
      </c>
      <c r="CK51" s="162"/>
      <c r="CL51" s="162"/>
      <c r="CM51" s="162"/>
      <c r="CN51" s="162"/>
    </row>
    <row r="52" spans="1:92" ht="15" customHeight="1" x14ac:dyDescent="0.25">
      <c r="A52" s="117" t="s">
        <v>401</v>
      </c>
      <c r="B52" s="101" t="s">
        <v>7</v>
      </c>
      <c r="C52" s="101" t="s">
        <v>785</v>
      </c>
      <c r="D52" s="101" t="s">
        <v>73</v>
      </c>
      <c r="E52" s="101" t="s">
        <v>10</v>
      </c>
      <c r="F52" s="101" t="s">
        <v>94</v>
      </c>
      <c r="G52" s="109">
        <v>240</v>
      </c>
      <c r="H52" s="109">
        <v>600</v>
      </c>
      <c r="I52" s="109">
        <v>596</v>
      </c>
      <c r="J52" s="109">
        <v>596</v>
      </c>
      <c r="K52" s="109">
        <v>315</v>
      </c>
      <c r="L52" s="109">
        <v>360</v>
      </c>
      <c r="M52" s="178"/>
      <c r="N52" s="180" t="s">
        <v>63</v>
      </c>
      <c r="O52" s="111">
        <v>1710</v>
      </c>
      <c r="P52" s="200"/>
      <c r="Q52" s="200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>
        <f>'комплекты фурнитуры'!$C$16</f>
        <v>340</v>
      </c>
      <c r="AC52" s="161"/>
      <c r="AD52" s="161"/>
      <c r="AE52" s="161"/>
      <c r="AF52" s="161">
        <f>'комплекты фурнитуры'!$C$72</f>
        <v>210</v>
      </c>
      <c r="AG52" s="161">
        <f>'комплекты фурнитуры'!$C$73</f>
        <v>30</v>
      </c>
      <c r="AH52" s="196">
        <f>SUM(Прайс[[#This Row],[КФ НСТ11]:[KFPr-SB-ZPG]])</f>
        <v>580</v>
      </c>
      <c r="AI52" s="196"/>
      <c r="AJ52" s="161"/>
      <c r="AK52" s="161"/>
      <c r="AL52" s="161"/>
      <c r="AM52" s="196"/>
      <c r="AN52" s="196"/>
      <c r="AO52" s="196"/>
      <c r="AP52" s="196"/>
      <c r="AQ52" s="196"/>
      <c r="AR52" s="196"/>
      <c r="AS52" s="196"/>
      <c r="AT52" s="196">
        <f>'комплекты фурнитуры'!D50</f>
        <v>1000</v>
      </c>
      <c r="AU52" s="196"/>
      <c r="AV52" s="196"/>
      <c r="AW52" s="196">
        <f>'комплекты фурнитуры'!$C$67</f>
        <v>6080</v>
      </c>
      <c r="AX52" s="196">
        <f>'комплекты фурнитуры'!$C$68</f>
        <v>6940</v>
      </c>
      <c r="AY52" s="196"/>
      <c r="AZ52" s="196"/>
      <c r="BA52" s="196"/>
      <c r="BB52" s="196"/>
      <c r="BC52" s="196"/>
      <c r="BD52" s="196"/>
      <c r="BE52" s="196"/>
      <c r="BF52" s="196"/>
      <c r="BG52" s="196"/>
      <c r="BH52" s="196"/>
      <c r="BI52" s="196"/>
      <c r="BJ52" s="196"/>
      <c r="BK52" s="196"/>
      <c r="BL52" s="196"/>
      <c r="BM52" s="196"/>
      <c r="BN52" s="196"/>
      <c r="BO52" s="196"/>
      <c r="BP52" s="197">
        <f>Прайс[[#This Row],[KFP-SP-PPGK]]+Прайс[[#This Row],[КФ Сушка AFF 600]]</f>
        <v>7080</v>
      </c>
      <c r="BQ52" s="197">
        <f>Прайс[[#This Row],[KFP-SP-PPGK]]+Прайс[[#This Row],[КФ Сушка AFF 600]]</f>
        <v>7080</v>
      </c>
      <c r="BR52" s="197">
        <f>Прайс[[#This Row],[KFP-SP-PPGK]]+Прайс[[#This Row],[КФ Сушка AFF 600]]</f>
        <v>7080</v>
      </c>
      <c r="BS52" s="162">
        <v>300</v>
      </c>
      <c r="BT52" s="162">
        <v>720</v>
      </c>
      <c r="BU52" s="162">
        <f>IF(OR(Прайс[[#This Row],[Тип]]="Нижний",Прайс[[#This Row],[Тип]]="Пенал"),"560",IF(Прайс[[#This Row],[Тип]]="Верхний",315,0))</f>
        <v>315</v>
      </c>
      <c r="BV52" s="199">
        <v>1.08</v>
      </c>
      <c r="BW52" s="199">
        <v>1.0649999999999999</v>
      </c>
      <c r="BX52" s="198">
        <v>1.3</v>
      </c>
      <c r="BY52" s="162">
        <v>0</v>
      </c>
      <c r="BZ52" s="162">
        <v>0</v>
      </c>
      <c r="CA52" s="162" t="s">
        <v>10</v>
      </c>
      <c r="CB52" s="198" t="s">
        <v>475</v>
      </c>
      <c r="CC52" s="162">
        <v>0</v>
      </c>
      <c r="CD52" s="162" t="s">
        <v>10</v>
      </c>
      <c r="CE52" s="162">
        <v>1880</v>
      </c>
      <c r="CF52" s="1"/>
      <c r="CG52" s="1"/>
      <c r="CH52" s="1">
        <v>1</v>
      </c>
      <c r="CI52" s="162">
        <v>0</v>
      </c>
      <c r="CJ52" s="162">
        <v>0</v>
      </c>
      <c r="CK52" s="162"/>
      <c r="CL52" s="162"/>
      <c r="CM52" s="162"/>
      <c r="CN52" s="162"/>
    </row>
    <row r="53" spans="1:92" ht="15" customHeight="1" x14ac:dyDescent="0.25">
      <c r="A53" s="117" t="s">
        <v>504</v>
      </c>
      <c r="B53" s="101" t="s">
        <v>7</v>
      </c>
      <c r="C53" s="101" t="s">
        <v>786</v>
      </c>
      <c r="D53" s="101" t="s">
        <v>73</v>
      </c>
      <c r="E53" s="101" t="s">
        <v>10</v>
      </c>
      <c r="F53" s="101" t="s">
        <v>94</v>
      </c>
      <c r="G53" s="109">
        <v>240</v>
      </c>
      <c r="H53" s="109">
        <v>600</v>
      </c>
      <c r="I53" s="109">
        <v>896</v>
      </c>
      <c r="J53" s="109">
        <v>896</v>
      </c>
      <c r="K53" s="109">
        <v>315</v>
      </c>
      <c r="L53" s="109">
        <v>360</v>
      </c>
      <c r="M53" s="178"/>
      <c r="N53" s="180" t="s">
        <v>63</v>
      </c>
      <c r="O53" s="111">
        <v>1710</v>
      </c>
      <c r="P53" s="200"/>
      <c r="Q53" s="200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>
        <f>'комплекты фурнитуры'!$C$16</f>
        <v>340</v>
      </c>
      <c r="AC53" s="161"/>
      <c r="AD53" s="161"/>
      <c r="AE53" s="161"/>
      <c r="AF53" s="161">
        <f>'комплекты фурнитуры'!$C$72</f>
        <v>210</v>
      </c>
      <c r="AG53" s="161">
        <f>'комплекты фурнитуры'!$C$73</f>
        <v>30</v>
      </c>
      <c r="AH53" s="196">
        <f>SUM(Прайс[[#This Row],[КФ НСТ11]:[KFPr-SB-ZPG]])</f>
        <v>580</v>
      </c>
      <c r="AI53" s="196"/>
      <c r="AJ53" s="161"/>
      <c r="AK53" s="161"/>
      <c r="AL53" s="161"/>
      <c r="AM53" s="196"/>
      <c r="AN53" s="196"/>
      <c r="AO53" s="196"/>
      <c r="AP53" s="196"/>
      <c r="AQ53" s="196"/>
      <c r="AR53" s="196"/>
      <c r="AS53" s="196"/>
      <c r="AT53" s="196">
        <f>'комплекты фурнитуры'!D51</f>
        <v>1000</v>
      </c>
      <c r="AU53" s="196"/>
      <c r="AV53" s="196"/>
      <c r="AW53" s="196">
        <f>'комплекты фурнитуры'!$C$67</f>
        <v>6080</v>
      </c>
      <c r="AX53" s="196">
        <f>'комплекты фурнитуры'!$C$68</f>
        <v>6940</v>
      </c>
      <c r="AY53" s="196"/>
      <c r="AZ53" s="196"/>
      <c r="BA53" s="196"/>
      <c r="BB53" s="196"/>
      <c r="BC53" s="196"/>
      <c r="BD53" s="196"/>
      <c r="BE53" s="196"/>
      <c r="BF53" s="196"/>
      <c r="BG53" s="196"/>
      <c r="BH53" s="196"/>
      <c r="BI53" s="196"/>
      <c r="BJ53" s="196"/>
      <c r="BK53" s="196"/>
      <c r="BL53" s="196"/>
      <c r="BM53" s="196"/>
      <c r="BN53" s="196"/>
      <c r="BO53" s="196"/>
      <c r="BP53" s="197">
        <f>Прайс[[#This Row],[KFP-SP-PPGK]]+Прайс[[#This Row],[КФ Сушка AFF 600]]</f>
        <v>7080</v>
      </c>
      <c r="BQ53" s="197">
        <f>Прайс[[#This Row],[KFP-SP-PPGK]]+Прайс[[#This Row],[КФ Сушка AFF 600]]</f>
        <v>7080</v>
      </c>
      <c r="BR53" s="197">
        <f>Прайс[[#This Row],[KFP-SP-PPGK]]+Прайс[[#This Row],[КФ Сушка AFF 600]]</f>
        <v>7080</v>
      </c>
      <c r="BS53" s="162">
        <v>300</v>
      </c>
      <c r="BT53" s="162">
        <v>720</v>
      </c>
      <c r="BU53" s="162">
        <f>IF(OR(Прайс[[#This Row],[Тип]]="Нижний",Прайс[[#This Row],[Тип]]="Пенал"),"560",IF(Прайс[[#This Row],[Тип]]="Верхний",315,0))</f>
        <v>315</v>
      </c>
      <c r="BV53" s="199">
        <v>1.08</v>
      </c>
      <c r="BW53" s="199">
        <v>1.0649999999999999</v>
      </c>
      <c r="BX53" s="198">
        <v>1.3</v>
      </c>
      <c r="BY53" s="162">
        <v>0</v>
      </c>
      <c r="BZ53" s="162">
        <v>0</v>
      </c>
      <c r="CA53" s="162" t="s">
        <v>10</v>
      </c>
      <c r="CB53" s="198" t="s">
        <v>475</v>
      </c>
      <c r="CC53" s="162">
        <v>0</v>
      </c>
      <c r="CD53" s="162" t="s">
        <v>10</v>
      </c>
      <c r="CE53" s="162">
        <v>1880</v>
      </c>
      <c r="CF53" s="1"/>
      <c r="CG53" s="1"/>
      <c r="CH53" s="1">
        <v>1</v>
      </c>
      <c r="CI53" s="162">
        <v>0</v>
      </c>
      <c r="CJ53" s="162">
        <v>0</v>
      </c>
      <c r="CK53" s="162"/>
      <c r="CL53" s="162"/>
      <c r="CM53" s="162"/>
      <c r="CN53" s="162"/>
    </row>
    <row r="54" spans="1:92" ht="15" customHeight="1" x14ac:dyDescent="0.25">
      <c r="A54" s="115" t="s">
        <v>32</v>
      </c>
      <c r="B54" s="101" t="s">
        <v>7</v>
      </c>
      <c r="C54" s="101" t="s">
        <v>787</v>
      </c>
      <c r="D54" s="101" t="s">
        <v>76</v>
      </c>
      <c r="E54" s="101" t="s">
        <v>10</v>
      </c>
      <c r="F54" s="101" t="s">
        <v>87</v>
      </c>
      <c r="G54" s="109">
        <v>480</v>
      </c>
      <c r="H54" s="109">
        <v>960</v>
      </c>
      <c r="I54" s="109">
        <v>315</v>
      </c>
      <c r="J54" s="109">
        <v>315</v>
      </c>
      <c r="K54" s="109">
        <v>315</v>
      </c>
      <c r="L54" s="109">
        <v>315</v>
      </c>
      <c r="M54" s="178"/>
      <c r="N54" s="180" t="s">
        <v>64</v>
      </c>
      <c r="O54" s="111">
        <v>2120</v>
      </c>
      <c r="P54" s="200"/>
      <c r="Q54" s="200"/>
      <c r="R54" s="161"/>
      <c r="S54" s="161"/>
      <c r="T54" s="161"/>
      <c r="U54" s="161"/>
      <c r="V54" s="161"/>
      <c r="W54" s="161"/>
      <c r="X54" s="161">
        <f>'комплекты фурнитуры'!$C$12</f>
        <v>850</v>
      </c>
      <c r="Y54" s="161"/>
      <c r="Z54" s="161"/>
      <c r="AA54" s="161"/>
      <c r="AB54" s="161"/>
      <c r="AC54" s="161"/>
      <c r="AD54" s="161"/>
      <c r="AE54" s="161"/>
      <c r="AF54" s="161"/>
      <c r="AG54" s="161"/>
      <c r="AH54" s="196">
        <f>SUM(Прайс[[#This Row],[КФ НСТ11]:[KFPr-SB-ZPG]])</f>
        <v>850</v>
      </c>
      <c r="AI54" s="196">
        <f>'комплекты фурнитуры'!$C$79</f>
        <v>40</v>
      </c>
      <c r="AJ54" s="161"/>
      <c r="AK54" s="161"/>
      <c r="AL54" s="161"/>
      <c r="AM54" s="196">
        <f>'комплекты фурнитуры'!$C$62</f>
        <v>620</v>
      </c>
      <c r="AN54" s="196">
        <f>'комплекты фурнитуры'!$C$63</f>
        <v>130</v>
      </c>
      <c r="AO54" s="196"/>
      <c r="AP54" s="196"/>
      <c r="AQ54" s="196"/>
      <c r="AR54" s="196"/>
      <c r="AS54" s="196"/>
      <c r="AT54" s="196"/>
      <c r="AU54" s="196"/>
      <c r="AV54" s="196"/>
      <c r="AW54" s="196"/>
      <c r="AX54" s="196"/>
      <c r="AY54" s="196"/>
      <c r="AZ54" s="196"/>
      <c r="BA54" s="196"/>
      <c r="BB54" s="196"/>
      <c r="BC54" s="196"/>
      <c r="BD54" s="196"/>
      <c r="BE54" s="196"/>
      <c r="BF54" s="196"/>
      <c r="BG54" s="196"/>
      <c r="BH54" s="196"/>
      <c r="BI54" s="196"/>
      <c r="BJ54" s="196"/>
      <c r="BK54" s="196"/>
      <c r="BL54" s="196"/>
      <c r="BM54" s="196"/>
      <c r="BN54" s="196"/>
      <c r="BO54" s="196"/>
      <c r="BP54" s="197">
        <f>Прайс[[#This Row],[ KFPr-SB-StK ]]*2+Прайс[[#This Row],[КФ петли SENS накл.110 гр. с крестообр. Планкой]]*2</f>
        <v>1320</v>
      </c>
      <c r="BQ54" s="198">
        <f>Прайс[[#This Row],[ KFPr-SB-StK ]]*2+Прайс[[#This Row],[KFP-SB-N110]]*2</f>
        <v>340</v>
      </c>
      <c r="BR54" s="198">
        <f>Прайс[[#This Row],[ KFPr-SB-StK ]]*2+Прайс[[#This Row],[KFP-SB-N110]]*2</f>
        <v>340</v>
      </c>
      <c r="BS54" s="162">
        <v>315</v>
      </c>
      <c r="BT54" s="162">
        <v>720</v>
      </c>
      <c r="BU54" s="162">
        <f>IF(OR(Прайс[[#This Row],[Тип]]="Нижний",Прайс[[#This Row],[Тип]]="Пенал"),"560",IF(Прайс[[#This Row],[Тип]]="Верхний",315,0))</f>
        <v>315</v>
      </c>
      <c r="BV54" s="199">
        <v>1.08</v>
      </c>
      <c r="BW54" s="199">
        <v>1.0649999999999999</v>
      </c>
      <c r="BX54" s="198">
        <v>0</v>
      </c>
      <c r="BY54" s="162">
        <v>0</v>
      </c>
      <c r="BZ54" s="162">
        <v>0</v>
      </c>
      <c r="CA54" s="162" t="s">
        <v>10</v>
      </c>
      <c r="CB54" s="198" t="s">
        <v>474</v>
      </c>
      <c r="CC54" s="162">
        <v>0</v>
      </c>
      <c r="CD54" s="162" t="s">
        <v>10</v>
      </c>
      <c r="CE54" s="162">
        <v>2320</v>
      </c>
      <c r="CF54" s="1"/>
      <c r="CG54" s="1"/>
      <c r="CH54" s="1">
        <v>1</v>
      </c>
      <c r="CI54" s="162">
        <v>0</v>
      </c>
      <c r="CJ54" s="162">
        <v>0</v>
      </c>
      <c r="CK54" s="162"/>
      <c r="CL54" s="162"/>
      <c r="CM54" s="162"/>
      <c r="CN54" s="162"/>
    </row>
    <row r="55" spans="1:92" ht="15" customHeight="1" x14ac:dyDescent="0.25">
      <c r="A55" s="115" t="s">
        <v>82</v>
      </c>
      <c r="B55" s="101" t="s">
        <v>7</v>
      </c>
      <c r="C55" s="101" t="s">
        <v>788</v>
      </c>
      <c r="D55" s="101" t="s">
        <v>73</v>
      </c>
      <c r="E55" s="101" t="s">
        <v>71</v>
      </c>
      <c r="F55" s="101" t="s">
        <v>87</v>
      </c>
      <c r="G55" s="109">
        <v>360</v>
      </c>
      <c r="H55" s="109">
        <v>1250</v>
      </c>
      <c r="I55" s="109">
        <v>150</v>
      </c>
      <c r="J55" s="109">
        <v>600</v>
      </c>
      <c r="K55" s="109">
        <v>250</v>
      </c>
      <c r="L55" s="109">
        <v>560</v>
      </c>
      <c r="M55" s="178"/>
      <c r="N55" s="180"/>
      <c r="O55" s="111">
        <v>1780</v>
      </c>
      <c r="P55" s="200"/>
      <c r="Q55" s="200"/>
      <c r="R55" s="161">
        <f>'комплекты фурнитуры'!$C$3</f>
        <v>550</v>
      </c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>
        <f>'комплекты фурнитуры'!$C$72</f>
        <v>210</v>
      </c>
      <c r="AG55" s="161">
        <f>'комплекты фурнитуры'!$C$73</f>
        <v>30</v>
      </c>
      <c r="AH55" s="196">
        <f>SUM(Прайс[[#This Row],[КФ НСТ11]:[KFPr-SB-ZPG]])</f>
        <v>790</v>
      </c>
      <c r="AI55" s="196"/>
      <c r="AJ55" s="161"/>
      <c r="AK55" s="161"/>
      <c r="AL55" s="161"/>
      <c r="AM55" s="196">
        <f>'комплекты фурнитуры'!$C$62</f>
        <v>620</v>
      </c>
      <c r="AN55" s="196">
        <f>'комплекты фурнитуры'!$C$63</f>
        <v>130</v>
      </c>
      <c r="AO55" s="196"/>
      <c r="AP55" s="196"/>
      <c r="AQ55" s="196"/>
      <c r="AR55" s="196"/>
      <c r="AS55" s="196"/>
      <c r="AT55" s="196"/>
      <c r="AU55" s="196"/>
      <c r="AV55" s="196"/>
      <c r="AW55" s="196"/>
      <c r="AX55" s="196"/>
      <c r="AY55" s="196"/>
      <c r="AZ55" s="196"/>
      <c r="BA55" s="196"/>
      <c r="BB55" s="196"/>
      <c r="BC55" s="196"/>
      <c r="BD55" s="196"/>
      <c r="BE55" s="196"/>
      <c r="BF55" s="196"/>
      <c r="BG55" s="196"/>
      <c r="BH55" s="196"/>
      <c r="BI55" s="196"/>
      <c r="BJ55" s="196"/>
      <c r="BK55" s="196"/>
      <c r="BL55" s="196"/>
      <c r="BM55" s="196"/>
      <c r="BN55" s="196"/>
      <c r="BO55" s="196">
        <f>'комплекты фурнитуры'!$C$81</f>
        <v>1110</v>
      </c>
      <c r="BP55" s="197">
        <f>Прайс[[#This Row],[ KFPr-SB-StK ]]*2+Прайс[[#This Row],[КФ петли SENS накл.110 гр. с крестообр. Планкой]]*2</f>
        <v>1240</v>
      </c>
      <c r="BQ55" s="198">
        <f>Прайс[[#This Row],[ KFPr-SB-StK ]]*2+Прайс[[#This Row],[KFP-SB-N110]]*2</f>
        <v>260</v>
      </c>
      <c r="BR55" s="198">
        <f>Прайс[[#This Row],[ KFPr-SB-StK ]]*2+Прайс[[#This Row],[KFP-SB-N110]]*2</f>
        <v>260</v>
      </c>
      <c r="BS55" s="162">
        <v>300</v>
      </c>
      <c r="BT55" s="162">
        <v>720</v>
      </c>
      <c r="BU55" s="162">
        <f>IF(OR(Прайс[[#This Row],[Тип]]="Нижний",Прайс[[#This Row],[Тип]]="Пенал"),"560",IF(Прайс[[#This Row],[Тип]]="Верхний",315,0))</f>
        <v>315</v>
      </c>
      <c r="BV55" s="199">
        <v>1.08</v>
      </c>
      <c r="BW55" s="199">
        <v>1.0649999999999999</v>
      </c>
      <c r="BX55" s="198">
        <v>1.3</v>
      </c>
      <c r="BY55" s="162">
        <v>0</v>
      </c>
      <c r="BZ55" s="162">
        <v>3</v>
      </c>
      <c r="CA55" s="162" t="s">
        <v>10</v>
      </c>
      <c r="CB55" s="198" t="s">
        <v>476</v>
      </c>
      <c r="CC55" s="162">
        <v>1</v>
      </c>
      <c r="CD55" s="162" t="s">
        <v>71</v>
      </c>
      <c r="CE55" s="162">
        <v>1960</v>
      </c>
      <c r="CF55" s="1"/>
      <c r="CG55" s="1"/>
      <c r="CH55" s="1">
        <v>1</v>
      </c>
      <c r="CI55" s="162">
        <v>0</v>
      </c>
      <c r="CJ55" s="162">
        <v>0</v>
      </c>
      <c r="CK55" s="162"/>
      <c r="CL55" s="162"/>
      <c r="CM55" s="162"/>
      <c r="CN55" s="162"/>
    </row>
    <row r="56" spans="1:92" ht="15" customHeight="1" x14ac:dyDescent="0.25">
      <c r="A56" s="115" t="s">
        <v>33</v>
      </c>
      <c r="B56" s="101" t="s">
        <v>7</v>
      </c>
      <c r="C56" s="101" t="s">
        <v>789</v>
      </c>
      <c r="D56" s="101" t="s">
        <v>73</v>
      </c>
      <c r="E56" s="101" t="s">
        <v>71</v>
      </c>
      <c r="F56" s="101" t="s">
        <v>87</v>
      </c>
      <c r="G56" s="109">
        <v>360</v>
      </c>
      <c r="H56" s="109">
        <v>1250</v>
      </c>
      <c r="I56" s="109">
        <v>400</v>
      </c>
      <c r="J56" s="109">
        <v>900</v>
      </c>
      <c r="K56" s="109">
        <v>250</v>
      </c>
      <c r="L56" s="109">
        <v>560</v>
      </c>
      <c r="M56" s="178"/>
      <c r="N56" s="180"/>
      <c r="O56" s="111">
        <v>1780</v>
      </c>
      <c r="P56" s="200"/>
      <c r="Q56" s="200"/>
      <c r="R56" s="161">
        <f>'комплекты фурнитуры'!$C$3</f>
        <v>550</v>
      </c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>
        <f>'комплекты фурнитуры'!$C$72</f>
        <v>210</v>
      </c>
      <c r="AG56" s="161">
        <f>'комплекты фурнитуры'!$C$73</f>
        <v>30</v>
      </c>
      <c r="AH56" s="196">
        <f>SUM(Прайс[[#This Row],[КФ НСТ11]:[KFPr-SB-ZPG]])</f>
        <v>790</v>
      </c>
      <c r="AI56" s="196"/>
      <c r="AJ56" s="161"/>
      <c r="AK56" s="161"/>
      <c r="AL56" s="161"/>
      <c r="AM56" s="196">
        <f>'комплекты фурнитуры'!$C$62</f>
        <v>620</v>
      </c>
      <c r="AN56" s="196">
        <f>'комплекты фурнитуры'!$C$63</f>
        <v>130</v>
      </c>
      <c r="AO56" s="196"/>
      <c r="AP56" s="196"/>
      <c r="AQ56" s="196"/>
      <c r="AR56" s="196"/>
      <c r="AS56" s="196"/>
      <c r="AT56" s="196"/>
      <c r="AU56" s="196"/>
      <c r="AV56" s="196"/>
      <c r="AW56" s="196"/>
      <c r="AX56" s="196"/>
      <c r="AY56" s="196"/>
      <c r="AZ56" s="196"/>
      <c r="BA56" s="196"/>
      <c r="BB56" s="196"/>
      <c r="BC56" s="196"/>
      <c r="BD56" s="196"/>
      <c r="BE56" s="196"/>
      <c r="BF56" s="196"/>
      <c r="BG56" s="196"/>
      <c r="BH56" s="196"/>
      <c r="BI56" s="196"/>
      <c r="BJ56" s="196"/>
      <c r="BK56" s="196"/>
      <c r="BL56" s="196"/>
      <c r="BM56" s="196"/>
      <c r="BN56" s="196"/>
      <c r="BO56" s="196">
        <f>'комплекты фурнитуры'!$C$81</f>
        <v>1110</v>
      </c>
      <c r="BP56" s="197">
        <f>Прайс[[#This Row],[ KFPr-SB-StK ]]*2+Прайс[[#This Row],[КФ петли SENS накл.110 гр. с крестообр. Планкой]]*4</f>
        <v>2480</v>
      </c>
      <c r="BQ56" s="198">
        <f>Прайс[[#This Row],[ KFPr-SB-StK ]]*2+Прайс[[#This Row],[KFP-SB-N110]]*4</f>
        <v>520</v>
      </c>
      <c r="BR56" s="198">
        <f>Прайс[[#This Row],[ KFPr-SB-StK ]]*2+Прайс[[#This Row],[KFP-SB-N110]]*4</f>
        <v>520</v>
      </c>
      <c r="BS56" s="162">
        <v>300</v>
      </c>
      <c r="BT56" s="162">
        <v>720</v>
      </c>
      <c r="BU56" s="162">
        <f>IF(OR(Прайс[[#This Row],[Тип]]="Нижний",Прайс[[#This Row],[Тип]]="Пенал"),"560",IF(Прайс[[#This Row],[Тип]]="Верхний",315,0))</f>
        <v>315</v>
      </c>
      <c r="BV56" s="199">
        <v>1.08</v>
      </c>
      <c r="BW56" s="199">
        <v>1.0649999999999999</v>
      </c>
      <c r="BX56" s="198">
        <v>1.3</v>
      </c>
      <c r="BY56" s="162">
        <v>0</v>
      </c>
      <c r="BZ56" s="162">
        <v>3</v>
      </c>
      <c r="CA56" s="162" t="s">
        <v>10</v>
      </c>
      <c r="CB56" s="198" t="s">
        <v>476</v>
      </c>
      <c r="CC56" s="162">
        <v>1</v>
      </c>
      <c r="CD56" s="162" t="s">
        <v>71</v>
      </c>
      <c r="CE56" s="162">
        <v>1960</v>
      </c>
      <c r="CF56" s="1"/>
      <c r="CG56" s="1"/>
      <c r="CH56" s="1">
        <v>2</v>
      </c>
      <c r="CI56" s="162">
        <v>0</v>
      </c>
      <c r="CJ56" s="162">
        <v>0</v>
      </c>
      <c r="CK56" s="162"/>
      <c r="CL56" s="162"/>
      <c r="CM56" s="162"/>
      <c r="CN56" s="162"/>
    </row>
    <row r="57" spans="1:92" ht="15" customHeight="1" x14ac:dyDescent="0.25">
      <c r="A57" s="115" t="s">
        <v>34</v>
      </c>
      <c r="B57" s="101" t="s">
        <v>7</v>
      </c>
      <c r="C57" s="101" t="s">
        <v>790</v>
      </c>
      <c r="D57" s="101" t="s">
        <v>73</v>
      </c>
      <c r="E57" s="101" t="s">
        <v>71</v>
      </c>
      <c r="F57" s="101" t="s">
        <v>92</v>
      </c>
      <c r="G57" s="109">
        <v>720</v>
      </c>
      <c r="H57" s="109">
        <v>720</v>
      </c>
      <c r="I57" s="109">
        <v>400</v>
      </c>
      <c r="J57" s="109">
        <v>900</v>
      </c>
      <c r="K57" s="109">
        <v>300</v>
      </c>
      <c r="L57" s="109">
        <v>400</v>
      </c>
      <c r="M57" s="178"/>
      <c r="N57" s="180"/>
      <c r="O57" s="111">
        <v>1780</v>
      </c>
      <c r="P57" s="200"/>
      <c r="Q57" s="200"/>
      <c r="R57" s="161">
        <f>'комплекты фурнитуры'!$C$3</f>
        <v>550</v>
      </c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>
        <f>'комплекты фурнитуры'!$C$72</f>
        <v>210</v>
      </c>
      <c r="AG57" s="161">
        <f>'комплекты фурнитуры'!$C$73</f>
        <v>30</v>
      </c>
      <c r="AH57" s="196">
        <f>SUM(Прайс[[#This Row],[КФ НСТ11]:[KFPr-SB-ZPG]])</f>
        <v>790</v>
      </c>
      <c r="AI57" s="196"/>
      <c r="AJ57" s="161"/>
      <c r="AK57" s="161"/>
      <c r="AL57" s="161"/>
      <c r="AM57" s="196"/>
      <c r="AN57" s="196"/>
      <c r="AO57" s="196"/>
      <c r="AP57" s="196"/>
      <c r="AQ57" s="196"/>
      <c r="AR57" s="196"/>
      <c r="AS57" s="196"/>
      <c r="AT57" s="196"/>
      <c r="AU57" s="196"/>
      <c r="AV57" s="196"/>
      <c r="AW57" s="196"/>
      <c r="AX57" s="196"/>
      <c r="AY57" s="196"/>
      <c r="AZ57" s="196">
        <f>'комплекты фурнитуры'!$C$69</f>
        <v>13990</v>
      </c>
      <c r="BA57" s="196"/>
      <c r="BB57" s="196"/>
      <c r="BC57" s="196"/>
      <c r="BD57" s="196"/>
      <c r="BE57" s="196"/>
      <c r="BF57" s="196"/>
      <c r="BG57" s="196"/>
      <c r="BH57" s="196"/>
      <c r="BI57" s="196"/>
      <c r="BJ57" s="196"/>
      <c r="BK57" s="196"/>
      <c r="BL57" s="196"/>
      <c r="BM57" s="196"/>
      <c r="BN57" s="196"/>
      <c r="BO57" s="196">
        <f>'комплекты фурнитуры'!$C$81</f>
        <v>1110</v>
      </c>
      <c r="BP57" s="197">
        <f>Прайс[[#This Row],[KFP-SB-PPHF_W]]</f>
        <v>13990</v>
      </c>
      <c r="BQ57" s="197">
        <f>Прайс[[#This Row],[KFP-SB-PPHF_W]]</f>
        <v>13990</v>
      </c>
      <c r="BR57" s="197">
        <f>Прайс[[#This Row],[KFP-SB-PPHF_W]]</f>
        <v>13990</v>
      </c>
      <c r="BS57" s="162">
        <v>300</v>
      </c>
      <c r="BT57" s="162">
        <v>720</v>
      </c>
      <c r="BU57" s="162">
        <f>IF(OR(Прайс[[#This Row],[Тип]]="Нижний",Прайс[[#This Row],[Тип]]="Пенал"),"560",IF(Прайс[[#This Row],[Тип]]="Верхний",315,0))</f>
        <v>315</v>
      </c>
      <c r="BV57" s="199">
        <v>1.08</v>
      </c>
      <c r="BW57" s="199">
        <v>1.0649999999999999</v>
      </c>
      <c r="BX57" s="198">
        <v>1.3</v>
      </c>
      <c r="BY57" s="162">
        <v>1</v>
      </c>
      <c r="BZ57" s="162">
        <v>1</v>
      </c>
      <c r="CA57" s="162" t="s">
        <v>10</v>
      </c>
      <c r="CB57" s="198" t="s">
        <v>475</v>
      </c>
      <c r="CC57" s="162">
        <v>1</v>
      </c>
      <c r="CD57" s="162" t="s">
        <v>71</v>
      </c>
      <c r="CE57" s="162">
        <v>1960</v>
      </c>
      <c r="CF57" s="1"/>
      <c r="CG57" s="1"/>
      <c r="CH57" s="1">
        <v>2</v>
      </c>
      <c r="CI57" s="162">
        <v>0</v>
      </c>
      <c r="CJ57" s="162">
        <v>0</v>
      </c>
      <c r="CK57" s="162"/>
      <c r="CL57" s="162"/>
      <c r="CM57" s="162"/>
      <c r="CN57" s="162"/>
    </row>
    <row r="58" spans="1:92" s="152" customFormat="1" ht="15" customHeight="1" x14ac:dyDescent="0.25">
      <c r="A58" s="148" t="s">
        <v>852</v>
      </c>
      <c r="B58" s="149" t="s">
        <v>7</v>
      </c>
      <c r="C58" s="149" t="s">
        <v>853</v>
      </c>
      <c r="D58" s="149" t="s">
        <v>69</v>
      </c>
      <c r="E58" s="149" t="s">
        <v>71</v>
      </c>
      <c r="F58" s="149" t="s">
        <v>87</v>
      </c>
      <c r="G58" s="150">
        <v>360</v>
      </c>
      <c r="H58" s="150">
        <v>1250</v>
      </c>
      <c r="I58" s="150">
        <v>595</v>
      </c>
      <c r="J58" s="150">
        <v>1000</v>
      </c>
      <c r="K58" s="150">
        <v>315</v>
      </c>
      <c r="L58" s="150">
        <v>560</v>
      </c>
      <c r="M58" s="178"/>
      <c r="N58" s="180"/>
      <c r="O58" s="111">
        <v>2960</v>
      </c>
      <c r="P58" s="200"/>
      <c r="Q58" s="200"/>
      <c r="R58" s="161"/>
      <c r="S58" s="161"/>
      <c r="T58" s="161"/>
      <c r="U58" s="161"/>
      <c r="V58" s="161"/>
      <c r="W58" s="161"/>
      <c r="X58" s="161"/>
      <c r="Y58" s="161"/>
      <c r="Z58" s="161"/>
      <c r="AA58" s="161">
        <f>'комплекты фурнитуры'!$C$15</f>
        <v>1130</v>
      </c>
      <c r="AB58" s="161"/>
      <c r="AC58" s="161"/>
      <c r="AD58" s="161"/>
      <c r="AE58" s="161"/>
      <c r="AF58" s="161">
        <f>'комплекты фурнитуры'!$C$72</f>
        <v>210</v>
      </c>
      <c r="AG58" s="161">
        <f>'комплекты фурнитуры'!$C$73</f>
        <v>30</v>
      </c>
      <c r="AH58" s="196">
        <f>SUM(Прайс[[#This Row],[КФ НСТ11]:[KFPr-SB-ZPG]])</f>
        <v>1370</v>
      </c>
      <c r="AI58" s="196"/>
      <c r="AJ58" s="161">
        <f>'комплекты фурнитуры'!$C$78</f>
        <v>30</v>
      </c>
      <c r="AK58" s="161"/>
      <c r="AL58" s="161"/>
      <c r="AM58" s="196"/>
      <c r="AN58" s="196"/>
      <c r="AO58" s="196">
        <f>'комплекты фурнитуры'!$C$56</f>
        <v>1300</v>
      </c>
      <c r="AP58" s="196">
        <f>'комплекты фурнитуры'!$C$58</f>
        <v>480</v>
      </c>
      <c r="AQ58" s="196"/>
      <c r="AR58" s="196"/>
      <c r="AS58" s="196"/>
      <c r="AT58" s="196"/>
      <c r="AU58" s="196"/>
      <c r="AV58" s="196"/>
      <c r="AW58" s="196"/>
      <c r="AX58" s="196"/>
      <c r="AY58" s="196"/>
      <c r="AZ58" s="196"/>
      <c r="BA58" s="196"/>
      <c r="BB58" s="196"/>
      <c r="BC58" s="196"/>
      <c r="BD58" s="196"/>
      <c r="BE58" s="196"/>
      <c r="BF58" s="196"/>
      <c r="BG58" s="196"/>
      <c r="BH58" s="196"/>
      <c r="BI58" s="196"/>
      <c r="BJ58" s="196"/>
      <c r="BK58" s="196"/>
      <c r="BL58" s="196"/>
      <c r="BM58" s="196"/>
      <c r="BN58" s="196"/>
      <c r="BO58" s="196">
        <f>'комплекты фурнитуры'!$C$81</f>
        <v>1110</v>
      </c>
      <c r="BP58" s="197">
        <f>Прайс[[#This Row],[KFPr-SB-SPL]]+Прайс[[#This Row],[КФ петли вклад. 95 гр. с крестообр. планкой]]*2</f>
        <v>2630</v>
      </c>
      <c r="BQ58" s="198">
        <f>Прайс[[#This Row],[KFP-SB-PY94]]*2</f>
        <v>960</v>
      </c>
      <c r="BR58" s="198">
        <f>Прайс[[#This Row],[KFP-SB-PY94]]*2</f>
        <v>960</v>
      </c>
      <c r="BS58" s="162">
        <v>600</v>
      </c>
      <c r="BT58" s="162">
        <v>720</v>
      </c>
      <c r="BU58" s="162">
        <f>IF(OR(Прайс[[#This Row],[Тип]]="Нижний",Прайс[[#This Row],[Тип]]="Пенал"),"560",IF(Прайс[[#This Row],[Тип]]="Верхний",315,0))</f>
        <v>315</v>
      </c>
      <c r="BV58" s="199">
        <v>1.08</v>
      </c>
      <c r="BW58" s="199">
        <v>1.0649999999999999</v>
      </c>
      <c r="BX58" s="198">
        <v>0</v>
      </c>
      <c r="BY58" s="162">
        <v>1</v>
      </c>
      <c r="BZ58" s="162">
        <v>3</v>
      </c>
      <c r="CA58" s="162" t="s">
        <v>10</v>
      </c>
      <c r="CB58" s="198" t="s">
        <v>476</v>
      </c>
      <c r="CC58" s="162">
        <v>1</v>
      </c>
      <c r="CD58" s="162" t="s">
        <v>10</v>
      </c>
      <c r="CE58" s="162">
        <v>3270</v>
      </c>
      <c r="CF58" s="151"/>
      <c r="CG58" s="151"/>
      <c r="CH58" s="151">
        <v>1</v>
      </c>
      <c r="CI58" s="162">
        <v>0</v>
      </c>
      <c r="CJ58" s="162">
        <v>0</v>
      </c>
      <c r="CK58" s="162"/>
      <c r="CL58" s="162"/>
      <c r="CM58" s="162"/>
      <c r="CN58" s="162"/>
    </row>
    <row r="59" spans="1:92" ht="15" customHeight="1" x14ac:dyDescent="0.25">
      <c r="A59" s="115" t="s">
        <v>27</v>
      </c>
      <c r="B59" s="101" t="s">
        <v>7</v>
      </c>
      <c r="C59" s="101" t="s">
        <v>845</v>
      </c>
      <c r="D59" s="101" t="s">
        <v>73</v>
      </c>
      <c r="E59" s="101" t="s">
        <v>10</v>
      </c>
      <c r="F59" s="101" t="s">
        <v>91</v>
      </c>
      <c r="G59" s="109">
        <v>240</v>
      </c>
      <c r="H59" s="109">
        <v>2400</v>
      </c>
      <c r="I59" s="109">
        <v>50</v>
      </c>
      <c r="J59" s="109">
        <v>100</v>
      </c>
      <c r="K59" s="109">
        <v>315</v>
      </c>
      <c r="L59" s="109">
        <v>700</v>
      </c>
      <c r="M59" s="178"/>
      <c r="N59" s="180"/>
      <c r="O59" s="111">
        <v>1940</v>
      </c>
      <c r="P59" s="200"/>
      <c r="Q59" s="200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>
        <f>'комплекты фурнитуры'!$C$18</f>
        <v>600</v>
      </c>
      <c r="AE59" s="161"/>
      <c r="AF59" s="161"/>
      <c r="AG59" s="161"/>
      <c r="AH59" s="196">
        <f>SUM(Прайс[[#This Row],[КФ НСТ11]:[KFPr-SB-ZPG]])</f>
        <v>600</v>
      </c>
      <c r="AI59" s="196"/>
      <c r="AJ59" s="161"/>
      <c r="AK59" s="161"/>
      <c r="AL59" s="161"/>
      <c r="AM59" s="196"/>
      <c r="AN59" s="196"/>
      <c r="AO59" s="196"/>
      <c r="AP59" s="196"/>
      <c r="AQ59" s="196"/>
      <c r="AR59" s="196"/>
      <c r="AS59" s="196"/>
      <c r="AT59" s="196"/>
      <c r="AU59" s="196"/>
      <c r="AV59" s="196"/>
      <c r="AW59" s="196"/>
      <c r="AX59" s="196"/>
      <c r="AY59" s="196"/>
      <c r="AZ59" s="196"/>
      <c r="BA59" s="196"/>
      <c r="BB59" s="196"/>
      <c r="BC59" s="196"/>
      <c r="BD59" s="196"/>
      <c r="BE59" s="196"/>
      <c r="BF59" s="196"/>
      <c r="BG59" s="196"/>
      <c r="BH59" s="196"/>
      <c r="BI59" s="196"/>
      <c r="BJ59" s="196"/>
      <c r="BK59" s="196"/>
      <c r="BL59" s="196"/>
      <c r="BM59" s="196"/>
      <c r="BN59" s="196"/>
      <c r="BO59" s="196"/>
      <c r="BP59" s="197">
        <v>0</v>
      </c>
      <c r="BQ59" s="198">
        <v>0</v>
      </c>
      <c r="BR59" s="198">
        <v>0</v>
      </c>
      <c r="BS59" s="162">
        <v>100</v>
      </c>
      <c r="BT59" s="162">
        <v>720</v>
      </c>
      <c r="BU59" s="162">
        <v>560</v>
      </c>
      <c r="BV59" s="199">
        <v>1.08</v>
      </c>
      <c r="BW59" s="199">
        <v>1.0649999999999999</v>
      </c>
      <c r="BX59" s="198">
        <v>1.3</v>
      </c>
      <c r="BY59" s="162">
        <v>0</v>
      </c>
      <c r="BZ59" s="162">
        <v>0</v>
      </c>
      <c r="CA59" s="162" t="s">
        <v>10</v>
      </c>
      <c r="CB59" s="198" t="s">
        <v>474</v>
      </c>
      <c r="CC59" s="162">
        <v>0</v>
      </c>
      <c r="CD59" s="162" t="s">
        <v>10</v>
      </c>
      <c r="CE59" s="162">
        <v>2170</v>
      </c>
      <c r="CF59" s="1"/>
      <c r="CG59" s="1"/>
      <c r="CH59" s="1">
        <v>1</v>
      </c>
      <c r="CI59" s="162">
        <v>0</v>
      </c>
      <c r="CJ59" s="162">
        <v>0</v>
      </c>
      <c r="CK59" s="162"/>
      <c r="CL59" s="162"/>
      <c r="CM59" s="162"/>
      <c r="CN59" s="162"/>
    </row>
    <row r="60" spans="1:92" ht="15" customHeight="1" x14ac:dyDescent="0.25">
      <c r="A60" s="116" t="s">
        <v>35</v>
      </c>
      <c r="B60" s="101" t="s">
        <v>7</v>
      </c>
      <c r="C60" s="101" t="s">
        <v>791</v>
      </c>
      <c r="D60" s="101" t="s">
        <v>75</v>
      </c>
      <c r="E60" s="101" t="s">
        <v>10</v>
      </c>
      <c r="F60" s="101" t="s">
        <v>87</v>
      </c>
      <c r="G60" s="109">
        <v>720</v>
      </c>
      <c r="H60" s="109">
        <v>720</v>
      </c>
      <c r="I60" s="109">
        <v>210</v>
      </c>
      <c r="J60" s="109">
        <v>210</v>
      </c>
      <c r="K60" s="109">
        <v>300</v>
      </c>
      <c r="L60" s="109">
        <v>500</v>
      </c>
      <c r="M60" s="178"/>
      <c r="N60" s="180" t="s">
        <v>55</v>
      </c>
      <c r="O60" s="111">
        <v>2170</v>
      </c>
      <c r="P60" s="200"/>
      <c r="Q60" s="200"/>
      <c r="R60" s="161"/>
      <c r="S60" s="161"/>
      <c r="T60" s="161"/>
      <c r="U60" s="161"/>
      <c r="V60" s="161">
        <f>'комплекты фурнитуры'!$C$9</f>
        <v>950</v>
      </c>
      <c r="W60" s="161"/>
      <c r="X60" s="161"/>
      <c r="Y60" s="161"/>
      <c r="Z60" s="161"/>
      <c r="AA60" s="161"/>
      <c r="AB60" s="161"/>
      <c r="AC60" s="161"/>
      <c r="AD60" s="161"/>
      <c r="AE60" s="161"/>
      <c r="AF60" s="161"/>
      <c r="AG60" s="161"/>
      <c r="AH60" s="196">
        <f>SUM(Прайс[[#This Row],[КФ НСТ11]:[KFPr-SB-ZPG]])</f>
        <v>950</v>
      </c>
      <c r="AI60" s="196">
        <f>'комплекты фурнитуры'!$C$79</f>
        <v>40</v>
      </c>
      <c r="AJ60" s="161"/>
      <c r="AK60" s="161"/>
      <c r="AL60" s="161"/>
      <c r="AM60" s="196"/>
      <c r="AN60" s="196"/>
      <c r="AO60" s="196"/>
      <c r="AP60" s="196"/>
      <c r="AQ60" s="196">
        <f>'комплекты фурнитуры'!$C$54</f>
        <v>1560</v>
      </c>
      <c r="AR60" s="196">
        <f>'комплекты фурнитуры'!$C$55</f>
        <v>190</v>
      </c>
      <c r="AS60" s="196"/>
      <c r="AT60" s="196"/>
      <c r="AU60" s="196"/>
      <c r="AV60" s="196"/>
      <c r="AW60" s="196"/>
      <c r="AX60" s="196"/>
      <c r="AY60" s="196"/>
      <c r="AZ60" s="196"/>
      <c r="BA60" s="196"/>
      <c r="BB60" s="196"/>
      <c r="BC60" s="196"/>
      <c r="BD60" s="196"/>
      <c r="BE60" s="196"/>
      <c r="BF60" s="196"/>
      <c r="BG60" s="196"/>
      <c r="BH60" s="196"/>
      <c r="BI60" s="196"/>
      <c r="BJ60" s="196"/>
      <c r="BK60" s="196"/>
      <c r="BL60" s="196"/>
      <c r="BM60" s="196"/>
      <c r="BN60" s="196"/>
      <c r="BO60" s="196"/>
      <c r="BP60" s="197">
        <f>Прайс[[#This Row],[ KFPr-SB-StK ]]*2+Прайс[[#This Row],[КKFP-SB-GT45]]*2</f>
        <v>3200</v>
      </c>
      <c r="BQ60" s="198">
        <f>Прайс[[#This Row],[ KFPr-SB-StK ]]*2+Прайс[[#This Row],[KFP-SB-N45]]*2</f>
        <v>460</v>
      </c>
      <c r="BR60" s="198">
        <f>Прайс[[#This Row],[KFP-SB-N45]]*2</f>
        <v>380</v>
      </c>
      <c r="BS60" s="162">
        <v>210</v>
      </c>
      <c r="BT60" s="162">
        <v>960</v>
      </c>
      <c r="BU60" s="162">
        <f>IF(OR(Прайс[[#This Row],[Тип]]="Нижний",Прайс[[#This Row],[Тип]]="Пенал"),"560",IF(Прайс[[#This Row],[Тип]]="Верхний",315,0))</f>
        <v>315</v>
      </c>
      <c r="BV60" s="199">
        <v>1.08</v>
      </c>
      <c r="BW60" s="199">
        <v>1.0649999999999999</v>
      </c>
      <c r="BX60" s="198">
        <v>1.3</v>
      </c>
      <c r="BY60" s="162">
        <v>1</v>
      </c>
      <c r="BZ60" s="162">
        <v>3</v>
      </c>
      <c r="CA60" s="162" t="s">
        <v>71</v>
      </c>
      <c r="CB60" s="198" t="s">
        <v>474</v>
      </c>
      <c r="CC60" s="162">
        <v>2</v>
      </c>
      <c r="CD60" s="162" t="s">
        <v>10</v>
      </c>
      <c r="CE60" s="162">
        <v>2400</v>
      </c>
      <c r="CF60" s="1"/>
      <c r="CG60" s="1"/>
      <c r="CH60" s="1">
        <v>1</v>
      </c>
      <c r="CI60" s="162">
        <v>0</v>
      </c>
      <c r="CJ60" s="162">
        <v>0</v>
      </c>
      <c r="CK60" s="162"/>
      <c r="CL60" s="162"/>
      <c r="CM60" s="162"/>
      <c r="CN60" s="162"/>
    </row>
    <row r="61" spans="1:92" ht="15" customHeight="1" x14ac:dyDescent="0.25">
      <c r="A61" s="115" t="s">
        <v>36</v>
      </c>
      <c r="B61" s="101" t="s">
        <v>9</v>
      </c>
      <c r="C61" s="101" t="s">
        <v>792</v>
      </c>
      <c r="D61" s="101" t="s">
        <v>73</v>
      </c>
      <c r="E61" s="101" t="s">
        <v>10</v>
      </c>
      <c r="F61" s="101" t="s">
        <v>87</v>
      </c>
      <c r="G61" s="109">
        <v>1220</v>
      </c>
      <c r="H61" s="109">
        <v>1500</v>
      </c>
      <c r="I61" s="109">
        <v>150</v>
      </c>
      <c r="J61" s="109">
        <v>600</v>
      </c>
      <c r="K61" s="109">
        <v>300</v>
      </c>
      <c r="L61" s="109">
        <v>640</v>
      </c>
      <c r="M61" s="178"/>
      <c r="N61" s="180"/>
      <c r="O61" s="111">
        <v>5220</v>
      </c>
      <c r="P61" s="200"/>
      <c r="Q61" s="200"/>
      <c r="R61" s="161"/>
      <c r="S61" s="161"/>
      <c r="T61" s="161"/>
      <c r="U61" s="161"/>
      <c r="V61" s="161"/>
      <c r="W61" s="161"/>
      <c r="X61" s="161"/>
      <c r="Y61" s="161">
        <f>'комплекты фурнитуры'!$C$13</f>
        <v>740</v>
      </c>
      <c r="Z61" s="161"/>
      <c r="AA61" s="161"/>
      <c r="AB61" s="161"/>
      <c r="AC61" s="161"/>
      <c r="AD61" s="161"/>
      <c r="AE61" s="161">
        <f>'комплекты фурнитуры'!$C$23*2</f>
        <v>560</v>
      </c>
      <c r="AF61" s="161"/>
      <c r="AG61" s="161"/>
      <c r="AH61" s="196">
        <f>SUM(Прайс[[#This Row],[КФ НСТ11]:[KFPr-SB-ZPG]])</f>
        <v>1300</v>
      </c>
      <c r="AI61" s="196"/>
      <c r="AJ61" s="161"/>
      <c r="AK61" s="161"/>
      <c r="AL61" s="203"/>
      <c r="AM61" s="196">
        <f>'комплекты фурнитуры'!$C$62</f>
        <v>620</v>
      </c>
      <c r="AN61" s="196">
        <f>'комплекты фурнитуры'!$C$63</f>
        <v>130</v>
      </c>
      <c r="AO61" s="196"/>
      <c r="AP61" s="196"/>
      <c r="AQ61" s="196"/>
      <c r="AR61" s="196"/>
      <c r="AS61" s="196"/>
      <c r="AT61" s="196"/>
      <c r="AU61" s="196"/>
      <c r="AV61" s="196"/>
      <c r="AW61" s="201"/>
      <c r="AX61" s="196"/>
      <c r="AY61" s="201"/>
      <c r="AZ61" s="196"/>
      <c r="BA61" s="196"/>
      <c r="BB61" s="201"/>
      <c r="BC61" s="201"/>
      <c r="BD61" s="201"/>
      <c r="BE61" s="201"/>
      <c r="BF61" s="201"/>
      <c r="BG61" s="201"/>
      <c r="BH61" s="201"/>
      <c r="BI61" s="201"/>
      <c r="BJ61" s="196"/>
      <c r="BK61" s="196"/>
      <c r="BL61" s="196"/>
      <c r="BM61" s="196"/>
      <c r="BN61" s="196"/>
      <c r="BO61" s="196"/>
      <c r="BP61" s="197">
        <f>Прайс[[#This Row],[КФ петли SENS накл.110 гр. с крестообр. Планкой]]*3</f>
        <v>1860</v>
      </c>
      <c r="BQ61" s="198">
        <f>Прайс[[#This Row],[KFP-SB-N110]]*3</f>
        <v>390</v>
      </c>
      <c r="BR61" s="198">
        <f>Прайс[[#This Row],[KFP-SB-N110]]*3</f>
        <v>390</v>
      </c>
      <c r="BS61" s="162">
        <v>600</v>
      </c>
      <c r="BT61" s="162">
        <v>1320</v>
      </c>
      <c r="BU61" s="162" t="str">
        <f>IF(OR(Прайс[[#This Row],[Тип]]="Нижний",Прайс[[#This Row],[Тип]]="Пенал"),"560",IF(Прайс[[#This Row],[Тип]]="Верхний",315,0))</f>
        <v>560</v>
      </c>
      <c r="BV61" s="199">
        <v>1.08</v>
      </c>
      <c r="BW61" s="199">
        <v>1.0649999999999999</v>
      </c>
      <c r="BX61" s="198">
        <v>1.3</v>
      </c>
      <c r="BY61" s="162">
        <v>2</v>
      </c>
      <c r="BZ61" s="162">
        <v>2</v>
      </c>
      <c r="CA61" s="162" t="s">
        <v>71</v>
      </c>
      <c r="CB61" s="198" t="s">
        <v>474</v>
      </c>
      <c r="CC61" s="162">
        <v>2</v>
      </c>
      <c r="CD61" s="162" t="s">
        <v>71</v>
      </c>
      <c r="CE61" s="162">
        <v>6930</v>
      </c>
      <c r="CF61" s="1"/>
      <c r="CG61" s="1"/>
      <c r="CH61" s="1">
        <v>1</v>
      </c>
      <c r="CI61" s="162">
        <v>0</v>
      </c>
      <c r="CJ61" s="162">
        <v>0</v>
      </c>
      <c r="CK61" s="162"/>
      <c r="CL61" s="162"/>
      <c r="CM61" s="162"/>
      <c r="CN61" s="162"/>
    </row>
    <row r="62" spans="1:92" ht="15" customHeight="1" x14ac:dyDescent="0.25">
      <c r="A62" s="115" t="s">
        <v>37</v>
      </c>
      <c r="B62" s="101" t="s">
        <v>9</v>
      </c>
      <c r="C62" s="101" t="s">
        <v>793</v>
      </c>
      <c r="D62" s="101" t="s">
        <v>73</v>
      </c>
      <c r="E62" s="101" t="s">
        <v>71</v>
      </c>
      <c r="F62" s="101" t="s">
        <v>87</v>
      </c>
      <c r="G62" s="109">
        <v>1220</v>
      </c>
      <c r="H62" s="109">
        <v>1500</v>
      </c>
      <c r="I62" s="109">
        <v>150</v>
      </c>
      <c r="J62" s="109">
        <v>600</v>
      </c>
      <c r="K62" s="109">
        <v>300</v>
      </c>
      <c r="L62" s="109">
        <v>640</v>
      </c>
      <c r="M62" s="178"/>
      <c r="N62" s="180"/>
      <c r="O62" s="111">
        <v>5637.6</v>
      </c>
      <c r="P62" s="200">
        <v>740</v>
      </c>
      <c r="Q62" s="200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>
        <f>'комплекты фурнитуры'!$C$23*2</f>
        <v>560</v>
      </c>
      <c r="AF62" s="161"/>
      <c r="AG62" s="161"/>
      <c r="AH62" s="196">
        <f>SUM(Прайс[[#This Row],[КФ НСТ11]:[KFPr-SB-ZPG]])</f>
        <v>1300</v>
      </c>
      <c r="AI62" s="196"/>
      <c r="AJ62" s="161"/>
      <c r="AK62" s="161"/>
      <c r="AL62" s="203">
        <f>'комплекты фурнитуры'!$C$85</f>
        <v>290</v>
      </c>
      <c r="AM62" s="196">
        <f>'комплекты фурнитуры'!$C$62</f>
        <v>620</v>
      </c>
      <c r="AN62" s="201"/>
      <c r="AO62" s="196"/>
      <c r="AP62" s="196"/>
      <c r="AQ62" s="196"/>
      <c r="AR62" s="196"/>
      <c r="AS62" s="196"/>
      <c r="AT62" s="196"/>
      <c r="AU62" s="196"/>
      <c r="AV62" s="196"/>
      <c r="AW62" s="201"/>
      <c r="AX62" s="196"/>
      <c r="AY62" s="201"/>
      <c r="AZ62" s="196"/>
      <c r="BA62" s="196"/>
      <c r="BB62" s="201"/>
      <c r="BC62" s="201"/>
      <c r="BD62" s="201"/>
      <c r="BE62" s="201"/>
      <c r="BF62" s="201"/>
      <c r="BG62" s="201"/>
      <c r="BH62" s="201"/>
      <c r="BI62" s="201"/>
      <c r="BJ62" s="196"/>
      <c r="BK62" s="196"/>
      <c r="BL62" s="196"/>
      <c r="BM62" s="196"/>
      <c r="BN62" s="196"/>
      <c r="BO62" s="196"/>
      <c r="BP62" s="197">
        <f>Прайс[[#This Row],[КФ KEKU]]*4+Прайс[[#This Row],[КФ петли SENS накл.110 гр. с крестообр. Планкой]]*3</f>
        <v>3020</v>
      </c>
      <c r="BQ62" s="197">
        <f>Прайс[[#This Row],[КФ KEKU]]*4+Прайс[[#This Row],[КФ петли SENS накл.110 гр. с крестообр. Планкой]]*3</f>
        <v>3020</v>
      </c>
      <c r="BR62" s="197">
        <f>Прайс[[#This Row],[КФ KEKU]]*4+Прайс[[#This Row],[КФ петли SENS накл.110 гр. с крестообр. Планкой]]*3</f>
        <v>3020</v>
      </c>
      <c r="BS62" s="162">
        <v>600</v>
      </c>
      <c r="BT62" s="162">
        <v>1320</v>
      </c>
      <c r="BU62" s="162" t="str">
        <f>IF(OR(Прайс[[#This Row],[Тип]]="Нижний",Прайс[[#This Row],[Тип]]="Пенал"),"560",IF(Прайс[[#This Row],[Тип]]="Верхний",315,0))</f>
        <v>560</v>
      </c>
      <c r="BV62" s="199">
        <v>1.08</v>
      </c>
      <c r="BW62" s="199">
        <v>1.0649999999999999</v>
      </c>
      <c r="BX62" s="198">
        <v>1.3</v>
      </c>
      <c r="BY62" s="162">
        <v>2</v>
      </c>
      <c r="BZ62" s="162">
        <v>2</v>
      </c>
      <c r="CA62" s="162" t="s">
        <v>10</v>
      </c>
      <c r="CB62" s="198" t="s">
        <v>475</v>
      </c>
      <c r="CC62" s="162">
        <v>2</v>
      </c>
      <c r="CD62" s="162" t="s">
        <v>71</v>
      </c>
      <c r="CE62" s="162">
        <v>6404.4</v>
      </c>
      <c r="CF62" s="1"/>
      <c r="CG62" s="1"/>
      <c r="CH62" s="1">
        <v>1</v>
      </c>
      <c r="CI62" s="162">
        <v>0</v>
      </c>
      <c r="CJ62" s="162">
        <v>0</v>
      </c>
      <c r="CK62" s="162"/>
      <c r="CL62" s="162"/>
      <c r="CM62" s="162"/>
      <c r="CN62" s="162"/>
    </row>
    <row r="63" spans="1:92" ht="15" customHeight="1" x14ac:dyDescent="0.25">
      <c r="A63" s="115" t="s">
        <v>502</v>
      </c>
      <c r="B63" s="101" t="s">
        <v>9</v>
      </c>
      <c r="C63" s="101" t="s">
        <v>794</v>
      </c>
      <c r="D63" s="101" t="s">
        <v>73</v>
      </c>
      <c r="E63" s="101" t="s">
        <v>10</v>
      </c>
      <c r="F63" s="101" t="s">
        <v>96</v>
      </c>
      <c r="G63" s="109">
        <v>1187</v>
      </c>
      <c r="H63" s="109">
        <v>1187</v>
      </c>
      <c r="I63" s="109">
        <v>600</v>
      </c>
      <c r="J63" s="109">
        <v>600</v>
      </c>
      <c r="K63" s="109">
        <v>560</v>
      </c>
      <c r="L63" s="109">
        <v>560</v>
      </c>
      <c r="M63" s="178"/>
      <c r="N63" s="180" t="s">
        <v>65</v>
      </c>
      <c r="O63" s="111">
        <v>5220</v>
      </c>
      <c r="P63" s="200"/>
      <c r="Q63" s="200"/>
      <c r="R63" s="161"/>
      <c r="S63" s="161"/>
      <c r="T63" s="161"/>
      <c r="U63" s="161"/>
      <c r="V63" s="161"/>
      <c r="W63" s="161"/>
      <c r="X63" s="161"/>
      <c r="Y63" s="161">
        <f>'комплекты фурнитуры'!$C$13</f>
        <v>740</v>
      </c>
      <c r="Z63" s="161"/>
      <c r="AA63" s="161"/>
      <c r="AB63" s="161"/>
      <c r="AC63" s="161"/>
      <c r="AD63" s="161"/>
      <c r="AE63" s="161">
        <f>'комплекты фурнитуры'!$C$23*2</f>
        <v>560</v>
      </c>
      <c r="AF63" s="161"/>
      <c r="AG63" s="161"/>
      <c r="AH63" s="196">
        <f>SUM(Прайс[[#This Row],[КФ НСТ11]:[KFPr-SB-ZPG]])</f>
        <v>1300</v>
      </c>
      <c r="AI63" s="196"/>
      <c r="AJ63" s="161"/>
      <c r="AK63" s="161"/>
      <c r="AL63" s="203"/>
      <c r="AM63" s="196">
        <f>'комплекты фурнитуры'!$C$62</f>
        <v>620</v>
      </c>
      <c r="AN63" s="196">
        <f>'комплекты фурнитуры'!$C$63</f>
        <v>130</v>
      </c>
      <c r="AO63" s="196"/>
      <c r="AP63" s="196"/>
      <c r="AQ63" s="196"/>
      <c r="AR63" s="196"/>
      <c r="AS63" s="196"/>
      <c r="AT63" s="196"/>
      <c r="AU63" s="196"/>
      <c r="AV63" s="196"/>
      <c r="AW63" s="201"/>
      <c r="AX63" s="196"/>
      <c r="AY63" s="201"/>
      <c r="AZ63" s="196"/>
      <c r="BA63" s="196"/>
      <c r="BB63" s="201"/>
      <c r="BC63" s="201"/>
      <c r="BD63" s="201"/>
      <c r="BE63" s="201"/>
      <c r="BF63" s="201"/>
      <c r="BG63" s="201"/>
      <c r="BH63" s="201"/>
      <c r="BI63" s="201"/>
      <c r="BJ63" s="196"/>
      <c r="BK63" s="196"/>
      <c r="BL63" s="196"/>
      <c r="BM63" s="196"/>
      <c r="BN63" s="196"/>
      <c r="BO63" s="196"/>
      <c r="BP63" s="197">
        <f>Прайс[[#This Row],[КФ петли SENS накл.110 гр. с крестообр. Планкой]]*2</f>
        <v>1240</v>
      </c>
      <c r="BQ63" s="198">
        <f>Прайс[[#This Row],[KFP-SB-N110]]*2</f>
        <v>260</v>
      </c>
      <c r="BR63" s="198">
        <f>Прайс[[#This Row],[KFP-SB-N110]]*2</f>
        <v>260</v>
      </c>
      <c r="BS63" s="162">
        <v>600</v>
      </c>
      <c r="BT63" s="162">
        <v>1320</v>
      </c>
      <c r="BU63" s="162" t="str">
        <f>IF(OR(Прайс[[#This Row],[Тип]]="Нижний",Прайс[[#This Row],[Тип]]="Пенал"),"560",IF(Прайс[[#This Row],[Тип]]="Верхний",315,0))</f>
        <v>560</v>
      </c>
      <c r="BV63" s="199">
        <v>1.08</v>
      </c>
      <c r="BW63" s="199">
        <v>1.0649999999999999</v>
      </c>
      <c r="BX63" s="198">
        <v>1.3</v>
      </c>
      <c r="BY63" s="162">
        <v>1</v>
      </c>
      <c r="BZ63" s="162">
        <v>1</v>
      </c>
      <c r="CA63" s="162" t="s">
        <v>71</v>
      </c>
      <c r="CB63" s="198" t="s">
        <v>474</v>
      </c>
      <c r="CC63" s="162">
        <v>1</v>
      </c>
      <c r="CD63" s="162" t="s">
        <v>10</v>
      </c>
      <c r="CE63" s="162">
        <v>5930</v>
      </c>
      <c r="CF63" s="1"/>
      <c r="CG63" s="1"/>
      <c r="CH63" s="1">
        <v>1</v>
      </c>
      <c r="CI63" s="162">
        <v>0</v>
      </c>
      <c r="CJ63" s="162">
        <v>0</v>
      </c>
      <c r="CK63" s="162"/>
      <c r="CL63" s="162"/>
      <c r="CM63" s="162"/>
      <c r="CN63" s="162"/>
    </row>
    <row r="64" spans="1:92" ht="15" customHeight="1" x14ac:dyDescent="0.25">
      <c r="A64" s="115" t="s">
        <v>503</v>
      </c>
      <c r="B64" s="101" t="s">
        <v>9</v>
      </c>
      <c r="C64" s="101" t="s">
        <v>795</v>
      </c>
      <c r="D64" s="101" t="s">
        <v>73</v>
      </c>
      <c r="E64" s="101" t="s">
        <v>10</v>
      </c>
      <c r="F64" s="101" t="s">
        <v>96</v>
      </c>
      <c r="G64" s="109">
        <v>1320</v>
      </c>
      <c r="H64" s="109">
        <v>1320</v>
      </c>
      <c r="I64" s="109">
        <v>600</v>
      </c>
      <c r="J64" s="109">
        <v>600</v>
      </c>
      <c r="K64" s="109">
        <v>560</v>
      </c>
      <c r="L64" s="109">
        <v>560</v>
      </c>
      <c r="M64" s="178"/>
      <c r="N64" s="180" t="s">
        <v>65</v>
      </c>
      <c r="O64" s="111">
        <v>5220</v>
      </c>
      <c r="P64" s="200"/>
      <c r="Q64" s="200"/>
      <c r="R64" s="161"/>
      <c r="S64" s="161"/>
      <c r="T64" s="161"/>
      <c r="U64" s="161"/>
      <c r="V64" s="161"/>
      <c r="W64" s="161"/>
      <c r="X64" s="161"/>
      <c r="Y64" s="161">
        <f>'комплекты фурнитуры'!$C$13</f>
        <v>740</v>
      </c>
      <c r="Z64" s="161"/>
      <c r="AA64" s="161"/>
      <c r="AB64" s="161"/>
      <c r="AC64" s="161"/>
      <c r="AD64" s="161"/>
      <c r="AE64" s="161">
        <f>'комплекты фурнитуры'!$C$23*2</f>
        <v>560</v>
      </c>
      <c r="AF64" s="161"/>
      <c r="AG64" s="161"/>
      <c r="AH64" s="196">
        <f>SUM(Прайс[[#This Row],[КФ НСТ11]:[KFPr-SB-ZPG]])</f>
        <v>1300</v>
      </c>
      <c r="AI64" s="196"/>
      <c r="AJ64" s="161"/>
      <c r="AK64" s="161"/>
      <c r="AL64" s="203"/>
      <c r="AM64" s="196">
        <f>'комплекты фурнитуры'!$C$62</f>
        <v>620</v>
      </c>
      <c r="AN64" s="196">
        <f>'комплекты фурнитуры'!$C$63</f>
        <v>130</v>
      </c>
      <c r="AO64" s="196"/>
      <c r="AP64" s="196"/>
      <c r="AQ64" s="196"/>
      <c r="AR64" s="196"/>
      <c r="AS64" s="196"/>
      <c r="AT64" s="196"/>
      <c r="AU64" s="196"/>
      <c r="AV64" s="196"/>
      <c r="AW64" s="201"/>
      <c r="AX64" s="196"/>
      <c r="AY64" s="201"/>
      <c r="AZ64" s="196"/>
      <c r="BA64" s="196"/>
      <c r="BB64" s="201"/>
      <c r="BC64" s="201"/>
      <c r="BD64" s="201"/>
      <c r="BE64" s="201"/>
      <c r="BF64" s="201"/>
      <c r="BG64" s="201"/>
      <c r="BH64" s="201"/>
      <c r="BI64" s="201"/>
      <c r="BJ64" s="196"/>
      <c r="BK64" s="196"/>
      <c r="BL64" s="196"/>
      <c r="BM64" s="196"/>
      <c r="BN64" s="196"/>
      <c r="BO64" s="196"/>
      <c r="BP64" s="197">
        <f>Прайс[[#This Row],[КФ петли SENS накл.110 гр. с крестообр. Планкой]]*2</f>
        <v>1240</v>
      </c>
      <c r="BQ64" s="198">
        <f>Прайс[[#This Row],[KFP-SB-N110]]*2</f>
        <v>260</v>
      </c>
      <c r="BR64" s="198">
        <f>Прайс[[#This Row],[KFP-SB-N110]]*2</f>
        <v>260</v>
      </c>
      <c r="BS64" s="162">
        <v>600</v>
      </c>
      <c r="BT64" s="162">
        <v>1320</v>
      </c>
      <c r="BU64" s="162" t="str">
        <f>IF(OR(Прайс[[#This Row],[Тип]]="Нижний",Прайс[[#This Row],[Тип]]="Пенал"),"560",IF(Прайс[[#This Row],[Тип]]="Верхний",315,0))</f>
        <v>560</v>
      </c>
      <c r="BV64" s="199">
        <v>1.08</v>
      </c>
      <c r="BW64" s="199">
        <v>1.0649999999999999</v>
      </c>
      <c r="BX64" s="198">
        <v>1.3</v>
      </c>
      <c r="BY64" s="162">
        <v>1</v>
      </c>
      <c r="BZ64" s="162">
        <v>1</v>
      </c>
      <c r="CA64" s="162" t="s">
        <v>71</v>
      </c>
      <c r="CB64" s="198" t="s">
        <v>474</v>
      </c>
      <c r="CC64" s="162">
        <v>1</v>
      </c>
      <c r="CD64" s="162" t="s">
        <v>10</v>
      </c>
      <c r="CE64" s="162">
        <v>5930</v>
      </c>
      <c r="CF64" s="1"/>
      <c r="CG64" s="1"/>
      <c r="CH64" s="1">
        <v>1</v>
      </c>
      <c r="CI64" s="162">
        <v>0</v>
      </c>
      <c r="CJ64" s="162">
        <v>0</v>
      </c>
      <c r="CK64" s="162"/>
      <c r="CL64" s="162"/>
      <c r="CM64" s="162"/>
      <c r="CN64" s="162"/>
    </row>
    <row r="65" spans="1:92" ht="14.25" customHeight="1" x14ac:dyDescent="0.25">
      <c r="A65" s="118" t="s">
        <v>38</v>
      </c>
      <c r="B65" s="101" t="s">
        <v>9</v>
      </c>
      <c r="C65" s="101" t="s">
        <v>796</v>
      </c>
      <c r="D65" s="101" t="s">
        <v>73</v>
      </c>
      <c r="E65" s="101" t="s">
        <v>10</v>
      </c>
      <c r="F65" s="101" t="s">
        <v>96</v>
      </c>
      <c r="G65" s="109">
        <v>720</v>
      </c>
      <c r="H65" s="109">
        <v>1320</v>
      </c>
      <c r="I65" s="109">
        <v>600</v>
      </c>
      <c r="J65" s="109">
        <v>600</v>
      </c>
      <c r="K65" s="109">
        <v>560</v>
      </c>
      <c r="L65" s="109">
        <v>560</v>
      </c>
      <c r="M65" s="178"/>
      <c r="N65" s="180" t="s">
        <v>66</v>
      </c>
      <c r="O65" s="111">
        <v>5690</v>
      </c>
      <c r="P65" s="200"/>
      <c r="Q65" s="200"/>
      <c r="R65" s="161"/>
      <c r="S65" s="161"/>
      <c r="T65" s="161"/>
      <c r="U65" s="161"/>
      <c r="V65" s="161"/>
      <c r="W65" s="161"/>
      <c r="X65" s="161"/>
      <c r="Y65" s="161">
        <f>'комплекты фурнитуры'!$C$13</f>
        <v>740</v>
      </c>
      <c r="Z65" s="161"/>
      <c r="AA65" s="161"/>
      <c r="AB65" s="161"/>
      <c r="AC65" s="161"/>
      <c r="AD65" s="161"/>
      <c r="AE65" s="161">
        <f>'комплекты фурнитуры'!$C$23*2</f>
        <v>560</v>
      </c>
      <c r="AF65" s="161"/>
      <c r="AG65" s="161"/>
      <c r="AH65" s="196">
        <f>SUM(Прайс[[#This Row],[КФ НСТ11]:[KFPr-SB-ZPG]])</f>
        <v>1300</v>
      </c>
      <c r="AI65" s="196"/>
      <c r="AJ65" s="161"/>
      <c r="AK65" s="161"/>
      <c r="AL65" s="203"/>
      <c r="AM65" s="201"/>
      <c r="AN65" s="201"/>
      <c r="AO65" s="196"/>
      <c r="AP65" s="196"/>
      <c r="AQ65" s="196"/>
      <c r="AR65" s="196"/>
      <c r="AS65" s="196"/>
      <c r="AT65" s="196"/>
      <c r="AU65" s="196"/>
      <c r="AV65" s="196"/>
      <c r="AW65" s="201"/>
      <c r="AX65" s="196"/>
      <c r="AY65" s="201"/>
      <c r="AZ65" s="196"/>
      <c r="BA65" s="196"/>
      <c r="BB65" s="201"/>
      <c r="BC65" s="196">
        <f>'комплекты фурнитуры'!$C$26</f>
        <v>6660</v>
      </c>
      <c r="BD65" s="201"/>
      <c r="BE65" s="196">
        <f>'комплекты фурнитуры'!$C$31</f>
        <v>950</v>
      </c>
      <c r="BF65" s="196">
        <f>'комплекты фурнитуры'!$C$33</f>
        <v>170</v>
      </c>
      <c r="BG65" s="201"/>
      <c r="BH65" s="196"/>
      <c r="BI65" s="196">
        <f>'комплекты фурнитуры'!$C$36</f>
        <v>6440</v>
      </c>
      <c r="BJ65" s="196"/>
      <c r="BK65" s="196"/>
      <c r="BL65" s="196"/>
      <c r="BM65" s="196"/>
      <c r="BN65" s="196"/>
      <c r="BO65" s="196"/>
      <c r="BP65" s="197">
        <f>Прайс[[#This Row],[Комплект для ящика Hettich ATIRA Серый с реллингом, NL-470, H-176]]</f>
        <v>6660</v>
      </c>
      <c r="BQ65" s="198">
        <f>Прайс[[#This Row],[KFN-SB-M15]]+Прайс[[#This Row],[KFN-SB-MD]]</f>
        <v>1120</v>
      </c>
      <c r="BR65" s="198">
        <f>Прайс[[#This Row],[Комплект ящика INNOTECH ATIRA полного выдв. с  PUSH TO OPEN , Н70,NL470,цвет серебристый]]</f>
        <v>6440</v>
      </c>
      <c r="BS65" s="162">
        <v>600</v>
      </c>
      <c r="BT65" s="162">
        <v>1320</v>
      </c>
      <c r="BU65" s="162" t="str">
        <f>IF(OR(Прайс[[#This Row],[Тип]]="Нижний",Прайс[[#This Row],[Тип]]="Пенал"),"560",IF(Прайс[[#This Row],[Тип]]="Верхний",315,0))</f>
        <v>560</v>
      </c>
      <c r="BV65" s="199">
        <v>1.08</v>
      </c>
      <c r="BW65" s="199">
        <v>1.0649999999999999</v>
      </c>
      <c r="BX65" s="198">
        <v>0</v>
      </c>
      <c r="BY65" s="162">
        <v>0</v>
      </c>
      <c r="BZ65" s="162">
        <v>0</v>
      </c>
      <c r="CA65" s="162" t="s">
        <v>10</v>
      </c>
      <c r="CB65" s="198" t="s">
        <v>476</v>
      </c>
      <c r="CC65" s="162">
        <v>0</v>
      </c>
      <c r="CD65" s="162" t="s">
        <v>10</v>
      </c>
      <c r="CE65" s="162">
        <v>6420</v>
      </c>
      <c r="CF65" s="1"/>
      <c r="CG65" s="1"/>
      <c r="CH65" s="1">
        <v>1</v>
      </c>
      <c r="CI65" s="162">
        <v>0</v>
      </c>
      <c r="CJ65" s="162">
        <v>0</v>
      </c>
      <c r="CK65" s="162"/>
      <c r="CL65" s="162"/>
      <c r="CM65" s="162"/>
      <c r="CN65" s="162"/>
    </row>
    <row r="66" spans="1:92" ht="15" customHeight="1" x14ac:dyDescent="0.25">
      <c r="A66" s="115" t="s">
        <v>39</v>
      </c>
      <c r="B66" s="101" t="s">
        <v>9</v>
      </c>
      <c r="C66" s="101" t="s">
        <v>797</v>
      </c>
      <c r="D66" s="101" t="s">
        <v>73</v>
      </c>
      <c r="E66" s="101" t="s">
        <v>10</v>
      </c>
      <c r="F66" s="101" t="s">
        <v>87</v>
      </c>
      <c r="G66" s="109">
        <v>2000</v>
      </c>
      <c r="H66" s="109">
        <v>2280</v>
      </c>
      <c r="I66" s="109">
        <v>150</v>
      </c>
      <c r="J66" s="109">
        <v>600</v>
      </c>
      <c r="K66" s="109">
        <v>300</v>
      </c>
      <c r="L66" s="109">
        <v>640</v>
      </c>
      <c r="M66" s="178"/>
      <c r="N66" s="180"/>
      <c r="O66" s="111">
        <v>6990</v>
      </c>
      <c r="P66" s="200"/>
      <c r="Q66" s="200"/>
      <c r="R66" s="161"/>
      <c r="S66" s="161"/>
      <c r="T66" s="161"/>
      <c r="U66" s="161"/>
      <c r="V66" s="161"/>
      <c r="W66" s="161"/>
      <c r="X66" s="161"/>
      <c r="Y66" s="161">
        <f>'комплекты фурнитуры'!$C$13</f>
        <v>740</v>
      </c>
      <c r="Z66" s="161"/>
      <c r="AA66" s="161"/>
      <c r="AB66" s="161"/>
      <c r="AC66" s="161"/>
      <c r="AD66" s="161"/>
      <c r="AE66" s="161">
        <f>'комплекты фурнитуры'!$C$23*2</f>
        <v>560</v>
      </c>
      <c r="AF66" s="161"/>
      <c r="AG66" s="161"/>
      <c r="AH66" s="196">
        <f>SUM(Прайс[[#This Row],[КФ НСТ11]:[KFPr-SB-ZPG]])</f>
        <v>1300</v>
      </c>
      <c r="AI66" s="196"/>
      <c r="AJ66" s="161"/>
      <c r="AK66" s="161"/>
      <c r="AL66" s="203"/>
      <c r="AM66" s="196">
        <f>'комплекты фурнитуры'!$C$62</f>
        <v>620</v>
      </c>
      <c r="AN66" s="196">
        <f>'комплекты фурнитуры'!$C$63</f>
        <v>130</v>
      </c>
      <c r="AO66" s="196"/>
      <c r="AP66" s="196"/>
      <c r="AQ66" s="196"/>
      <c r="AR66" s="196"/>
      <c r="AS66" s="196"/>
      <c r="AT66" s="196"/>
      <c r="AU66" s="196"/>
      <c r="AV66" s="196"/>
      <c r="AW66" s="201"/>
      <c r="AX66" s="196"/>
      <c r="AY66" s="201"/>
      <c r="AZ66" s="196"/>
      <c r="BA66" s="196"/>
      <c r="BB66" s="201"/>
      <c r="BC66" s="201"/>
      <c r="BD66" s="201"/>
      <c r="BE66" s="201"/>
      <c r="BF66" s="201"/>
      <c r="BG66" s="201"/>
      <c r="BH66" s="201"/>
      <c r="BI66" s="201"/>
      <c r="BJ66" s="196"/>
      <c r="BK66" s="196"/>
      <c r="BL66" s="196"/>
      <c r="BM66" s="196"/>
      <c r="BN66" s="196"/>
      <c r="BO66" s="196"/>
      <c r="BP66" s="197">
        <f>Прайс[[#This Row],[КФ петли SENS накл.110 гр. с крестообр. Планкой]]*5</f>
        <v>3100</v>
      </c>
      <c r="BQ66" s="198">
        <f>Прайс[[#This Row],[KFP-SB-N110]]*5</f>
        <v>650</v>
      </c>
      <c r="BR66" s="198">
        <f>Прайс[[#This Row],[KFP-SB-N110]]*5</f>
        <v>650</v>
      </c>
      <c r="BS66" s="162">
        <v>600</v>
      </c>
      <c r="BT66" s="162">
        <v>2040</v>
      </c>
      <c r="BU66" s="162" t="str">
        <f>IF(OR(Прайс[[#This Row],[Тип]]="Нижний",Прайс[[#This Row],[Тип]]="Пенал"),"560",IF(Прайс[[#This Row],[Тип]]="Верхний",315,0))</f>
        <v>560</v>
      </c>
      <c r="BV66" s="199">
        <v>1.08</v>
      </c>
      <c r="BW66" s="199">
        <v>1.0649999999999999</v>
      </c>
      <c r="BX66" s="198">
        <v>1.3</v>
      </c>
      <c r="BY66" s="162">
        <v>0</v>
      </c>
      <c r="BZ66" s="162">
        <v>4</v>
      </c>
      <c r="CA66" s="162" t="s">
        <v>71</v>
      </c>
      <c r="CB66" s="198" t="s">
        <v>474</v>
      </c>
      <c r="CC66" s="162">
        <v>1</v>
      </c>
      <c r="CD66" s="162" t="s">
        <v>71</v>
      </c>
      <c r="CE66" s="162">
        <v>7910</v>
      </c>
      <c r="CF66" s="1"/>
      <c r="CG66" s="1"/>
      <c r="CH66" s="1">
        <v>2</v>
      </c>
      <c r="CI66" s="162">
        <v>0</v>
      </c>
      <c r="CJ66" s="162">
        <v>0</v>
      </c>
      <c r="CK66" s="162"/>
      <c r="CL66" s="162"/>
      <c r="CM66" s="162"/>
      <c r="CN66" s="162"/>
    </row>
    <row r="67" spans="1:92" ht="15" customHeight="1" x14ac:dyDescent="0.25">
      <c r="A67" s="115" t="s">
        <v>83</v>
      </c>
      <c r="B67" s="101" t="s">
        <v>9</v>
      </c>
      <c r="C67" s="101" t="s">
        <v>798</v>
      </c>
      <c r="D67" s="101" t="s">
        <v>73</v>
      </c>
      <c r="E67" s="101" t="s">
        <v>71</v>
      </c>
      <c r="F67" s="101" t="s">
        <v>87</v>
      </c>
      <c r="G67" s="109">
        <v>2000</v>
      </c>
      <c r="H67" s="109">
        <v>2280</v>
      </c>
      <c r="I67" s="109">
        <v>150</v>
      </c>
      <c r="J67" s="109">
        <v>600</v>
      </c>
      <c r="K67" s="109">
        <v>300</v>
      </c>
      <c r="L67" s="109">
        <v>640</v>
      </c>
      <c r="M67" s="178"/>
      <c r="N67" s="180"/>
      <c r="O67" s="111">
        <v>7549.2</v>
      </c>
      <c r="P67" s="200">
        <v>740</v>
      </c>
      <c r="Q67" s="200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>
        <f>'комплекты фурнитуры'!$C$23*2</f>
        <v>560</v>
      </c>
      <c r="AF67" s="161"/>
      <c r="AG67" s="161"/>
      <c r="AH67" s="196">
        <f>SUM(Прайс[[#This Row],[КФ НСТ11]:[KFPr-SB-ZPG]])</f>
        <v>1300</v>
      </c>
      <c r="AI67" s="196"/>
      <c r="AJ67" s="161"/>
      <c r="AK67" s="161"/>
      <c r="AL67" s="203">
        <f>'комплекты фурнитуры'!$C$85</f>
        <v>290</v>
      </c>
      <c r="AM67" s="196">
        <f>'комплекты фурнитуры'!$C$62</f>
        <v>620</v>
      </c>
      <c r="AN67" s="201"/>
      <c r="AO67" s="196"/>
      <c r="AP67" s="196"/>
      <c r="AQ67" s="196"/>
      <c r="AR67" s="196"/>
      <c r="AS67" s="196"/>
      <c r="AT67" s="196"/>
      <c r="AU67" s="196"/>
      <c r="AV67" s="196"/>
      <c r="AW67" s="201"/>
      <c r="AX67" s="196"/>
      <c r="AY67" s="201"/>
      <c r="AZ67" s="196"/>
      <c r="BA67" s="196"/>
      <c r="BB67" s="201"/>
      <c r="BC67" s="201"/>
      <c r="BD67" s="201"/>
      <c r="BE67" s="201"/>
      <c r="BF67" s="201"/>
      <c r="BG67" s="201"/>
      <c r="BH67" s="201"/>
      <c r="BI67" s="201"/>
      <c r="BJ67" s="196"/>
      <c r="BK67" s="196"/>
      <c r="BL67" s="196"/>
      <c r="BM67" s="196"/>
      <c r="BN67" s="196"/>
      <c r="BO67" s="196"/>
      <c r="BP67" s="197">
        <f>Прайс[[#This Row],[КФ KEKU]]*4+Прайс[[#This Row],[КФ петли SENS накл.110 гр. с крестообр. Планкой]]*5</f>
        <v>4260</v>
      </c>
      <c r="BQ67" s="197">
        <f>Прайс[[#This Row],[КФ KEKU]]*4+Прайс[[#This Row],[КФ петли SENS накл.110 гр. с крестообр. Планкой]]*5</f>
        <v>4260</v>
      </c>
      <c r="BR67" s="197">
        <f>Прайс[[#This Row],[КФ KEKU]]*4+Прайс[[#This Row],[КФ петли SENS накл.110 гр. с крестообр. Планкой]]*5</f>
        <v>4260</v>
      </c>
      <c r="BS67" s="162">
        <v>600</v>
      </c>
      <c r="BT67" s="162">
        <v>2040</v>
      </c>
      <c r="BU67" s="162" t="str">
        <f>IF(OR(Прайс[[#This Row],[Тип]]="Нижний",Прайс[[#This Row],[Тип]]="Пенал"),"560",IF(Прайс[[#This Row],[Тип]]="Верхний",315,0))</f>
        <v>560</v>
      </c>
      <c r="BV67" s="199">
        <v>1.08</v>
      </c>
      <c r="BW67" s="199">
        <v>1.0649999999999999</v>
      </c>
      <c r="BX67" s="198">
        <v>1.3</v>
      </c>
      <c r="BY67" s="162">
        <v>0</v>
      </c>
      <c r="BZ67" s="162">
        <v>4</v>
      </c>
      <c r="CA67" s="162" t="s">
        <v>10</v>
      </c>
      <c r="CB67" s="198" t="s">
        <v>475</v>
      </c>
      <c r="CC67" s="162">
        <v>0</v>
      </c>
      <c r="CD67" s="162" t="s">
        <v>71</v>
      </c>
      <c r="CE67" s="162">
        <v>8542.7999999999993</v>
      </c>
      <c r="CF67" s="1"/>
      <c r="CG67" s="1"/>
      <c r="CH67" s="1">
        <v>2</v>
      </c>
      <c r="CI67" s="162">
        <v>0</v>
      </c>
      <c r="CJ67" s="162">
        <v>0</v>
      </c>
      <c r="CK67" s="162"/>
      <c r="CL67" s="162"/>
      <c r="CM67" s="162"/>
      <c r="CN67" s="162"/>
    </row>
    <row r="68" spans="1:92" ht="15" customHeight="1" x14ac:dyDescent="0.25">
      <c r="A68" s="115" t="s">
        <v>40</v>
      </c>
      <c r="B68" s="101" t="s">
        <v>9</v>
      </c>
      <c r="C68" s="101" t="s">
        <v>799</v>
      </c>
      <c r="D68" s="101" t="s">
        <v>73</v>
      </c>
      <c r="E68" s="101" t="s">
        <v>10</v>
      </c>
      <c r="F68" s="101" t="s">
        <v>97</v>
      </c>
      <c r="G68" s="109">
        <v>2000</v>
      </c>
      <c r="H68" s="109">
        <v>2280</v>
      </c>
      <c r="I68" s="109">
        <v>600</v>
      </c>
      <c r="J68" s="109">
        <v>600</v>
      </c>
      <c r="K68" s="109">
        <v>560</v>
      </c>
      <c r="L68" s="109">
        <v>560</v>
      </c>
      <c r="M68" s="178"/>
      <c r="N68" s="180"/>
      <c r="O68" s="111">
        <v>5750</v>
      </c>
      <c r="P68" s="200"/>
      <c r="Q68" s="200"/>
      <c r="R68" s="161"/>
      <c r="S68" s="161"/>
      <c r="T68" s="161"/>
      <c r="U68" s="161"/>
      <c r="V68" s="161"/>
      <c r="W68" s="161"/>
      <c r="X68" s="161"/>
      <c r="Y68" s="161"/>
      <c r="Z68" s="161">
        <f>'комплекты фурнитуры'!$C$14</f>
        <v>940</v>
      </c>
      <c r="AA68" s="161"/>
      <c r="AB68" s="161"/>
      <c r="AC68" s="161"/>
      <c r="AD68" s="161"/>
      <c r="AE68" s="161">
        <f>'комплекты фурнитуры'!$C$23*2</f>
        <v>560</v>
      </c>
      <c r="AF68" s="161"/>
      <c r="AG68" s="161"/>
      <c r="AH68" s="196">
        <f>SUM(Прайс[[#This Row],[КФ НСТ11]:[KFPr-SB-ZPG]])</f>
        <v>1500</v>
      </c>
      <c r="AI68" s="196"/>
      <c r="AJ68" s="161"/>
      <c r="AK68" s="161"/>
      <c r="AL68" s="203"/>
      <c r="AM68" s="196">
        <f>'комплекты фурнитуры'!$C$62</f>
        <v>620</v>
      </c>
      <c r="AN68" s="196">
        <f>'комплекты фурнитуры'!$C$63</f>
        <v>130</v>
      </c>
      <c r="AO68" s="196"/>
      <c r="AP68" s="196"/>
      <c r="AQ68" s="196"/>
      <c r="AR68" s="196"/>
      <c r="AS68" s="196"/>
      <c r="AT68" s="196"/>
      <c r="AU68" s="196"/>
      <c r="AV68" s="196"/>
      <c r="AW68" s="201"/>
      <c r="AX68" s="196"/>
      <c r="AY68" s="201"/>
      <c r="AZ68" s="196"/>
      <c r="BA68" s="196"/>
      <c r="BB68" s="201"/>
      <c r="BC68" s="201"/>
      <c r="BD68" s="201"/>
      <c r="BE68" s="201"/>
      <c r="BF68" s="201"/>
      <c r="BG68" s="201"/>
      <c r="BH68" s="201"/>
      <c r="BI68" s="201"/>
      <c r="BJ68" s="196"/>
      <c r="BK68" s="196"/>
      <c r="BL68" s="196"/>
      <c r="BM68" s="196"/>
      <c r="BN68" s="196"/>
      <c r="BO68" s="196"/>
      <c r="BP68" s="197">
        <f>Прайс[[#This Row],[КФ петли SENS накл.110 гр. с крестообр. Планкой]]*5</f>
        <v>3100</v>
      </c>
      <c r="BQ68" s="198">
        <f>Прайс[[#This Row],[KFP-SB-N110]]*5</f>
        <v>650</v>
      </c>
      <c r="BR68" s="198">
        <f>Прайс[[#This Row],[KFP-SB-N110]]*5</f>
        <v>650</v>
      </c>
      <c r="BS68" s="162">
        <v>600</v>
      </c>
      <c r="BT68" s="162">
        <v>2040</v>
      </c>
      <c r="BU68" s="162" t="str">
        <f>IF(OR(Прайс[[#This Row],[Тип]]="Нижний",Прайс[[#This Row],[Тип]]="Пенал"),"560",IF(Прайс[[#This Row],[Тип]]="Верхний",315,0))</f>
        <v>560</v>
      </c>
      <c r="BV68" s="199">
        <v>1.08</v>
      </c>
      <c r="BW68" s="199">
        <v>1.0649999999999999</v>
      </c>
      <c r="BX68" s="198">
        <v>1.3</v>
      </c>
      <c r="BY68" s="162">
        <v>0</v>
      </c>
      <c r="BZ68" s="162">
        <v>0</v>
      </c>
      <c r="CA68" s="162" t="s">
        <v>10</v>
      </c>
      <c r="CB68" s="198" t="s">
        <v>476</v>
      </c>
      <c r="CC68" s="162">
        <v>0</v>
      </c>
      <c r="CD68" s="162" t="s">
        <v>10</v>
      </c>
      <c r="CE68" s="162">
        <v>6560</v>
      </c>
      <c r="CF68" s="1"/>
      <c r="CG68" s="1"/>
      <c r="CH68" s="1">
        <v>2</v>
      </c>
      <c r="CI68" s="162">
        <v>0</v>
      </c>
      <c r="CJ68" s="162">
        <v>0</v>
      </c>
      <c r="CK68" s="162"/>
      <c r="CL68" s="162"/>
      <c r="CM68" s="162"/>
      <c r="CN68" s="162"/>
    </row>
    <row r="69" spans="1:92" x14ac:dyDescent="0.25">
      <c r="A69" s="115" t="s">
        <v>41</v>
      </c>
      <c r="B69" s="101" t="s">
        <v>9</v>
      </c>
      <c r="C69" s="101" t="s">
        <v>800</v>
      </c>
      <c r="D69" s="101" t="s">
        <v>73</v>
      </c>
      <c r="E69" s="101" t="s">
        <v>71</v>
      </c>
      <c r="F69" s="101" t="s">
        <v>97</v>
      </c>
      <c r="G69" s="109">
        <v>2000</v>
      </c>
      <c r="H69" s="109">
        <v>2280</v>
      </c>
      <c r="I69" s="109">
        <v>600</v>
      </c>
      <c r="J69" s="109">
        <v>600</v>
      </c>
      <c r="K69" s="109">
        <v>560</v>
      </c>
      <c r="L69" s="109">
        <v>560</v>
      </c>
      <c r="M69" s="178"/>
      <c r="N69" s="180"/>
      <c r="O69" s="111">
        <v>6210</v>
      </c>
      <c r="P69" s="200"/>
      <c r="Q69" s="200"/>
      <c r="R69" s="161"/>
      <c r="S69" s="161"/>
      <c r="T69" s="161"/>
      <c r="U69" s="161"/>
      <c r="V69" s="161"/>
      <c r="W69" s="161"/>
      <c r="X69" s="161"/>
      <c r="Y69" s="161"/>
      <c r="Z69" s="161">
        <f>'комплекты фурнитуры'!$C$14</f>
        <v>940</v>
      </c>
      <c r="AA69" s="161"/>
      <c r="AB69" s="161"/>
      <c r="AC69" s="161"/>
      <c r="AD69" s="161"/>
      <c r="AE69" s="161">
        <f>'комплекты фурнитуры'!$C$23*2</f>
        <v>560</v>
      </c>
      <c r="AF69" s="161"/>
      <c r="AG69" s="161"/>
      <c r="AH69" s="196">
        <f>SUM(Прайс[[#This Row],[КФ НСТ11]:[KFPr-SB-ZPG]])</f>
        <v>1500</v>
      </c>
      <c r="AI69" s="196"/>
      <c r="AJ69" s="161"/>
      <c r="AK69" s="161"/>
      <c r="AL69" s="203">
        <f>'комплекты фурнитуры'!$C$85</f>
        <v>290</v>
      </c>
      <c r="AM69" s="196">
        <f>'комплекты фурнитуры'!$C$62</f>
        <v>620</v>
      </c>
      <c r="AN69" s="201"/>
      <c r="AO69" s="196"/>
      <c r="AP69" s="196"/>
      <c r="AQ69" s="196"/>
      <c r="AR69" s="196"/>
      <c r="AS69" s="196"/>
      <c r="AT69" s="196"/>
      <c r="AU69" s="196"/>
      <c r="AV69" s="196"/>
      <c r="AW69" s="201"/>
      <c r="AX69" s="196"/>
      <c r="AY69" s="201"/>
      <c r="AZ69" s="196"/>
      <c r="BA69" s="196"/>
      <c r="BB69" s="201"/>
      <c r="BC69" s="201"/>
      <c r="BD69" s="201"/>
      <c r="BE69" s="201"/>
      <c r="BF69" s="201"/>
      <c r="BG69" s="201"/>
      <c r="BH69" s="201"/>
      <c r="BI69" s="201"/>
      <c r="BJ69" s="196"/>
      <c r="BK69" s="196"/>
      <c r="BL69" s="196"/>
      <c r="BM69" s="196"/>
      <c r="BN69" s="196"/>
      <c r="BO69" s="196"/>
      <c r="BP69" s="197">
        <f>Прайс[[#This Row],[КФ KEKU]]*4+Прайс[[#This Row],[КФ петли SENS накл.110 гр. с крестообр. Планкой]]*5</f>
        <v>4260</v>
      </c>
      <c r="BQ69" s="197">
        <f>Прайс[[#This Row],[КФ KEKU]]*4+Прайс[[#This Row],[КФ петли SENS накл.110 гр. с крестообр. Планкой]]*5</f>
        <v>4260</v>
      </c>
      <c r="BR69" s="197">
        <f>Прайс[[#This Row],[КФ KEKU]]*4+Прайс[[#This Row],[КФ петли SENS накл.110 гр. с крестообр. Планкой]]*5</f>
        <v>4260</v>
      </c>
      <c r="BS69" s="162">
        <v>600</v>
      </c>
      <c r="BT69" s="162">
        <v>2040</v>
      </c>
      <c r="BU69" s="162" t="str">
        <f>IF(OR(Прайс[[#This Row],[Тип]]="Нижний",Прайс[[#This Row],[Тип]]="Пенал"),"560",IF(Прайс[[#This Row],[Тип]]="Верхний",315,0))</f>
        <v>560</v>
      </c>
      <c r="BV69" s="199">
        <v>1.08</v>
      </c>
      <c r="BW69" s="199">
        <v>1.0649999999999999</v>
      </c>
      <c r="BX69" s="198">
        <v>1.3</v>
      </c>
      <c r="BY69" s="162">
        <v>0</v>
      </c>
      <c r="BZ69" s="162">
        <v>1</v>
      </c>
      <c r="CA69" s="162" t="s">
        <v>10</v>
      </c>
      <c r="CB69" s="198" t="s">
        <v>475</v>
      </c>
      <c r="CC69" s="162">
        <v>0</v>
      </c>
      <c r="CD69" s="162" t="s">
        <v>10</v>
      </c>
      <c r="CE69" s="162">
        <v>7084.8</v>
      </c>
      <c r="CF69" s="1"/>
      <c r="CG69" s="1"/>
      <c r="CH69" s="1">
        <v>2</v>
      </c>
      <c r="CI69" s="162">
        <v>0</v>
      </c>
      <c r="CJ69" s="162">
        <v>0</v>
      </c>
      <c r="CK69" s="162"/>
      <c r="CL69" s="162"/>
      <c r="CM69" s="162"/>
      <c r="CN69" s="162"/>
    </row>
    <row r="70" spans="1:92" ht="15" customHeight="1" x14ac:dyDescent="0.25">
      <c r="A70" s="119" t="s">
        <v>42</v>
      </c>
      <c r="B70" s="101" t="s">
        <v>9</v>
      </c>
      <c r="C70" s="101" t="s">
        <v>801</v>
      </c>
      <c r="D70" s="101" t="s">
        <v>73</v>
      </c>
      <c r="E70" s="101" t="s">
        <v>10</v>
      </c>
      <c r="F70" s="101" t="s">
        <v>95</v>
      </c>
      <c r="G70" s="109">
        <v>2000</v>
      </c>
      <c r="H70" s="109">
        <v>2280</v>
      </c>
      <c r="I70" s="109">
        <v>300</v>
      </c>
      <c r="J70" s="109">
        <v>600</v>
      </c>
      <c r="K70" s="109">
        <v>560</v>
      </c>
      <c r="L70" s="109">
        <v>560</v>
      </c>
      <c r="M70" s="178"/>
      <c r="N70" s="180" t="s">
        <v>67</v>
      </c>
      <c r="O70" s="111">
        <v>9310</v>
      </c>
      <c r="P70" s="200"/>
      <c r="Q70" s="200"/>
      <c r="R70" s="161"/>
      <c r="S70" s="161"/>
      <c r="T70" s="161"/>
      <c r="U70" s="161"/>
      <c r="V70" s="161"/>
      <c r="W70" s="161"/>
      <c r="X70" s="161"/>
      <c r="Y70" s="161"/>
      <c r="Z70" s="161">
        <f>'комплекты фурнитуры'!$C$14</f>
        <v>940</v>
      </c>
      <c r="AA70" s="161"/>
      <c r="AB70" s="161"/>
      <c r="AC70" s="161"/>
      <c r="AD70" s="161"/>
      <c r="AE70" s="161">
        <f>'комплекты фурнитуры'!$C$23*2</f>
        <v>560</v>
      </c>
      <c r="AF70" s="161"/>
      <c r="AG70" s="161"/>
      <c r="AH70" s="196">
        <f>SUM(Прайс[[#This Row],[КФ НСТ11]:[KFPr-SB-ZPG]])</f>
        <v>1500</v>
      </c>
      <c r="AI70" s="196"/>
      <c r="AJ70" s="161"/>
      <c r="AK70" s="161"/>
      <c r="AL70" s="203"/>
      <c r="AM70" s="196">
        <f>'комплекты фурнитуры'!$C$62</f>
        <v>620</v>
      </c>
      <c r="AN70" s="196">
        <f>'комплекты фурнитуры'!$C$63</f>
        <v>130</v>
      </c>
      <c r="AO70" s="196"/>
      <c r="AP70" s="196"/>
      <c r="AQ70" s="196"/>
      <c r="AR70" s="196"/>
      <c r="AS70" s="196"/>
      <c r="AT70" s="196"/>
      <c r="AU70" s="196"/>
      <c r="AV70" s="196"/>
      <c r="AW70" s="201"/>
      <c r="AX70" s="196"/>
      <c r="AY70" s="201"/>
      <c r="AZ70" s="196"/>
      <c r="BA70" s="196"/>
      <c r="BB70" s="196">
        <f>'комплекты фурнитуры'!$C$25</f>
        <v>5100</v>
      </c>
      <c r="BC70" s="196">
        <f>'комплекты фурнитуры'!$C$26</f>
        <v>6660</v>
      </c>
      <c r="BD70" s="196">
        <f>'комплекты фурнитуры'!$C$32</f>
        <v>370</v>
      </c>
      <c r="BE70" s="196">
        <f>'комплекты фурнитуры'!$C$31</f>
        <v>950</v>
      </c>
      <c r="BF70" s="196">
        <f>'комплекты фурнитуры'!$C$33</f>
        <v>170</v>
      </c>
      <c r="BG70" s="196">
        <f>'комплекты фурнитуры'!$C$35</f>
        <v>4140</v>
      </c>
      <c r="BH70" s="196">
        <f>'комплекты фурнитуры'!$C$34</f>
        <v>5040</v>
      </c>
      <c r="BI70" s="196">
        <f>'комплекты фурнитуры'!$C$36</f>
        <v>6440</v>
      </c>
      <c r="BJ70" s="196">
        <f>'комплекты фурнитуры'!$C$37</f>
        <v>7970</v>
      </c>
      <c r="BK70" s="196"/>
      <c r="BL70" s="196"/>
      <c r="BM70" s="196"/>
      <c r="BN70" s="196"/>
      <c r="BO70" s="196"/>
      <c r="BP70" s="197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98">
        <f>Прайс[[#This Row],[KFN-SB-M86]]*2+Прайс[[#This Row],[KFN-SB-M15]]+Прайс[[#This Row],[KFN-SB-MD]]*3+Прайс[[#This Row],[KFP-SB-N110]]*3</f>
        <v>2590</v>
      </c>
      <c r="BR70" s="19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62">
        <v>600</v>
      </c>
      <c r="BT70" s="162">
        <v>2040</v>
      </c>
      <c r="BU70" s="162" t="str">
        <f>IF(OR(Прайс[[#This Row],[Тип]]="Нижний",Прайс[[#This Row],[Тип]]="Пенал"),"560",IF(Прайс[[#This Row],[Тип]]="Верхний",315,0))</f>
        <v>560</v>
      </c>
      <c r="BV70" s="199">
        <v>1.08</v>
      </c>
      <c r="BW70" s="199">
        <v>1.0649999999999999</v>
      </c>
      <c r="BX70" s="198">
        <v>0</v>
      </c>
      <c r="BY70" s="162">
        <v>2</v>
      </c>
      <c r="BZ70" s="162">
        <v>2</v>
      </c>
      <c r="CA70" s="162" t="s">
        <v>10</v>
      </c>
      <c r="CB70" s="198" t="s">
        <v>476</v>
      </c>
      <c r="CC70" s="162">
        <v>2</v>
      </c>
      <c r="CD70" s="162" t="s">
        <v>71</v>
      </c>
      <c r="CE70" s="162">
        <v>10640</v>
      </c>
      <c r="CF70" s="1"/>
      <c r="CG70" s="1"/>
      <c r="CH70" s="1">
        <v>4</v>
      </c>
      <c r="CI70" s="162">
        <v>0</v>
      </c>
      <c r="CJ70" s="162">
        <v>0</v>
      </c>
      <c r="CK70" s="162"/>
      <c r="CL70" s="162"/>
      <c r="CM70" s="162"/>
      <c r="CN70" s="162"/>
    </row>
    <row r="71" spans="1:92" ht="15" customHeight="1" x14ac:dyDescent="0.25">
      <c r="A71" s="115" t="s">
        <v>43</v>
      </c>
      <c r="B71" s="101" t="s">
        <v>9</v>
      </c>
      <c r="C71" s="101" t="s">
        <v>802</v>
      </c>
      <c r="D71" s="101" t="s">
        <v>73</v>
      </c>
      <c r="E71" s="101" t="s">
        <v>10</v>
      </c>
      <c r="F71" s="101" t="s">
        <v>95</v>
      </c>
      <c r="G71" s="109">
        <v>2000</v>
      </c>
      <c r="H71" s="109">
        <v>2280</v>
      </c>
      <c r="I71" s="109">
        <v>300</v>
      </c>
      <c r="J71" s="109">
        <v>600</v>
      </c>
      <c r="K71" s="109">
        <v>560</v>
      </c>
      <c r="L71" s="109">
        <v>560</v>
      </c>
      <c r="M71" s="178"/>
      <c r="N71" s="180"/>
      <c r="O71" s="111">
        <v>8710</v>
      </c>
      <c r="P71" s="200"/>
      <c r="Q71" s="200"/>
      <c r="R71" s="161"/>
      <c r="S71" s="161"/>
      <c r="T71" s="161"/>
      <c r="U71" s="161"/>
      <c r="V71" s="161"/>
      <c r="W71" s="161"/>
      <c r="X71" s="161"/>
      <c r="Y71" s="161"/>
      <c r="Z71" s="161">
        <f>'комплекты фурнитуры'!$C$14</f>
        <v>940</v>
      </c>
      <c r="AA71" s="161"/>
      <c r="AB71" s="161"/>
      <c r="AC71" s="161"/>
      <c r="AD71" s="161"/>
      <c r="AE71" s="161">
        <f>'комплекты фурнитуры'!$C$23*2</f>
        <v>560</v>
      </c>
      <c r="AF71" s="161"/>
      <c r="AG71" s="161"/>
      <c r="AH71" s="196">
        <f>SUM(Прайс[[#This Row],[КФ НСТ11]:[KFPr-SB-ZPG]])</f>
        <v>1500</v>
      </c>
      <c r="AI71" s="196"/>
      <c r="AJ71" s="161"/>
      <c r="AK71" s="161"/>
      <c r="AL71" s="203"/>
      <c r="AM71" s="196">
        <f>'комплекты фурнитуры'!$C$62</f>
        <v>620</v>
      </c>
      <c r="AN71" s="196">
        <f>'комплекты фурнитуры'!$C$63</f>
        <v>130</v>
      </c>
      <c r="AO71" s="196"/>
      <c r="AP71" s="196"/>
      <c r="AQ71" s="196"/>
      <c r="AR71" s="196"/>
      <c r="AS71" s="196"/>
      <c r="AT71" s="196"/>
      <c r="AU71" s="196"/>
      <c r="AV71" s="196"/>
      <c r="AW71" s="201"/>
      <c r="AX71" s="196"/>
      <c r="AY71" s="201"/>
      <c r="AZ71" s="196"/>
      <c r="BA71" s="196"/>
      <c r="BB71" s="201"/>
      <c r="BC71" s="196">
        <f>'комплекты фурнитуры'!$C$26</f>
        <v>6660</v>
      </c>
      <c r="BD71" s="201"/>
      <c r="BE71" s="196">
        <f>'комплекты фурнитуры'!$C$31</f>
        <v>950</v>
      </c>
      <c r="BF71" s="196">
        <f>'комплекты фурнитуры'!$C$33</f>
        <v>170</v>
      </c>
      <c r="BG71" s="201"/>
      <c r="BH71" s="196">
        <f>'комплекты фурнитуры'!$C$34</f>
        <v>5040</v>
      </c>
      <c r="BI71" s="196">
        <f>'комплекты фурнитуры'!$C$36</f>
        <v>6440</v>
      </c>
      <c r="BJ71" s="196">
        <f>'комплекты фурнитуры'!$C$37</f>
        <v>7970</v>
      </c>
      <c r="BK71" s="196"/>
      <c r="BL71" s="196"/>
      <c r="BM71" s="196"/>
      <c r="BN71" s="196"/>
      <c r="BO71" s="196"/>
      <c r="BP71" s="197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98">
        <f>Прайс[[#This Row],[KFN-SB-M15]]*2+Прайс[[#This Row],[KFN-SB-MD]]*2+Прайс[[#This Row],[KFP-SB-N110]]*3</f>
        <v>2630</v>
      </c>
      <c r="BR71" s="198">
        <f>Прайс[[#This Row],[Комплект ящика INNOTECH ATIRA полного выдв. с  PUSH TO OPEN , Н70,NL470,цвет серебристый]]*2+Прайс[[#This Row],[KFP-SB-N110]]*3</f>
        <v>13270</v>
      </c>
      <c r="BS71" s="162">
        <v>600</v>
      </c>
      <c r="BT71" s="162">
        <v>2040</v>
      </c>
      <c r="BU71" s="162" t="str">
        <f>IF(OR(Прайс[[#This Row],[Тип]]="Нижний",Прайс[[#This Row],[Тип]]="Пенал"),"560",IF(Прайс[[#This Row],[Тип]]="Верхний",315,0))</f>
        <v>560</v>
      </c>
      <c r="BV71" s="199">
        <v>1.08</v>
      </c>
      <c r="BW71" s="199">
        <v>1.0649999999999999</v>
      </c>
      <c r="BX71" s="198">
        <v>0</v>
      </c>
      <c r="BY71" s="162">
        <v>2</v>
      </c>
      <c r="BZ71" s="162">
        <v>2</v>
      </c>
      <c r="CA71" s="162" t="s">
        <v>10</v>
      </c>
      <c r="CB71" s="198" t="s">
        <v>476</v>
      </c>
      <c r="CC71" s="162">
        <v>2</v>
      </c>
      <c r="CD71" s="162" t="s">
        <v>71</v>
      </c>
      <c r="CE71" s="162">
        <v>9950</v>
      </c>
      <c r="CF71" s="1"/>
      <c r="CG71" s="1"/>
      <c r="CH71" s="1">
        <v>3</v>
      </c>
      <c r="CI71" s="162">
        <v>0</v>
      </c>
      <c r="CJ71" s="162">
        <v>0</v>
      </c>
      <c r="CK71" s="162"/>
      <c r="CL71" s="162"/>
      <c r="CM71" s="162"/>
      <c r="CN71" s="162"/>
    </row>
    <row r="72" spans="1:92" s="171" customFormat="1" ht="15" customHeight="1" x14ac:dyDescent="0.25">
      <c r="A72" s="115" t="s">
        <v>408</v>
      </c>
      <c r="B72" s="101" t="s">
        <v>9</v>
      </c>
      <c r="C72" s="101" t="s">
        <v>803</v>
      </c>
      <c r="D72" s="101" t="s">
        <v>73</v>
      </c>
      <c r="E72" s="101" t="s">
        <v>71</v>
      </c>
      <c r="F72" s="101" t="s">
        <v>96</v>
      </c>
      <c r="G72" s="109">
        <v>2000</v>
      </c>
      <c r="H72" s="109">
        <v>2280</v>
      </c>
      <c r="I72" s="109">
        <v>600</v>
      </c>
      <c r="J72" s="109">
        <v>600</v>
      </c>
      <c r="K72" s="109">
        <v>560</v>
      </c>
      <c r="L72" s="109">
        <v>560</v>
      </c>
      <c r="M72" s="178"/>
      <c r="N72" s="180" t="s">
        <v>67</v>
      </c>
      <c r="O72" s="111">
        <v>7905.6</v>
      </c>
      <c r="P72" s="200"/>
      <c r="Q72" s="200"/>
      <c r="R72" s="161"/>
      <c r="S72" s="161"/>
      <c r="T72" s="161"/>
      <c r="U72" s="161"/>
      <c r="V72" s="161"/>
      <c r="W72" s="161"/>
      <c r="X72" s="161"/>
      <c r="Y72" s="161"/>
      <c r="Z72" s="161">
        <f>'комплекты фурнитуры'!$C$14</f>
        <v>940</v>
      </c>
      <c r="AA72" s="161"/>
      <c r="AB72" s="161"/>
      <c r="AC72" s="161"/>
      <c r="AD72" s="161"/>
      <c r="AE72" s="161">
        <f>'комплекты фурнитуры'!$C$23*2</f>
        <v>560</v>
      </c>
      <c r="AF72" s="161"/>
      <c r="AG72" s="161"/>
      <c r="AH72" s="196">
        <f>SUM(Прайс[[#This Row],[КФ НСТ11]:[KFPr-SB-ZPG]])</f>
        <v>1500</v>
      </c>
      <c r="AI72" s="196"/>
      <c r="AJ72" s="161"/>
      <c r="AK72" s="161"/>
      <c r="AL72" s="203">
        <f>'комплекты фурнитуры'!$C$85</f>
        <v>290</v>
      </c>
      <c r="AM72" s="196">
        <f>'комплекты фурнитуры'!$C$62</f>
        <v>620</v>
      </c>
      <c r="AN72" s="201"/>
      <c r="AO72" s="196"/>
      <c r="AP72" s="196"/>
      <c r="AQ72" s="196"/>
      <c r="AR72" s="196"/>
      <c r="AS72" s="196"/>
      <c r="AT72" s="196"/>
      <c r="AU72" s="196"/>
      <c r="AV72" s="196"/>
      <c r="AW72" s="201"/>
      <c r="AX72" s="196"/>
      <c r="AY72" s="201"/>
      <c r="AZ72" s="196"/>
      <c r="BA72" s="196"/>
      <c r="BB72" s="201"/>
      <c r="BC72" s="201"/>
      <c r="BD72" s="201"/>
      <c r="BE72" s="201"/>
      <c r="BF72" s="201"/>
      <c r="BG72" s="201"/>
      <c r="BH72" s="201"/>
      <c r="BI72" s="201"/>
      <c r="BJ72" s="196"/>
      <c r="BK72" s="196"/>
      <c r="BL72" s="196"/>
      <c r="BM72" s="196"/>
      <c r="BN72" s="196"/>
      <c r="BO72" s="196"/>
      <c r="BP72" s="197">
        <f>Прайс[[#This Row],[КФ KEKU]]*4+Прайс[[#This Row],[КФ петли SENS накл.110 гр. с крестообр. Планкой]]*4</f>
        <v>3640</v>
      </c>
      <c r="BQ72" s="197">
        <f>Прайс[[#This Row],[КФ KEKU]]*4+Прайс[[#This Row],[КФ петли SENS накл.110 гр. с крестообр. Планкой]]*4</f>
        <v>3640</v>
      </c>
      <c r="BR72" s="197">
        <f>Прайс[[#This Row],[КФ KEKU]]*4+Прайс[[#This Row],[КФ петли SENS накл.110 гр. с крестообр. Планкой]]*4</f>
        <v>3640</v>
      </c>
      <c r="BS72" s="162">
        <v>600</v>
      </c>
      <c r="BT72" s="162">
        <v>2040</v>
      </c>
      <c r="BU72" s="162" t="str">
        <f>IF(OR(Прайс[[#This Row],[Тип]]="Нижний",Прайс[[#This Row],[Тип]]="Пенал"),"560",IF(Прайс[[#This Row],[Тип]]="Верхний",315,0))</f>
        <v>560</v>
      </c>
      <c r="BV72" s="199">
        <v>1.08</v>
      </c>
      <c r="BW72" s="199">
        <v>1.0649999999999999</v>
      </c>
      <c r="BX72" s="198">
        <v>1.3</v>
      </c>
      <c r="BY72" s="162">
        <v>2</v>
      </c>
      <c r="BZ72" s="162">
        <v>3</v>
      </c>
      <c r="CA72" s="162" t="s">
        <v>10</v>
      </c>
      <c r="CB72" s="204" t="s">
        <v>475</v>
      </c>
      <c r="CC72" s="162">
        <v>2</v>
      </c>
      <c r="CD72" s="162" t="s">
        <v>10</v>
      </c>
      <c r="CE72" s="162">
        <v>9007.2000000000007</v>
      </c>
      <c r="CF72" s="1"/>
      <c r="CG72" s="1"/>
      <c r="CH72" s="1">
        <v>2</v>
      </c>
      <c r="CI72" s="162">
        <v>0</v>
      </c>
      <c r="CJ72" s="162">
        <v>0</v>
      </c>
      <c r="CK72" s="162"/>
      <c r="CL72" s="162"/>
      <c r="CM72" s="162"/>
      <c r="CN72" s="162"/>
    </row>
    <row r="73" spans="1:92" s="171" customFormat="1" ht="15" customHeight="1" x14ac:dyDescent="0.25">
      <c r="A73" s="115" t="s">
        <v>409</v>
      </c>
      <c r="B73" s="101" t="s">
        <v>9</v>
      </c>
      <c r="C73" s="101" t="s">
        <v>804</v>
      </c>
      <c r="D73" s="101" t="s">
        <v>73</v>
      </c>
      <c r="E73" s="101" t="s">
        <v>71</v>
      </c>
      <c r="F73" s="101" t="s">
        <v>96</v>
      </c>
      <c r="G73" s="109">
        <v>2000</v>
      </c>
      <c r="H73" s="109">
        <v>2280</v>
      </c>
      <c r="I73" s="109">
        <v>600</v>
      </c>
      <c r="J73" s="109">
        <v>600</v>
      </c>
      <c r="K73" s="109">
        <v>560</v>
      </c>
      <c r="L73" s="109">
        <v>560</v>
      </c>
      <c r="M73" s="178"/>
      <c r="N73" s="180" t="s">
        <v>67</v>
      </c>
      <c r="O73" s="111">
        <v>7905.6</v>
      </c>
      <c r="P73" s="200"/>
      <c r="Q73" s="200"/>
      <c r="R73" s="161"/>
      <c r="S73" s="161"/>
      <c r="T73" s="161"/>
      <c r="U73" s="161"/>
      <c r="V73" s="161"/>
      <c r="W73" s="161"/>
      <c r="X73" s="161"/>
      <c r="Y73" s="161"/>
      <c r="Z73" s="161">
        <f>'комплекты фурнитуры'!$C$14</f>
        <v>940</v>
      </c>
      <c r="AA73" s="161"/>
      <c r="AB73" s="161"/>
      <c r="AC73" s="161"/>
      <c r="AD73" s="161"/>
      <c r="AE73" s="161">
        <f>'комплекты фурнитуры'!$C$23*2</f>
        <v>560</v>
      </c>
      <c r="AF73" s="161"/>
      <c r="AG73" s="161"/>
      <c r="AH73" s="196">
        <f>SUM(Прайс[[#This Row],[КФ НСТ11]:[KFPr-SB-ZPG]])</f>
        <v>1500</v>
      </c>
      <c r="AI73" s="196"/>
      <c r="AJ73" s="161"/>
      <c r="AK73" s="161"/>
      <c r="AL73" s="203">
        <f>'комплекты фурнитуры'!$C$85</f>
        <v>290</v>
      </c>
      <c r="AM73" s="196">
        <f>'комплекты фурнитуры'!$C$62</f>
        <v>620</v>
      </c>
      <c r="AN73" s="201"/>
      <c r="AO73" s="196"/>
      <c r="AP73" s="196"/>
      <c r="AQ73" s="196"/>
      <c r="AR73" s="196"/>
      <c r="AS73" s="196"/>
      <c r="AT73" s="196"/>
      <c r="AU73" s="196"/>
      <c r="AV73" s="196"/>
      <c r="AW73" s="201"/>
      <c r="AX73" s="196"/>
      <c r="AY73" s="201"/>
      <c r="AZ73" s="196"/>
      <c r="BA73" s="196"/>
      <c r="BB73" s="201"/>
      <c r="BC73" s="201"/>
      <c r="BD73" s="201"/>
      <c r="BE73" s="201"/>
      <c r="BF73" s="201"/>
      <c r="BG73" s="201"/>
      <c r="BH73" s="201"/>
      <c r="BI73" s="201"/>
      <c r="BJ73" s="196"/>
      <c r="BK73" s="196"/>
      <c r="BL73" s="196"/>
      <c r="BM73" s="196"/>
      <c r="BN73" s="196"/>
      <c r="BO73" s="196"/>
      <c r="BP73" s="197">
        <f>Прайс[[#This Row],[КФ KEKU]]*4+Прайс[[#This Row],[КФ петли SENS накл.110 гр. с крестообр. Планкой]]*4</f>
        <v>3640</v>
      </c>
      <c r="BQ73" s="197">
        <f>Прайс[[#This Row],[КФ KEKU]]*4+Прайс[[#This Row],[КФ петли SENS накл.110 гр. с крестообр. Планкой]]*4</f>
        <v>3640</v>
      </c>
      <c r="BR73" s="197">
        <f>Прайс[[#This Row],[КФ KEKU]]*4+Прайс[[#This Row],[КФ петли SENS накл.110 гр. с крестообр. Планкой]]*4</f>
        <v>3640</v>
      </c>
      <c r="BS73" s="162">
        <v>600</v>
      </c>
      <c r="BT73" s="162">
        <v>2040</v>
      </c>
      <c r="BU73" s="162" t="str">
        <f>IF(OR(Прайс[[#This Row],[Тип]]="Нижний",Прайс[[#This Row],[Тип]]="Пенал"),"560",IF(Прайс[[#This Row],[Тип]]="Верхний",315,0))</f>
        <v>560</v>
      </c>
      <c r="BV73" s="199">
        <v>1.08</v>
      </c>
      <c r="BW73" s="199">
        <v>1.0649999999999999</v>
      </c>
      <c r="BX73" s="198">
        <v>1.3</v>
      </c>
      <c r="BY73" s="162">
        <v>2</v>
      </c>
      <c r="BZ73" s="162">
        <v>3</v>
      </c>
      <c r="CA73" s="162" t="s">
        <v>10</v>
      </c>
      <c r="CB73" s="204" t="s">
        <v>475</v>
      </c>
      <c r="CC73" s="162">
        <v>2</v>
      </c>
      <c r="CD73" s="162" t="s">
        <v>10</v>
      </c>
      <c r="CE73" s="162">
        <v>9007.2000000000007</v>
      </c>
      <c r="CF73" s="1"/>
      <c r="CG73" s="1"/>
      <c r="CH73" s="1">
        <v>2</v>
      </c>
      <c r="CI73" s="162">
        <v>0</v>
      </c>
      <c r="CJ73" s="162">
        <v>0</v>
      </c>
      <c r="CK73" s="162"/>
      <c r="CL73" s="162"/>
      <c r="CM73" s="162"/>
      <c r="CN73" s="162"/>
    </row>
    <row r="74" spans="1:92" ht="15" customHeight="1" x14ac:dyDescent="0.25">
      <c r="A74" s="115" t="s">
        <v>410</v>
      </c>
      <c r="B74" s="101" t="s">
        <v>9</v>
      </c>
      <c r="C74" s="101" t="s">
        <v>1125</v>
      </c>
      <c r="D74" s="101" t="s">
        <v>73</v>
      </c>
      <c r="E74" s="101" t="s">
        <v>10</v>
      </c>
      <c r="F74" s="101" t="s">
        <v>96</v>
      </c>
      <c r="G74" s="109">
        <v>2000</v>
      </c>
      <c r="H74" s="109">
        <v>2280</v>
      </c>
      <c r="I74" s="109">
        <v>600</v>
      </c>
      <c r="J74" s="109">
        <v>600</v>
      </c>
      <c r="K74" s="109">
        <v>560</v>
      </c>
      <c r="L74" s="109">
        <v>560</v>
      </c>
      <c r="M74" s="178"/>
      <c r="N74" s="180" t="s">
        <v>67</v>
      </c>
      <c r="O74" s="111">
        <v>8640</v>
      </c>
      <c r="P74" s="200"/>
      <c r="Q74" s="200"/>
      <c r="R74" s="161"/>
      <c r="S74" s="161"/>
      <c r="T74" s="161"/>
      <c r="U74" s="161"/>
      <c r="V74" s="161"/>
      <c r="W74" s="161"/>
      <c r="X74" s="161"/>
      <c r="Y74" s="161"/>
      <c r="Z74" s="161">
        <f>'комплекты фурнитуры'!$C$14</f>
        <v>940</v>
      </c>
      <c r="AA74" s="161"/>
      <c r="AB74" s="161"/>
      <c r="AC74" s="161"/>
      <c r="AD74" s="161"/>
      <c r="AE74" s="161">
        <f>'комплекты фурнитуры'!$C$23*2</f>
        <v>560</v>
      </c>
      <c r="AF74" s="161"/>
      <c r="AG74" s="161"/>
      <c r="AH74" s="196">
        <f>SUM(Прайс[[#This Row],[КФ НСТ11]:[KFPr-SB-ZPG]])</f>
        <v>1500</v>
      </c>
      <c r="AI74" s="196"/>
      <c r="AJ74" s="161"/>
      <c r="AK74" s="161"/>
      <c r="AL74" s="203"/>
      <c r="AM74" s="196">
        <f>'комплекты фурнитуры'!$C$62</f>
        <v>620</v>
      </c>
      <c r="AN74" s="196">
        <f>'комплекты фурнитуры'!$C$63</f>
        <v>130</v>
      </c>
      <c r="AO74" s="196"/>
      <c r="AP74" s="196"/>
      <c r="AQ74" s="196"/>
      <c r="AR74" s="196"/>
      <c r="AS74" s="196"/>
      <c r="AT74" s="196"/>
      <c r="AU74" s="196"/>
      <c r="AV74" s="196"/>
      <c r="AW74" s="201"/>
      <c r="AX74" s="196"/>
      <c r="AY74" s="201"/>
      <c r="AZ74" s="196"/>
      <c r="BA74" s="196"/>
      <c r="BB74" s="201"/>
      <c r="BC74" s="196">
        <f>'комплекты фурнитуры'!$C$26</f>
        <v>6660</v>
      </c>
      <c r="BD74" s="201"/>
      <c r="BE74" s="196">
        <f>'комплекты фурнитуры'!$C$31</f>
        <v>950</v>
      </c>
      <c r="BF74" s="196">
        <f>'комплекты фурнитуры'!$C$33</f>
        <v>170</v>
      </c>
      <c r="BG74" s="201"/>
      <c r="BH74" s="196">
        <f>'комплекты фурнитуры'!$C$34</f>
        <v>5040</v>
      </c>
      <c r="BI74" s="196">
        <f>'комплекты фурнитуры'!$C$36</f>
        <v>6440</v>
      </c>
      <c r="BJ74" s="196"/>
      <c r="BK74" s="196"/>
      <c r="BL74" s="196"/>
      <c r="BM74" s="196"/>
      <c r="BN74" s="196"/>
      <c r="BO74" s="196"/>
      <c r="BP74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4" s="198">
        <f>Прайс[[#This Row],[KFN-SB-M15]]*2+Прайс[[#This Row],[KFN-SB-MD]]*2+Прайс[[#This Row],[KFP-SB-N110]]*2</f>
        <v>2500</v>
      </c>
      <c r="BR74" s="198">
        <f>Прайс[[#This Row],[Комплект ящика INNOTECH ATIRA полного выдв. с  PUSH TO OPEN , Н70,NL470,цвет серебристый]]*2+Прайс[[#This Row],[KFP-SB-N110]]*2</f>
        <v>13140</v>
      </c>
      <c r="BS74" s="162">
        <v>600</v>
      </c>
      <c r="BT74" s="162">
        <v>2040</v>
      </c>
      <c r="BU74" s="162" t="str">
        <f>IF(OR(Прайс[[#This Row],[Тип]]="Нижний",Прайс[[#This Row],[Тип]]="Пенал"),"560",IF(Прайс[[#This Row],[Тип]]="Верхний",315,0))</f>
        <v>560</v>
      </c>
      <c r="BV74" s="199">
        <v>1.08</v>
      </c>
      <c r="BW74" s="199">
        <v>1.0649999999999999</v>
      </c>
      <c r="BX74" s="198">
        <v>0</v>
      </c>
      <c r="BY74" s="162">
        <v>1</v>
      </c>
      <c r="BZ74" s="162">
        <v>2</v>
      </c>
      <c r="CA74" s="162" t="s">
        <v>71</v>
      </c>
      <c r="CB74" s="198" t="s">
        <v>474</v>
      </c>
      <c r="CC74" s="162">
        <v>1</v>
      </c>
      <c r="CD74" s="162" t="s">
        <v>10</v>
      </c>
      <c r="CE74" s="162">
        <v>9880</v>
      </c>
      <c r="CF74" s="1"/>
      <c r="CG74" s="1"/>
      <c r="CH74" s="1">
        <v>3</v>
      </c>
      <c r="CI74" s="162">
        <v>0</v>
      </c>
      <c r="CJ74" s="162">
        <v>0</v>
      </c>
      <c r="CK74" s="162"/>
      <c r="CL74" s="162"/>
      <c r="CM74" s="162"/>
      <c r="CN74" s="162"/>
    </row>
    <row r="75" spans="1:92" ht="15" customHeight="1" x14ac:dyDescent="0.25">
      <c r="A75" s="115" t="s">
        <v>411</v>
      </c>
      <c r="B75" s="101" t="s">
        <v>9</v>
      </c>
      <c r="C75" s="101" t="s">
        <v>1126</v>
      </c>
      <c r="D75" s="101" t="s">
        <v>73</v>
      </c>
      <c r="E75" s="101" t="s">
        <v>10</v>
      </c>
      <c r="F75" s="101" t="s">
        <v>96</v>
      </c>
      <c r="G75" s="109">
        <v>2000</v>
      </c>
      <c r="H75" s="109">
        <v>2280</v>
      </c>
      <c r="I75" s="109">
        <v>600</v>
      </c>
      <c r="J75" s="109">
        <v>600</v>
      </c>
      <c r="K75" s="109">
        <v>560</v>
      </c>
      <c r="L75" s="109">
        <v>560</v>
      </c>
      <c r="M75" s="178"/>
      <c r="N75" s="180" t="s">
        <v>67</v>
      </c>
      <c r="O75" s="111">
        <v>8640</v>
      </c>
      <c r="P75" s="200"/>
      <c r="Q75" s="200"/>
      <c r="R75" s="161"/>
      <c r="S75" s="161"/>
      <c r="T75" s="161"/>
      <c r="U75" s="161"/>
      <c r="V75" s="161"/>
      <c r="W75" s="161"/>
      <c r="X75" s="161"/>
      <c r="Y75" s="161"/>
      <c r="Z75" s="161">
        <f>'комплекты фурнитуры'!$C$14</f>
        <v>940</v>
      </c>
      <c r="AA75" s="161"/>
      <c r="AB75" s="161"/>
      <c r="AC75" s="161"/>
      <c r="AD75" s="161"/>
      <c r="AE75" s="161">
        <f>'комплекты фурнитуры'!$C$23*2</f>
        <v>560</v>
      </c>
      <c r="AF75" s="161"/>
      <c r="AG75" s="161"/>
      <c r="AH75" s="196">
        <f>SUM(Прайс[[#This Row],[КФ НСТ11]:[KFPr-SB-ZPG]])</f>
        <v>1500</v>
      </c>
      <c r="AI75" s="196"/>
      <c r="AJ75" s="161"/>
      <c r="AK75" s="161"/>
      <c r="AL75" s="203"/>
      <c r="AM75" s="196">
        <f>'комплекты фурнитуры'!$C$62</f>
        <v>620</v>
      </c>
      <c r="AN75" s="196">
        <f>'комплекты фурнитуры'!$C$63</f>
        <v>130</v>
      </c>
      <c r="AO75" s="196"/>
      <c r="AP75" s="196"/>
      <c r="AQ75" s="196"/>
      <c r="AR75" s="196"/>
      <c r="AS75" s="196"/>
      <c r="AT75" s="196"/>
      <c r="AU75" s="196"/>
      <c r="AV75" s="196"/>
      <c r="AW75" s="201"/>
      <c r="AX75" s="196"/>
      <c r="AY75" s="201"/>
      <c r="AZ75" s="196"/>
      <c r="BA75" s="196"/>
      <c r="BB75" s="201"/>
      <c r="BC75" s="196">
        <f>'комплекты фурнитуры'!$C$26</f>
        <v>6660</v>
      </c>
      <c r="BD75" s="201"/>
      <c r="BE75" s="196">
        <f>'комплекты фурнитуры'!$C$31</f>
        <v>950</v>
      </c>
      <c r="BF75" s="196">
        <f>'комплекты фурнитуры'!$C$33</f>
        <v>170</v>
      </c>
      <c r="BG75" s="201"/>
      <c r="BH75" s="196">
        <f>'комплекты фурнитуры'!$C$34</f>
        <v>5040</v>
      </c>
      <c r="BI75" s="196">
        <f>'комплекты фурнитуры'!$C$36</f>
        <v>6440</v>
      </c>
      <c r="BJ75" s="196"/>
      <c r="BK75" s="196"/>
      <c r="BL75" s="196"/>
      <c r="BM75" s="196"/>
      <c r="BN75" s="196"/>
      <c r="BO75" s="196"/>
      <c r="BP75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198">
        <f>Прайс[[#This Row],[KFN-SB-M15]]*2+Прайс[[#This Row],[KFN-SB-MD]]*2+Прайс[[#This Row],[KFP-SB-N110]]*2</f>
        <v>2500</v>
      </c>
      <c r="BR75" s="198">
        <f>Прайс[[#This Row],[Комплект ящика INNOTECH ATIRA полного выдв. с  PUSH TO OPEN , Н70,NL470,цвет серебристый]]*2+Прайс[[#This Row],[KFP-SB-N110]]*2</f>
        <v>13140</v>
      </c>
      <c r="BS75" s="162">
        <v>600</v>
      </c>
      <c r="BT75" s="162">
        <v>2040</v>
      </c>
      <c r="BU75" s="162" t="str">
        <f>IF(OR(Прайс[[#This Row],[Тип]]="Нижний",Прайс[[#This Row],[Тип]]="Пенал"),"560",IF(Прайс[[#This Row],[Тип]]="Верхний",315,0))</f>
        <v>560</v>
      </c>
      <c r="BV75" s="199">
        <v>1.08</v>
      </c>
      <c r="BW75" s="199">
        <v>1.0649999999999999</v>
      </c>
      <c r="BX75" s="198">
        <v>0</v>
      </c>
      <c r="BY75" s="162">
        <v>1</v>
      </c>
      <c r="BZ75" s="162">
        <v>2</v>
      </c>
      <c r="CA75" s="162" t="s">
        <v>71</v>
      </c>
      <c r="CB75" s="198" t="s">
        <v>474</v>
      </c>
      <c r="CC75" s="162">
        <v>1</v>
      </c>
      <c r="CD75" s="162" t="s">
        <v>10</v>
      </c>
      <c r="CE75" s="162">
        <v>9880</v>
      </c>
      <c r="CF75" s="1"/>
      <c r="CG75" s="1"/>
      <c r="CH75" s="1">
        <v>3</v>
      </c>
      <c r="CI75" s="162">
        <v>0</v>
      </c>
      <c r="CJ75" s="162">
        <v>0</v>
      </c>
      <c r="CK75" s="162"/>
      <c r="CL75" s="162"/>
      <c r="CM75" s="162"/>
      <c r="CN75" s="162"/>
    </row>
    <row r="76" spans="1:92" ht="15" customHeight="1" x14ac:dyDescent="0.25">
      <c r="A76" s="115" t="s">
        <v>412</v>
      </c>
      <c r="B76" s="101" t="s">
        <v>9</v>
      </c>
      <c r="C76" s="101" t="s">
        <v>1127</v>
      </c>
      <c r="D76" s="101" t="s">
        <v>73</v>
      </c>
      <c r="E76" s="101" t="s">
        <v>10</v>
      </c>
      <c r="F76" s="101" t="s">
        <v>96</v>
      </c>
      <c r="G76" s="109">
        <v>2000</v>
      </c>
      <c r="H76" s="109">
        <v>2280</v>
      </c>
      <c r="I76" s="109">
        <v>600</v>
      </c>
      <c r="J76" s="109">
        <v>600</v>
      </c>
      <c r="K76" s="109">
        <v>560</v>
      </c>
      <c r="L76" s="109">
        <v>560</v>
      </c>
      <c r="M76" s="178"/>
      <c r="N76" s="180" t="s">
        <v>67</v>
      </c>
      <c r="O76" s="111">
        <v>8640</v>
      </c>
      <c r="P76" s="200"/>
      <c r="Q76" s="200"/>
      <c r="R76" s="161"/>
      <c r="S76" s="161"/>
      <c r="T76" s="161"/>
      <c r="U76" s="161"/>
      <c r="V76" s="161"/>
      <c r="W76" s="161"/>
      <c r="X76" s="161"/>
      <c r="Y76" s="161"/>
      <c r="Z76" s="161">
        <f>'комплекты фурнитуры'!$C$14</f>
        <v>940</v>
      </c>
      <c r="AA76" s="161"/>
      <c r="AB76" s="161"/>
      <c r="AC76" s="161"/>
      <c r="AD76" s="161"/>
      <c r="AE76" s="161">
        <f>'комплекты фурнитуры'!$C$23*2</f>
        <v>560</v>
      </c>
      <c r="AF76" s="161"/>
      <c r="AG76" s="161"/>
      <c r="AH76" s="196">
        <f>SUM(Прайс[[#This Row],[КФ НСТ11]:[KFPr-SB-ZPG]])</f>
        <v>1500</v>
      </c>
      <c r="AI76" s="196"/>
      <c r="AJ76" s="161"/>
      <c r="AK76" s="161"/>
      <c r="AL76" s="203"/>
      <c r="AM76" s="196">
        <f>'комплекты фурнитуры'!$C$62</f>
        <v>620</v>
      </c>
      <c r="AN76" s="196">
        <f>'комплекты фурнитуры'!$C$63</f>
        <v>130</v>
      </c>
      <c r="AO76" s="196"/>
      <c r="AP76" s="196"/>
      <c r="AQ76" s="196"/>
      <c r="AR76" s="196"/>
      <c r="AS76" s="196"/>
      <c r="AT76" s="196"/>
      <c r="AU76" s="196"/>
      <c r="AV76" s="196"/>
      <c r="AW76" s="201"/>
      <c r="AX76" s="196"/>
      <c r="AY76" s="201"/>
      <c r="AZ76" s="196"/>
      <c r="BA76" s="196"/>
      <c r="BB76" s="201"/>
      <c r="BC76" s="196">
        <f>'комплекты фурнитуры'!$C$26</f>
        <v>6660</v>
      </c>
      <c r="BD76" s="201"/>
      <c r="BE76" s="196">
        <f>'комплекты фурнитуры'!$C$31</f>
        <v>950</v>
      </c>
      <c r="BF76" s="196">
        <f>'комплекты фурнитуры'!$C$33</f>
        <v>170</v>
      </c>
      <c r="BG76" s="201"/>
      <c r="BH76" s="196">
        <f>'комплекты фурнитуры'!$C$34</f>
        <v>5040</v>
      </c>
      <c r="BI76" s="196">
        <f>'комплекты фурнитуры'!$C$36</f>
        <v>6440</v>
      </c>
      <c r="BJ76" s="196"/>
      <c r="BK76" s="196"/>
      <c r="BL76" s="196"/>
      <c r="BM76" s="196"/>
      <c r="BN76" s="196"/>
      <c r="BO76" s="196"/>
      <c r="BP76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98">
        <f>Прайс[[#This Row],[KFN-SB-M15]]*2+Прайс[[#This Row],[KFN-SB-MD]]*2+Прайс[[#This Row],[KFP-SB-N110]]*2</f>
        <v>2500</v>
      </c>
      <c r="BR76" s="198">
        <f>Прайс[[#This Row],[Комплект ящика INNOTECH ATIRA полного выдв. с  PUSH TO OPEN , Н70,NL470,цвет серебристый]]*2+Прайс[[#This Row],[KFP-SB-N110]]*2</f>
        <v>13140</v>
      </c>
      <c r="BS76" s="162">
        <v>600</v>
      </c>
      <c r="BT76" s="162">
        <v>2040</v>
      </c>
      <c r="BU76" s="162" t="str">
        <f>IF(OR(Прайс[[#This Row],[Тип]]="Нижний",Прайс[[#This Row],[Тип]]="Пенал"),"560",IF(Прайс[[#This Row],[Тип]]="Верхний",315,0))</f>
        <v>560</v>
      </c>
      <c r="BV76" s="199">
        <v>1.08</v>
      </c>
      <c r="BW76" s="199">
        <v>1.0649999999999999</v>
      </c>
      <c r="BX76" s="198">
        <v>0</v>
      </c>
      <c r="BY76" s="162">
        <v>1</v>
      </c>
      <c r="BZ76" s="162">
        <v>2</v>
      </c>
      <c r="CA76" s="162" t="s">
        <v>71</v>
      </c>
      <c r="CB76" s="198" t="s">
        <v>474</v>
      </c>
      <c r="CC76" s="162">
        <v>1</v>
      </c>
      <c r="CD76" s="162" t="s">
        <v>10</v>
      </c>
      <c r="CE76" s="162">
        <v>9880</v>
      </c>
      <c r="CF76" s="1"/>
      <c r="CG76" s="1"/>
      <c r="CH76" s="1">
        <v>3</v>
      </c>
      <c r="CI76" s="162">
        <v>0</v>
      </c>
      <c r="CJ76" s="162">
        <v>0</v>
      </c>
      <c r="CK76" s="162"/>
      <c r="CL76" s="162"/>
      <c r="CM76" s="162"/>
      <c r="CN76" s="162"/>
    </row>
    <row r="77" spans="1:92" s="245" customFormat="1" ht="15" customHeight="1" x14ac:dyDescent="0.25">
      <c r="A77" s="242" t="s">
        <v>729</v>
      </c>
      <c r="B77" s="161" t="s">
        <v>9</v>
      </c>
      <c r="C77" s="161" t="s">
        <v>805</v>
      </c>
      <c r="D77" s="161" t="s">
        <v>73</v>
      </c>
      <c r="E77" s="161" t="s">
        <v>10</v>
      </c>
      <c r="F77" s="161" t="s">
        <v>98</v>
      </c>
      <c r="G77" s="243">
        <v>2000</v>
      </c>
      <c r="H77" s="243">
        <v>2280</v>
      </c>
      <c r="I77" s="243">
        <v>600</v>
      </c>
      <c r="J77" s="243">
        <v>600</v>
      </c>
      <c r="K77" s="243">
        <v>560</v>
      </c>
      <c r="L77" s="243">
        <v>560</v>
      </c>
      <c r="M77" s="161"/>
      <c r="N77" s="244" t="s">
        <v>67</v>
      </c>
      <c r="O77" s="200">
        <v>7500</v>
      </c>
      <c r="P77" s="200"/>
      <c r="Q77" s="200"/>
      <c r="R77" s="161"/>
      <c r="S77" s="161"/>
      <c r="T77" s="161"/>
      <c r="U77" s="161"/>
      <c r="V77" s="161"/>
      <c r="W77" s="161"/>
      <c r="X77" s="161"/>
      <c r="Y77" s="161"/>
      <c r="Z77" s="161"/>
      <c r="AA77" s="161">
        <f>'комплекты фурнитуры'!$C$15</f>
        <v>1130</v>
      </c>
      <c r="AB77" s="161"/>
      <c r="AC77" s="161"/>
      <c r="AD77" s="161"/>
      <c r="AE77" s="161">
        <f>'комплекты фурнитуры'!$C$23*2</f>
        <v>560</v>
      </c>
      <c r="AF77" s="161"/>
      <c r="AG77" s="161"/>
      <c r="AH77" s="196">
        <f>SUM(Прайс[[#This Row],[КФ НСТ11]:[KFPr-SB-ZPG]])</f>
        <v>1690</v>
      </c>
      <c r="AI77" s="196"/>
      <c r="AJ77" s="161"/>
      <c r="AK77" s="161"/>
      <c r="AL77" s="203"/>
      <c r="AM77" s="196">
        <f>'комплекты фурнитуры'!$C$62</f>
        <v>620</v>
      </c>
      <c r="AN77" s="196">
        <f>'комплекты фурнитуры'!$C$63</f>
        <v>130</v>
      </c>
      <c r="AO77" s="196"/>
      <c r="AP77" s="196"/>
      <c r="AQ77" s="196"/>
      <c r="AR77" s="196"/>
      <c r="AS77" s="196"/>
      <c r="AT77" s="196"/>
      <c r="AU77" s="196"/>
      <c r="AV77" s="196"/>
      <c r="AW77" s="196">
        <f>'комплекты фурнитуры'!$C$67</f>
        <v>6080</v>
      </c>
      <c r="AX77" s="196">
        <f>'комплекты фурнитуры'!$C$68</f>
        <v>6940</v>
      </c>
      <c r="AY77" s="196">
        <f>'комплекты фурнитуры'!$C$70</f>
        <v>2290</v>
      </c>
      <c r="AZ77" s="196"/>
      <c r="BA77" s="196"/>
      <c r="BB77" s="201"/>
      <c r="BC77" s="201"/>
      <c r="BD77" s="201"/>
      <c r="BE77" s="201"/>
      <c r="BF77" s="201"/>
      <c r="BG77" s="201"/>
      <c r="BH77" s="201"/>
      <c r="BI77" s="201"/>
      <c r="BJ77" s="196"/>
      <c r="BK77" s="196"/>
      <c r="BL77" s="196"/>
      <c r="BM77" s="196"/>
      <c r="BN77" s="196"/>
      <c r="BO77" s="196"/>
      <c r="BP77" s="197">
        <f>Прайс[[#This Row],[KFP-SP-PPGK]]+Прайс[[#This Row],[КФ петли SENS накл.110 гр. с крестообр. Планкой]]*2</f>
        <v>7320</v>
      </c>
      <c r="BQ77" s="198">
        <f>Прайс[[#This Row],[KFP-SP-PPA]]+Прайс[[#This Row],[KFP-SB-N110]]*4</f>
        <v>2810</v>
      </c>
      <c r="BR77" s="198">
        <f>Прайс[[#This Row],[KFP-SP-PPA]]+Прайс[[#This Row],[KFP-SB-N110]]*4</f>
        <v>2810</v>
      </c>
      <c r="BS77" s="162">
        <v>600</v>
      </c>
      <c r="BT77" s="162">
        <v>2040</v>
      </c>
      <c r="BU77" s="162" t="str">
        <f>IF(OR(Прайс[[#This Row],[Тип]]="Нижний",Прайс[[#This Row],[Тип]]="Пенал"),"560",IF(Прайс[[#This Row],[Тип]]="Верхний",315,0))</f>
        <v>560</v>
      </c>
      <c r="BV77" s="199">
        <v>1.08</v>
      </c>
      <c r="BW77" s="199">
        <v>1.0649999999999999</v>
      </c>
      <c r="BX77" s="198">
        <v>0</v>
      </c>
      <c r="BY77" s="162">
        <v>1</v>
      </c>
      <c r="BZ77" s="162">
        <v>2</v>
      </c>
      <c r="CA77" s="162" t="s">
        <v>10</v>
      </c>
      <c r="CB77" s="198" t="s">
        <v>476</v>
      </c>
      <c r="CC77" s="162">
        <v>1</v>
      </c>
      <c r="CD77" s="162" t="s">
        <v>10</v>
      </c>
      <c r="CE77" s="162">
        <v>8590</v>
      </c>
      <c r="CF77" s="162"/>
      <c r="CG77" s="162"/>
      <c r="CH77" s="162">
        <v>2</v>
      </c>
      <c r="CI77" s="162">
        <v>0</v>
      </c>
      <c r="CJ77" s="162">
        <v>0</v>
      </c>
      <c r="CK77" s="162"/>
      <c r="CL77" s="162"/>
      <c r="CM77" s="162"/>
      <c r="CN77" s="162"/>
    </row>
    <row r="78" spans="1:92" ht="15" customHeight="1" x14ac:dyDescent="0.25">
      <c r="A78" s="115" t="s">
        <v>728</v>
      </c>
      <c r="B78" s="101" t="s">
        <v>9</v>
      </c>
      <c r="C78" s="101" t="s">
        <v>806</v>
      </c>
      <c r="D78" s="101" t="s">
        <v>73</v>
      </c>
      <c r="E78" s="101" t="s">
        <v>71</v>
      </c>
      <c r="F78" s="101" t="s">
        <v>98</v>
      </c>
      <c r="G78" s="109">
        <v>2000</v>
      </c>
      <c r="H78" s="109">
        <v>2280</v>
      </c>
      <c r="I78" s="109">
        <v>600</v>
      </c>
      <c r="J78" s="109">
        <v>600</v>
      </c>
      <c r="K78" s="109">
        <v>560</v>
      </c>
      <c r="L78" s="109">
        <v>560</v>
      </c>
      <c r="M78" s="178"/>
      <c r="N78" s="180" t="s">
        <v>67</v>
      </c>
      <c r="O78" s="111">
        <v>8078.4</v>
      </c>
      <c r="P78" s="200"/>
      <c r="Q78" s="200"/>
      <c r="R78" s="161"/>
      <c r="S78" s="161"/>
      <c r="T78" s="161"/>
      <c r="U78" s="161"/>
      <c r="V78" s="161"/>
      <c r="W78" s="161"/>
      <c r="X78" s="161"/>
      <c r="Y78" s="161"/>
      <c r="Z78" s="161"/>
      <c r="AA78" s="161">
        <f>'комплекты фурнитуры'!$C$15</f>
        <v>1130</v>
      </c>
      <c r="AB78" s="161"/>
      <c r="AC78" s="161"/>
      <c r="AD78" s="161"/>
      <c r="AE78" s="161">
        <f>'комплекты фурнитуры'!$C$23*2</f>
        <v>560</v>
      </c>
      <c r="AF78" s="161"/>
      <c r="AG78" s="161"/>
      <c r="AH78" s="196">
        <f>SUM(Прайс[[#This Row],[КФ НСТ11]:[KFPr-SB-ZPG]])</f>
        <v>1690</v>
      </c>
      <c r="AI78" s="196"/>
      <c r="AJ78" s="161"/>
      <c r="AK78" s="161"/>
      <c r="AL78" s="203">
        <f>'комплекты фурнитуры'!$C$85</f>
        <v>290</v>
      </c>
      <c r="AM78" s="196">
        <f>'комплекты фурнитуры'!$C$62</f>
        <v>620</v>
      </c>
      <c r="AN78" s="201"/>
      <c r="AO78" s="196"/>
      <c r="AP78" s="196"/>
      <c r="AQ78" s="196"/>
      <c r="AR78" s="196"/>
      <c r="AS78" s="196"/>
      <c r="AT78" s="196"/>
      <c r="AU78" s="196"/>
      <c r="AV78" s="196"/>
      <c r="AW78" s="201"/>
      <c r="AX78" s="196"/>
      <c r="AY78" s="201"/>
      <c r="AZ78" s="196"/>
      <c r="BA78" s="196"/>
      <c r="BB78" s="201"/>
      <c r="BC78" s="196">
        <f>'комплекты фурнитуры'!$C$26</f>
        <v>6660</v>
      </c>
      <c r="BD78" s="201"/>
      <c r="BE78" s="201"/>
      <c r="BF78" s="201"/>
      <c r="BG78" s="201"/>
      <c r="BH78" s="196">
        <f>'комплекты фурнитуры'!$C$34</f>
        <v>5040</v>
      </c>
      <c r="BI78" s="201"/>
      <c r="BJ78" s="196"/>
      <c r="BK78" s="196"/>
      <c r="BL78" s="196"/>
      <c r="BM78" s="196"/>
      <c r="BN78" s="196"/>
      <c r="BO78" s="196"/>
      <c r="BP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78" s="162">
        <v>600</v>
      </c>
      <c r="BT78" s="162">
        <v>2040</v>
      </c>
      <c r="BU78" s="162" t="str">
        <f>IF(OR(Прайс[[#This Row],[Тип]]="Нижний",Прайс[[#This Row],[Тип]]="Пенал"),"560",IF(Прайс[[#This Row],[Тип]]="Верхний",315,0))</f>
        <v>560</v>
      </c>
      <c r="BV78" s="199">
        <v>1.08</v>
      </c>
      <c r="BW78" s="199">
        <v>1.0649999999999999</v>
      </c>
      <c r="BX78" s="198">
        <v>0</v>
      </c>
      <c r="BY78" s="162">
        <v>1</v>
      </c>
      <c r="BZ78" s="162">
        <v>1</v>
      </c>
      <c r="CA78" s="162" t="s">
        <v>10</v>
      </c>
      <c r="CB78" s="198" t="s">
        <v>475</v>
      </c>
      <c r="CC78" s="162">
        <v>1</v>
      </c>
      <c r="CD78" s="162" t="s">
        <v>10</v>
      </c>
      <c r="CE78" s="162">
        <v>9169.2000000000007</v>
      </c>
      <c r="CF78" s="1"/>
      <c r="CG78" s="1"/>
      <c r="CH78" s="1">
        <v>2</v>
      </c>
      <c r="CI78" s="162">
        <v>0</v>
      </c>
      <c r="CJ78" s="162">
        <v>0</v>
      </c>
      <c r="CK78" s="162"/>
      <c r="CL78" s="162"/>
      <c r="CM78" s="162"/>
      <c r="CN78" s="162"/>
    </row>
    <row r="79" spans="1:92" s="245" customFormat="1" ht="15" customHeight="1" x14ac:dyDescent="0.25">
      <c r="A79" s="242" t="s">
        <v>44</v>
      </c>
      <c r="B79" s="161" t="s">
        <v>9</v>
      </c>
      <c r="C79" s="161" t="s">
        <v>807</v>
      </c>
      <c r="D79" s="161" t="s">
        <v>73</v>
      </c>
      <c r="E79" s="161" t="s">
        <v>10</v>
      </c>
      <c r="F79" s="161" t="s">
        <v>97</v>
      </c>
      <c r="G79" s="243">
        <v>2280</v>
      </c>
      <c r="H79" s="243">
        <v>2280</v>
      </c>
      <c r="I79" s="243">
        <v>600</v>
      </c>
      <c r="J79" s="243">
        <v>600</v>
      </c>
      <c r="K79" s="243">
        <v>560</v>
      </c>
      <c r="L79" s="243">
        <v>560</v>
      </c>
      <c r="M79" s="161"/>
      <c r="N79" s="244" t="s">
        <v>67</v>
      </c>
      <c r="O79" s="200">
        <v>6800</v>
      </c>
      <c r="P79" s="200"/>
      <c r="Q79" s="200"/>
      <c r="R79" s="161"/>
      <c r="S79" s="161"/>
      <c r="T79" s="161"/>
      <c r="U79" s="161"/>
      <c r="V79" s="161"/>
      <c r="W79" s="161"/>
      <c r="X79" s="161"/>
      <c r="Y79" s="161"/>
      <c r="Z79" s="161"/>
      <c r="AA79" s="161">
        <f>'комплекты фурнитуры'!$C$15</f>
        <v>1130</v>
      </c>
      <c r="AB79" s="161"/>
      <c r="AC79" s="161"/>
      <c r="AD79" s="161"/>
      <c r="AE79" s="161">
        <f>'комплекты фурнитуры'!$C$23*2</f>
        <v>560</v>
      </c>
      <c r="AF79" s="161"/>
      <c r="AG79" s="161"/>
      <c r="AH79" s="196">
        <f>SUM(Прайс[[#This Row],[КФ НСТ11]:[KFPr-SB-ZPG]])</f>
        <v>1690</v>
      </c>
      <c r="AI79" s="196"/>
      <c r="AJ79" s="161"/>
      <c r="AK79" s="161"/>
      <c r="AL79" s="205"/>
      <c r="AM79" s="196">
        <f>'комплекты фурнитуры'!$C$62</f>
        <v>620</v>
      </c>
      <c r="AN79" s="196">
        <f>'комплекты фурнитуры'!$C$63</f>
        <v>130</v>
      </c>
      <c r="AO79" s="196"/>
      <c r="AP79" s="196"/>
      <c r="AQ79" s="196"/>
      <c r="AR79" s="196"/>
      <c r="AS79" s="196"/>
      <c r="AT79" s="196"/>
      <c r="AU79" s="196"/>
      <c r="AV79" s="196"/>
      <c r="AW79" s="196">
        <f>'комплекты фурнитуры'!$C$67</f>
        <v>6080</v>
      </c>
      <c r="AX79" s="196"/>
      <c r="AY79" s="196">
        <f>'комплекты фурнитуры'!$C$70</f>
        <v>2290</v>
      </c>
      <c r="AZ79" s="196"/>
      <c r="BA79" s="196"/>
      <c r="BB79" s="167"/>
      <c r="BC79" s="167"/>
      <c r="BD79" s="167"/>
      <c r="BE79" s="167"/>
      <c r="BF79" s="167"/>
      <c r="BG79" s="167"/>
      <c r="BH79" s="167"/>
      <c r="BI79" s="167"/>
      <c r="BJ79" s="196"/>
      <c r="BK79" s="196"/>
      <c r="BL79" s="196"/>
      <c r="BM79" s="196"/>
      <c r="BN79" s="196"/>
      <c r="BO79" s="196"/>
      <c r="BP79" s="197">
        <f>Прайс[[#This Row],[KFP-SP-PPGK]]+Прайс[[#This Row],[КФ петли SENS накл.110 гр. с крестообр. Планкой]]*5</f>
        <v>9180</v>
      </c>
      <c r="BQ79" s="198">
        <f>Прайс[[#This Row],[KFP-SP-PPA]]+Прайс[[#This Row],[KFP-SB-N110]]*7</f>
        <v>3200</v>
      </c>
      <c r="BR79" s="198">
        <v>0</v>
      </c>
      <c r="BS79" s="162">
        <v>600</v>
      </c>
      <c r="BT79" s="162">
        <v>2280</v>
      </c>
      <c r="BU79" s="162" t="str">
        <f>IF(OR(Прайс[[#This Row],[Тип]]="Нижний",Прайс[[#This Row],[Тип]]="Пенал"),"560",IF(Прайс[[#This Row],[Тип]]="Верхний",315,0))</f>
        <v>560</v>
      </c>
      <c r="BV79" s="199">
        <v>1.08</v>
      </c>
      <c r="BW79" s="199">
        <v>1.0649999999999999</v>
      </c>
      <c r="BX79" s="198">
        <v>1.3</v>
      </c>
      <c r="BY79" s="162">
        <v>0</v>
      </c>
      <c r="BZ79" s="162">
        <v>0</v>
      </c>
      <c r="CA79" s="162" t="s">
        <v>10</v>
      </c>
      <c r="CB79" s="198" t="s">
        <v>476</v>
      </c>
      <c r="CC79" s="162">
        <v>0</v>
      </c>
      <c r="CD79" s="162" t="s">
        <v>10</v>
      </c>
      <c r="CE79" s="162">
        <v>7810</v>
      </c>
      <c r="CF79" s="162"/>
      <c r="CG79" s="162"/>
      <c r="CH79" s="162">
        <v>3</v>
      </c>
      <c r="CI79" s="162">
        <v>0</v>
      </c>
      <c r="CJ79" s="162">
        <v>0</v>
      </c>
      <c r="CK79" s="162"/>
      <c r="CL79" s="162"/>
      <c r="CM79" s="162"/>
      <c r="CN79" s="162"/>
    </row>
    <row r="80" spans="1:92" s="245" customFormat="1" ht="15" customHeight="1" x14ac:dyDescent="0.25">
      <c r="A80" s="249" t="s">
        <v>863</v>
      </c>
      <c r="B80" s="163" t="s">
        <v>7</v>
      </c>
      <c r="C80" s="163" t="s">
        <v>875</v>
      </c>
      <c r="D80" s="161" t="s">
        <v>73</v>
      </c>
      <c r="E80" s="163" t="s">
        <v>10</v>
      </c>
      <c r="F80" s="163" t="s">
        <v>874</v>
      </c>
      <c r="G80" s="246">
        <v>360</v>
      </c>
      <c r="H80" s="246">
        <v>1250</v>
      </c>
      <c r="I80" s="246">
        <v>250</v>
      </c>
      <c r="J80" s="246">
        <v>600</v>
      </c>
      <c r="K80" s="246">
        <v>260</v>
      </c>
      <c r="L80" s="246">
        <v>560</v>
      </c>
      <c r="M80" s="163"/>
      <c r="N80" s="247"/>
      <c r="O80" s="200">
        <v>2530</v>
      </c>
      <c r="P80" s="164"/>
      <c r="Q80" s="164"/>
      <c r="R80" s="165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1">
        <f>'комплекты фурнитуры'!$C$72</f>
        <v>210</v>
      </c>
      <c r="AG80" s="161">
        <f>'комплекты фурнитуры'!$C$73</f>
        <v>30</v>
      </c>
      <c r="AH80" s="163">
        <f>SUM(Прайс[[#This Row],[КФ НСТ11]:[KFPr-SB-ZPG]])+Прайс[[#This Row],[КФ EMV1DL/2DL]]</f>
        <v>1930</v>
      </c>
      <c r="AI80" s="166"/>
      <c r="AJ80" s="166"/>
      <c r="AK80" s="166"/>
      <c r="AL80" s="163"/>
      <c r="AM80" s="196">
        <f>'комплекты фурнитуры'!$C$62</f>
        <v>620</v>
      </c>
      <c r="AN80" s="196">
        <f>'комплекты фурнитуры'!$C$63</f>
        <v>130</v>
      </c>
      <c r="AO80" s="166"/>
      <c r="AP80" s="166"/>
      <c r="AQ80" s="166"/>
      <c r="AR80" s="166"/>
      <c r="AS80" s="166"/>
      <c r="AT80" s="166"/>
      <c r="AU80" s="166"/>
      <c r="AV80" s="166"/>
      <c r="AW80" s="166"/>
      <c r="AX80" s="166"/>
      <c r="AY80" s="166"/>
      <c r="AZ80" s="166"/>
      <c r="BA80" s="166"/>
      <c r="BB80" s="166"/>
      <c r="BC80" s="166"/>
      <c r="BD80" s="166"/>
      <c r="BE80" s="166"/>
      <c r="BF80" s="166"/>
      <c r="BG80" s="166"/>
      <c r="BH80" s="167"/>
      <c r="BI80" s="166"/>
      <c r="BJ80" s="166"/>
      <c r="BK80" s="166"/>
      <c r="BL80" s="166"/>
      <c r="BM80" s="166"/>
      <c r="BN80" s="166"/>
      <c r="BO80" s="166"/>
      <c r="BP80" s="168">
        <f>Прайс[[#This Row],[КФ петли SENS накл.110 гр. с крестообр. Планкой]]*2</f>
        <v>1240</v>
      </c>
      <c r="BQ80" s="168">
        <f>Прайс[[#This Row],[KFP-SB-N110]]*2</f>
        <v>260</v>
      </c>
      <c r="BR80" s="169">
        <f>Прайс[[#This Row],[KFP-SB-N110]]*2</f>
        <v>260</v>
      </c>
      <c r="BS80" s="170">
        <v>300</v>
      </c>
      <c r="BT80" s="170">
        <v>720</v>
      </c>
      <c r="BU80" s="170">
        <f>IF(OR(Прайс[[#This Row],[Тип]]="Нижний",Прайс[[#This Row],[Тип]]="Пенал"),"560",IF(Прайс[[#This Row],[Тип]]="Верхний",315,0))</f>
        <v>315</v>
      </c>
      <c r="BV80" s="199">
        <v>1.08</v>
      </c>
      <c r="BW80" s="199">
        <v>1.0649999999999999</v>
      </c>
      <c r="BX80" s="198">
        <v>1.3</v>
      </c>
      <c r="BY80" s="170">
        <v>0</v>
      </c>
      <c r="BZ80" s="170">
        <v>3</v>
      </c>
      <c r="CA80" s="170" t="s">
        <v>71</v>
      </c>
      <c r="CB80" s="198" t="s">
        <v>474</v>
      </c>
      <c r="CC80" s="170">
        <v>0</v>
      </c>
      <c r="CD80" s="170" t="s">
        <v>71</v>
      </c>
      <c r="CE80" s="162">
        <v>2820</v>
      </c>
      <c r="CF80" s="170"/>
      <c r="CG80" s="170"/>
      <c r="CH80" s="170">
        <v>1</v>
      </c>
      <c r="CI80" s="162">
        <f>Прайс[[#This Row],[Комплект петли Hettich с доводчиком для алюм.профиля]]*2</f>
        <v>2400</v>
      </c>
      <c r="CJ80" s="162">
        <f>Прайс[[#This Row],[Комплект петли Hettich с доводчиком для алюм.профиля]]*2</f>
        <v>2400</v>
      </c>
      <c r="CK80" s="162"/>
      <c r="CL80" s="162"/>
      <c r="CM80" s="162">
        <f>'комплекты фурнитуры'!$C$21</f>
        <v>1690</v>
      </c>
      <c r="CN80" s="162">
        <f>'комплекты фурнитуры'!$C$52</f>
        <v>1200</v>
      </c>
    </row>
    <row r="81" spans="1:92" s="245" customFormat="1" ht="15" customHeight="1" x14ac:dyDescent="0.25">
      <c r="A81" s="249" t="s">
        <v>864</v>
      </c>
      <c r="B81" s="163" t="s">
        <v>7</v>
      </c>
      <c r="C81" s="163" t="s">
        <v>876</v>
      </c>
      <c r="D81" s="161" t="s">
        <v>73</v>
      </c>
      <c r="E81" s="163" t="s">
        <v>10</v>
      </c>
      <c r="F81" s="163" t="s">
        <v>874</v>
      </c>
      <c r="G81" s="246">
        <v>360</v>
      </c>
      <c r="H81" s="246">
        <v>1250</v>
      </c>
      <c r="I81" s="246">
        <v>600</v>
      </c>
      <c r="J81" s="246">
        <v>800</v>
      </c>
      <c r="K81" s="246">
        <v>260</v>
      </c>
      <c r="L81" s="246">
        <v>560</v>
      </c>
      <c r="M81" s="163"/>
      <c r="N81" s="247"/>
      <c r="O81" s="200">
        <v>2530</v>
      </c>
      <c r="P81" s="164"/>
      <c r="Q81" s="164"/>
      <c r="R81" s="165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1">
        <f>'комплекты фурнитуры'!$C$72</f>
        <v>210</v>
      </c>
      <c r="AG81" s="161">
        <f>'комплекты фурнитуры'!$C$73</f>
        <v>30</v>
      </c>
      <c r="AH81" s="163">
        <f>SUM(Прайс[[#This Row],[КФ НСТ11]:[KFPr-SB-ZPG]])+Прайс[[#This Row],[КФ EMV1DL/2DL]]</f>
        <v>1930</v>
      </c>
      <c r="AI81" s="166"/>
      <c r="AJ81" s="166"/>
      <c r="AK81" s="166"/>
      <c r="AL81" s="163"/>
      <c r="AM81" s="196">
        <f>'комплекты фурнитуры'!$C$62</f>
        <v>620</v>
      </c>
      <c r="AN81" s="196">
        <f>'комплекты фурнитуры'!$C$63</f>
        <v>130</v>
      </c>
      <c r="AO81" s="166"/>
      <c r="AP81" s="166"/>
      <c r="AQ81" s="166"/>
      <c r="AR81" s="166"/>
      <c r="AS81" s="166"/>
      <c r="AT81" s="166"/>
      <c r="AU81" s="166"/>
      <c r="AV81" s="166"/>
      <c r="AW81" s="166"/>
      <c r="AX81" s="166"/>
      <c r="AY81" s="166"/>
      <c r="AZ81" s="166"/>
      <c r="BA81" s="166"/>
      <c r="BB81" s="166"/>
      <c r="BC81" s="166"/>
      <c r="BD81" s="166"/>
      <c r="BE81" s="166"/>
      <c r="BF81" s="166"/>
      <c r="BG81" s="166"/>
      <c r="BH81" s="167"/>
      <c r="BI81" s="166"/>
      <c r="BJ81" s="166"/>
      <c r="BK81" s="166"/>
      <c r="BL81" s="166"/>
      <c r="BM81" s="166"/>
      <c r="BN81" s="166"/>
      <c r="BO81" s="166"/>
      <c r="BP81" s="168">
        <f>Прайс[[#This Row],[КФ петли SENS накл.110 гр. с крестообр. Планкой]]*4</f>
        <v>2480</v>
      </c>
      <c r="BQ81" s="168">
        <f>Прайс[[#This Row],[KFP-SB-N110]]*4</f>
        <v>520</v>
      </c>
      <c r="BR81" s="169">
        <f>Прайс[[#This Row],[KFP-SB-N110]]*4</f>
        <v>520</v>
      </c>
      <c r="BS81" s="170">
        <v>300</v>
      </c>
      <c r="BT81" s="170">
        <v>720</v>
      </c>
      <c r="BU81" s="170">
        <f>IF(OR(Прайс[[#This Row],[Тип]]="Нижний",Прайс[[#This Row],[Тип]]="Пенал"),"560",IF(Прайс[[#This Row],[Тип]]="Верхний",315,0))</f>
        <v>315</v>
      </c>
      <c r="BV81" s="199">
        <v>1.08</v>
      </c>
      <c r="BW81" s="199">
        <v>1.0649999999999999</v>
      </c>
      <c r="BX81" s="198">
        <v>1.3</v>
      </c>
      <c r="BY81" s="170">
        <v>0</v>
      </c>
      <c r="BZ81" s="170">
        <v>3</v>
      </c>
      <c r="CA81" s="170" t="s">
        <v>71</v>
      </c>
      <c r="CB81" s="198" t="s">
        <v>474</v>
      </c>
      <c r="CC81" s="170">
        <v>0</v>
      </c>
      <c r="CD81" s="170" t="s">
        <v>71</v>
      </c>
      <c r="CE81" s="162">
        <v>2820</v>
      </c>
      <c r="CF81" s="170"/>
      <c r="CG81" s="170"/>
      <c r="CH81" s="170">
        <v>2</v>
      </c>
      <c r="CI81" s="162">
        <f>Прайс[[#This Row],[Комплект петли Hettich с доводчиком для алюм.профиля]]*4</f>
        <v>4800</v>
      </c>
      <c r="CJ81" s="162">
        <f>Прайс[[#This Row],[Комплект петли Hettich с доводчиком для алюм.профиля]]*4</f>
        <v>4800</v>
      </c>
      <c r="CK81" s="162"/>
      <c r="CL81" s="162"/>
      <c r="CM81" s="162">
        <f>'комплекты фурнитуры'!$C$21</f>
        <v>1690</v>
      </c>
      <c r="CN81" s="162">
        <f>'комплекты фурнитуры'!$C$52</f>
        <v>1200</v>
      </c>
    </row>
    <row r="82" spans="1:92" s="245" customFormat="1" ht="15" customHeight="1" x14ac:dyDescent="0.25">
      <c r="A82" s="249" t="s">
        <v>865</v>
      </c>
      <c r="B82" s="163" t="s">
        <v>7</v>
      </c>
      <c r="C82" s="161" t="s">
        <v>878</v>
      </c>
      <c r="D82" s="161" t="s">
        <v>73</v>
      </c>
      <c r="E82" s="163" t="s">
        <v>10</v>
      </c>
      <c r="F82" s="163" t="s">
        <v>93</v>
      </c>
      <c r="G82" s="246">
        <v>711</v>
      </c>
      <c r="H82" s="246">
        <v>1250</v>
      </c>
      <c r="I82" s="246">
        <v>500</v>
      </c>
      <c r="J82" s="246">
        <v>600</v>
      </c>
      <c r="K82" s="246">
        <v>315</v>
      </c>
      <c r="L82" s="246">
        <v>315</v>
      </c>
      <c r="M82" s="163"/>
      <c r="N82" s="247"/>
      <c r="O82" s="200">
        <v>3340</v>
      </c>
      <c r="P82" s="164"/>
      <c r="Q82" s="164"/>
      <c r="R82" s="165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1">
        <f>'комплекты фурнитуры'!$C$72</f>
        <v>210</v>
      </c>
      <c r="AG82" s="161">
        <f>'комплекты фурнитуры'!$C$73</f>
        <v>30</v>
      </c>
      <c r="AH82" s="163">
        <f>SUM(Прайс[[#This Row],[КФ НСТ11]:[KFPr-SB-ZPG]])+Прайс[[#This Row],[КФ НСТ20]]</f>
        <v>1180</v>
      </c>
      <c r="AI82" s="166"/>
      <c r="AJ82" s="166"/>
      <c r="AK82" s="166"/>
      <c r="AL82" s="163"/>
      <c r="AM82" s="196">
        <f>'комплекты фурнитуры'!$C$62</f>
        <v>620</v>
      </c>
      <c r="AN82" s="196">
        <f>'комплекты фурнитуры'!$C$63</f>
        <v>130</v>
      </c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7"/>
      <c r="BI82" s="166"/>
      <c r="BJ82" s="166"/>
      <c r="BK82" s="166"/>
      <c r="BL82" s="166"/>
      <c r="BM82" s="166"/>
      <c r="BN82" s="166"/>
      <c r="BO82" s="166"/>
      <c r="BP82" s="168">
        <f>Прайс[[#This Row],[КФ петли SENS накл.110 гр. с крестообр. Планкой]]*2</f>
        <v>1240</v>
      </c>
      <c r="BQ82" s="168">
        <f>Прайс[[#This Row],[KFP-SB-N110]]*2</f>
        <v>260</v>
      </c>
      <c r="BR82" s="169">
        <f>Прайс[[#This Row],[KFP-SB-N110]]*2</f>
        <v>260</v>
      </c>
      <c r="BS82" s="170">
        <v>500</v>
      </c>
      <c r="BT82" s="170">
        <v>720</v>
      </c>
      <c r="BU82" s="170">
        <f>IF(OR(Прайс[[#This Row],[Тип]]="Нижний",Прайс[[#This Row],[Тип]]="Пенал"),"560",IF(Прайс[[#This Row],[Тип]]="Верхний",315,0))</f>
        <v>315</v>
      </c>
      <c r="BV82" s="199">
        <v>1.095</v>
      </c>
      <c r="BW82" s="199">
        <v>1.0649999999999999</v>
      </c>
      <c r="BX82" s="198">
        <v>1.3</v>
      </c>
      <c r="BY82" s="170">
        <v>1</v>
      </c>
      <c r="BZ82" s="170">
        <v>2</v>
      </c>
      <c r="CA82" s="170" t="s">
        <v>71</v>
      </c>
      <c r="CB82" s="198" t="s">
        <v>474</v>
      </c>
      <c r="CC82" s="170">
        <v>1</v>
      </c>
      <c r="CD82" s="170" t="s">
        <v>10</v>
      </c>
      <c r="CE82" s="162">
        <v>3830</v>
      </c>
      <c r="CF82" s="170"/>
      <c r="CG82" s="170"/>
      <c r="CH82" s="170">
        <v>1</v>
      </c>
      <c r="CI82" s="162">
        <v>0</v>
      </c>
      <c r="CJ82" s="162">
        <v>0</v>
      </c>
      <c r="CK82" s="162">
        <f>'комплекты фурнитуры'!$C$20</f>
        <v>940</v>
      </c>
      <c r="CL82" s="162"/>
      <c r="CM82" s="162"/>
      <c r="CN82" s="162"/>
    </row>
    <row r="83" spans="1:92" s="245" customFormat="1" ht="15" customHeight="1" x14ac:dyDescent="0.25">
      <c r="A83" s="249" t="s">
        <v>866</v>
      </c>
      <c r="B83" s="163" t="s">
        <v>7</v>
      </c>
      <c r="C83" s="161" t="s">
        <v>877</v>
      </c>
      <c r="D83" s="161" t="s">
        <v>73</v>
      </c>
      <c r="E83" s="163" t="s">
        <v>10</v>
      </c>
      <c r="F83" s="163" t="s">
        <v>93</v>
      </c>
      <c r="G83" s="246">
        <v>711</v>
      </c>
      <c r="H83" s="246">
        <v>1250</v>
      </c>
      <c r="I83" s="246">
        <v>600</v>
      </c>
      <c r="J83" s="246">
        <v>900</v>
      </c>
      <c r="K83" s="246">
        <v>315</v>
      </c>
      <c r="L83" s="246">
        <v>315</v>
      </c>
      <c r="M83" s="163"/>
      <c r="N83" s="247"/>
      <c r="O83" s="200">
        <v>3340</v>
      </c>
      <c r="P83" s="164"/>
      <c r="Q83" s="164"/>
      <c r="R83" s="165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1">
        <f>'комплекты фурнитуры'!$C$72</f>
        <v>210</v>
      </c>
      <c r="AG83" s="161">
        <f>'комплекты фурнитуры'!$C$73</f>
        <v>30</v>
      </c>
      <c r="AH83" s="163">
        <f>SUM(Прайс[[#This Row],[КФ НСТ11]:[KFPr-SB-ZPG]])+Прайс[[#This Row],[КФ НСТ20]]</f>
        <v>1180</v>
      </c>
      <c r="AI83" s="166"/>
      <c r="AJ83" s="166"/>
      <c r="AK83" s="166"/>
      <c r="AL83" s="163"/>
      <c r="AM83" s="196">
        <f>'комплекты фурнитуры'!$C$62</f>
        <v>620</v>
      </c>
      <c r="AN83" s="196">
        <f>'комплекты фурнитуры'!$C$63</f>
        <v>130</v>
      </c>
      <c r="AO83" s="166"/>
      <c r="AP83" s="166"/>
      <c r="AQ83" s="166"/>
      <c r="AR83" s="166"/>
      <c r="AS83" s="166"/>
      <c r="AT83" s="166"/>
      <c r="AU83" s="166"/>
      <c r="AV83" s="166"/>
      <c r="AW83" s="166"/>
      <c r="AX83" s="166"/>
      <c r="AY83" s="166"/>
      <c r="AZ83" s="166"/>
      <c r="BA83" s="166"/>
      <c r="BB83" s="166"/>
      <c r="BC83" s="166"/>
      <c r="BD83" s="166"/>
      <c r="BE83" s="166"/>
      <c r="BF83" s="166"/>
      <c r="BG83" s="166"/>
      <c r="BH83" s="167"/>
      <c r="BI83" s="166"/>
      <c r="BJ83" s="166"/>
      <c r="BK83" s="166"/>
      <c r="BL83" s="166"/>
      <c r="BM83" s="166"/>
      <c r="BN83" s="166"/>
      <c r="BO83" s="166"/>
      <c r="BP83" s="168">
        <f>Прайс[[#This Row],[КФ петли SENS накл.110 гр. с крестообр. Планкой]]*4</f>
        <v>2480</v>
      </c>
      <c r="BQ83" s="168">
        <f>Прайс[[#This Row],[KFP-SB-N110]]*4</f>
        <v>520</v>
      </c>
      <c r="BR83" s="169">
        <f>Прайс[[#This Row],[KFP-SB-N110]]*4</f>
        <v>520</v>
      </c>
      <c r="BS83" s="170">
        <v>500</v>
      </c>
      <c r="BT83" s="170">
        <v>720</v>
      </c>
      <c r="BU83" s="170">
        <f>IF(OR(Прайс[[#This Row],[Тип]]="Нижний",Прайс[[#This Row],[Тип]]="Пенал"),"560",IF(Прайс[[#This Row],[Тип]]="Верхний",315,0))</f>
        <v>315</v>
      </c>
      <c r="BV83" s="199">
        <v>1.095</v>
      </c>
      <c r="BW83" s="199">
        <v>1.0649999999999999</v>
      </c>
      <c r="BX83" s="198">
        <v>1.3</v>
      </c>
      <c r="BY83" s="170">
        <v>1</v>
      </c>
      <c r="BZ83" s="170">
        <v>2</v>
      </c>
      <c r="CA83" s="170" t="s">
        <v>71</v>
      </c>
      <c r="CB83" s="198" t="s">
        <v>474</v>
      </c>
      <c r="CC83" s="170">
        <v>1</v>
      </c>
      <c r="CD83" s="170" t="s">
        <v>10</v>
      </c>
      <c r="CE83" s="162">
        <v>3210</v>
      </c>
      <c r="CF83" s="170"/>
      <c r="CG83" s="170"/>
      <c r="CH83" s="170">
        <v>2</v>
      </c>
      <c r="CI83" s="162">
        <v>0</v>
      </c>
      <c r="CJ83" s="162">
        <v>0</v>
      </c>
      <c r="CK83" s="162">
        <f>'комплекты фурнитуры'!$C$20</f>
        <v>940</v>
      </c>
      <c r="CL83" s="162"/>
      <c r="CM83" s="162"/>
      <c r="CN83" s="162"/>
    </row>
    <row r="84" spans="1:92" s="245" customFormat="1" ht="15" customHeight="1" x14ac:dyDescent="0.25">
      <c r="A84" s="248" t="s">
        <v>867</v>
      </c>
      <c r="B84" s="163" t="s">
        <v>9</v>
      </c>
      <c r="C84" s="163" t="s">
        <v>868</v>
      </c>
      <c r="D84" s="161" t="s">
        <v>73</v>
      </c>
      <c r="E84" s="161" t="s">
        <v>10</v>
      </c>
      <c r="F84" s="161" t="s">
        <v>96</v>
      </c>
      <c r="G84" s="246">
        <v>1910</v>
      </c>
      <c r="H84" s="246">
        <v>2610</v>
      </c>
      <c r="I84" s="246">
        <v>600</v>
      </c>
      <c r="J84" s="246">
        <v>600</v>
      </c>
      <c r="K84" s="246">
        <v>350</v>
      </c>
      <c r="L84" s="246">
        <v>600</v>
      </c>
      <c r="M84" s="163"/>
      <c r="N84" s="247"/>
      <c r="O84" s="200">
        <v>7320</v>
      </c>
      <c r="P84" s="164"/>
      <c r="Q84" s="164"/>
      <c r="R84" s="165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1">
        <f>'комплекты фурнитуры'!$C$23*2</f>
        <v>560</v>
      </c>
      <c r="AF84" s="163"/>
      <c r="AG84" s="163"/>
      <c r="AH84" s="163">
        <f>SUM(Прайс[[#This Row],[КФ НСТ11]:[KFPr-SB-ZPG]])+Прайс[[#This Row],[КФ НСТ12]]</f>
        <v>1500</v>
      </c>
      <c r="AI84" s="166"/>
      <c r="AJ84" s="166"/>
      <c r="AK84" s="166"/>
      <c r="AL84" s="163"/>
      <c r="AM84" s="196">
        <f>'комплекты фурнитуры'!$C$62</f>
        <v>620</v>
      </c>
      <c r="AN84" s="196">
        <f>'комплекты фурнитуры'!$C$63</f>
        <v>130</v>
      </c>
      <c r="AO84" s="166"/>
      <c r="AP84" s="166"/>
      <c r="AQ84" s="166"/>
      <c r="AR84" s="166"/>
      <c r="AS84" s="166"/>
      <c r="AT84" s="166"/>
      <c r="AU84" s="166"/>
      <c r="AV84" s="166"/>
      <c r="AW84" s="166"/>
      <c r="AX84" s="166"/>
      <c r="AY84" s="166"/>
      <c r="AZ84" s="166"/>
      <c r="BA84" s="166"/>
      <c r="BB84" s="166"/>
      <c r="BC84" s="166"/>
      <c r="BD84" s="166"/>
      <c r="BE84" s="166"/>
      <c r="BF84" s="166"/>
      <c r="BG84" s="166"/>
      <c r="BH84" s="167"/>
      <c r="BI84" s="166"/>
      <c r="BJ84" s="166"/>
      <c r="BK84" s="166"/>
      <c r="BL84" s="166"/>
      <c r="BM84" s="166"/>
      <c r="BN84" s="166"/>
      <c r="BO84" s="166"/>
      <c r="BP84" s="168">
        <f>Прайс[[#This Row],[КФ петли SENS накл.110 гр. с крестообр. Планкой]]*4</f>
        <v>2480</v>
      </c>
      <c r="BQ84" s="168">
        <f>Прайс[[#This Row],[KFP-SB-N110]]*4</f>
        <v>520</v>
      </c>
      <c r="BR84" s="169">
        <f>Прайс[[#This Row],[KFP-SB-N110]]*4</f>
        <v>520</v>
      </c>
      <c r="BS84" s="170">
        <v>600</v>
      </c>
      <c r="BT84" s="170">
        <v>2040</v>
      </c>
      <c r="BU84" s="170" t="str">
        <f>IF(OR(Прайс[[#This Row],[Тип]]="Нижний",Прайс[[#This Row],[Тип]]="Пенал"),"560",IF(Прайс[[#This Row],[Тип]]="Верхний",315,0))</f>
        <v>560</v>
      </c>
      <c r="BV84" s="199">
        <v>1.08</v>
      </c>
      <c r="BW84" s="199">
        <v>1.0649999999999999</v>
      </c>
      <c r="BX84" s="198">
        <v>1.3</v>
      </c>
      <c r="BY84" s="170">
        <v>2</v>
      </c>
      <c r="BZ84" s="170">
        <v>4</v>
      </c>
      <c r="CA84" s="170" t="s">
        <v>71</v>
      </c>
      <c r="CB84" s="198" t="s">
        <v>474</v>
      </c>
      <c r="CC84" s="170">
        <v>2</v>
      </c>
      <c r="CD84" s="170" t="s">
        <v>10</v>
      </c>
      <c r="CE84" s="162">
        <v>8340</v>
      </c>
      <c r="CF84" s="170"/>
      <c r="CG84" s="170"/>
      <c r="CH84" s="170">
        <v>2</v>
      </c>
      <c r="CI84" s="162">
        <v>0</v>
      </c>
      <c r="CJ84" s="162">
        <v>0</v>
      </c>
      <c r="CK84" s="162"/>
      <c r="CL84" s="162">
        <f>'комплекты фурнитуры'!$C$22</f>
        <v>940</v>
      </c>
      <c r="CM84" s="162"/>
      <c r="CN84" s="162"/>
    </row>
    <row r="85" spans="1:92" s="245" customFormat="1" ht="15" customHeight="1" x14ac:dyDescent="0.25">
      <c r="A85" s="248" t="s">
        <v>869</v>
      </c>
      <c r="B85" s="163" t="s">
        <v>9</v>
      </c>
      <c r="C85" s="163" t="s">
        <v>870</v>
      </c>
      <c r="D85" s="161" t="s">
        <v>73</v>
      </c>
      <c r="E85" s="161" t="s">
        <v>10</v>
      </c>
      <c r="F85" s="161" t="s">
        <v>96</v>
      </c>
      <c r="G85" s="246">
        <v>1910</v>
      </c>
      <c r="H85" s="246">
        <v>2610</v>
      </c>
      <c r="I85" s="246">
        <v>600</v>
      </c>
      <c r="J85" s="246">
        <v>600</v>
      </c>
      <c r="K85" s="246">
        <v>560</v>
      </c>
      <c r="L85" s="246">
        <v>600</v>
      </c>
      <c r="M85" s="163"/>
      <c r="N85" s="247"/>
      <c r="O85" s="200">
        <v>7480</v>
      </c>
      <c r="P85" s="164"/>
      <c r="Q85" s="164"/>
      <c r="R85" s="165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1">
        <f>'комплекты фурнитуры'!$C$23*2</f>
        <v>560</v>
      </c>
      <c r="AF85" s="163"/>
      <c r="AG85" s="163"/>
      <c r="AH85" s="163">
        <f>SUM(Прайс[[#This Row],[КФ НСТ11]:[KFPr-SB-ZPG]])+Прайс[[#This Row],[КФ НСТ12]]</f>
        <v>1500</v>
      </c>
      <c r="AI85" s="166"/>
      <c r="AJ85" s="166"/>
      <c r="AK85" s="166"/>
      <c r="AL85" s="163"/>
      <c r="AM85" s="196">
        <f>'комплекты фурнитуры'!$C$62</f>
        <v>620</v>
      </c>
      <c r="AN85" s="196">
        <f>'комплекты фурнитуры'!$C$63</f>
        <v>130</v>
      </c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96">
        <f>'комплекты фурнитуры'!$C$26</f>
        <v>6660</v>
      </c>
      <c r="BD85" s="166"/>
      <c r="BE85" s="196">
        <f>'комплекты фурнитуры'!$C$31</f>
        <v>950</v>
      </c>
      <c r="BF85" s="166"/>
      <c r="BG85" s="166"/>
      <c r="BH85" s="167"/>
      <c r="BI85" s="196"/>
      <c r="BJ85" s="196">
        <f>'комплекты фурнитуры'!$C$37</f>
        <v>7970</v>
      </c>
      <c r="BK85" s="166"/>
      <c r="BL85" s="166"/>
      <c r="BM85" s="166"/>
      <c r="BN85" s="166"/>
      <c r="BO85" s="166"/>
      <c r="BP85" s="16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5" s="168">
        <f>Прайс[[#This Row],[KFP-SB-N110]]*2+Прайс[[#This Row],[KFN-SB-M15]]</f>
        <v>1210</v>
      </c>
      <c r="BR85" s="169">
        <f>Прайс[[#This Row],[KFP-SB-N110]]*2+Прайс[[#This Row],[Комплект короба INNOTECH ATIRA полного выдв. с Push to open, Н176,NL470,рейлинги, цвет серебристый]]</f>
        <v>8230</v>
      </c>
      <c r="BS85" s="170">
        <v>600</v>
      </c>
      <c r="BT85" s="170">
        <v>2040</v>
      </c>
      <c r="BU85" s="170" t="str">
        <f>IF(OR(Прайс[[#This Row],[Тип]]="Нижний",Прайс[[#This Row],[Тип]]="Пенал"),"560",IF(Прайс[[#This Row],[Тип]]="Верхний",315,0))</f>
        <v>560</v>
      </c>
      <c r="BV85" s="199">
        <v>1.08</v>
      </c>
      <c r="BW85" s="199">
        <v>1.0649999999999999</v>
      </c>
      <c r="BX85" s="198">
        <v>1.3</v>
      </c>
      <c r="BY85" s="170">
        <v>1</v>
      </c>
      <c r="BZ85" s="170">
        <v>3</v>
      </c>
      <c r="CA85" s="170" t="s">
        <v>10</v>
      </c>
      <c r="CB85" s="198" t="s">
        <v>476</v>
      </c>
      <c r="CC85" s="170">
        <v>1</v>
      </c>
      <c r="CD85" s="170" t="s">
        <v>10</v>
      </c>
      <c r="CE85" s="162">
        <v>8490</v>
      </c>
      <c r="CF85" s="170"/>
      <c r="CG85" s="170"/>
      <c r="CH85" s="170">
        <v>2</v>
      </c>
      <c r="CI85" s="162">
        <v>0</v>
      </c>
      <c r="CJ85" s="162">
        <v>0</v>
      </c>
      <c r="CK85" s="162"/>
      <c r="CL85" s="162">
        <f>'комплекты фурнитуры'!$C$22</f>
        <v>940</v>
      </c>
      <c r="CM85" s="162"/>
      <c r="CN85" s="162"/>
    </row>
    <row r="86" spans="1:92" x14ac:dyDescent="0.25">
      <c r="A86" s="103"/>
    </row>
    <row r="87" spans="1:92" x14ac:dyDescent="0.25">
      <c r="A87" s="103"/>
    </row>
    <row r="88" spans="1:92" x14ac:dyDescent="0.25">
      <c r="A88" s="103"/>
    </row>
    <row r="89" spans="1:92" ht="15.75" x14ac:dyDescent="0.25">
      <c r="A89" s="103"/>
      <c r="AF89" s="18"/>
    </row>
    <row r="90" spans="1:92" x14ac:dyDescent="0.25">
      <c r="A90" s="103"/>
    </row>
    <row r="91" spans="1:92" x14ac:dyDescent="0.25">
      <c r="A91" s="103"/>
    </row>
    <row r="92" spans="1:92" x14ac:dyDescent="0.25">
      <c r="A92" s="172" t="s">
        <v>871</v>
      </c>
    </row>
    <row r="93" spans="1:92" ht="42.75" x14ac:dyDescent="0.25">
      <c r="A93" s="173" t="s">
        <v>872</v>
      </c>
    </row>
    <row r="94" spans="1:92" ht="28.5" x14ac:dyDescent="0.25">
      <c r="A94" s="174" t="s">
        <v>873</v>
      </c>
    </row>
    <row r="95" spans="1:92" ht="28.5" x14ac:dyDescent="0.25">
      <c r="A95" s="175" t="s">
        <v>879</v>
      </c>
    </row>
    <row r="96" spans="1:92" x14ac:dyDescent="0.25">
      <c r="A96" s="183" t="s">
        <v>882</v>
      </c>
    </row>
    <row r="97" spans="1:1" x14ac:dyDescent="0.25">
      <c r="A97" s="103"/>
    </row>
    <row r="98" spans="1:1" x14ac:dyDescent="0.25">
      <c r="A98" s="103"/>
    </row>
    <row r="99" spans="1:1" x14ac:dyDescent="0.25">
      <c r="A99" s="103"/>
    </row>
    <row r="100" spans="1:1" x14ac:dyDescent="0.25">
      <c r="A100" s="103"/>
    </row>
    <row r="101" spans="1:1" x14ac:dyDescent="0.25">
      <c r="A101" s="103"/>
    </row>
    <row r="102" spans="1:1" x14ac:dyDescent="0.25">
      <c r="A102" s="103"/>
    </row>
    <row r="103" spans="1:1" x14ac:dyDescent="0.25">
      <c r="A103" s="103"/>
    </row>
    <row r="104" spans="1:1" x14ac:dyDescent="0.25">
      <c r="A104" s="103"/>
    </row>
    <row r="105" spans="1:1" x14ac:dyDescent="0.25">
      <c r="A105" s="103"/>
    </row>
    <row r="106" spans="1:1" x14ac:dyDescent="0.25">
      <c r="A106" s="103"/>
    </row>
    <row r="107" spans="1:1" x14ac:dyDescent="0.25">
      <c r="A107" s="103"/>
    </row>
    <row r="108" spans="1:1" x14ac:dyDescent="0.25">
      <c r="A108" s="103"/>
    </row>
    <row r="109" spans="1:1" x14ac:dyDescent="0.25">
      <c r="A109" s="103"/>
    </row>
    <row r="110" spans="1:1" x14ac:dyDescent="0.25">
      <c r="A110" s="103"/>
    </row>
    <row r="111" spans="1:1" x14ac:dyDescent="0.25">
      <c r="A111" s="103"/>
    </row>
    <row r="112" spans="1:1" x14ac:dyDescent="0.25">
      <c r="A112" s="103"/>
    </row>
    <row r="113" spans="1:29" x14ac:dyDescent="0.25">
      <c r="A113" s="103"/>
    </row>
    <row r="114" spans="1:29" x14ac:dyDescent="0.25">
      <c r="A114" s="103"/>
    </row>
    <row r="115" spans="1:29" x14ac:dyDescent="0.25">
      <c r="A115" s="103"/>
      <c r="P115" s="284"/>
      <c r="Q115" s="284"/>
      <c r="R115" s="284"/>
      <c r="S115" s="284"/>
      <c r="T115" s="284"/>
      <c r="U115" s="284"/>
      <c r="V115" s="284"/>
      <c r="W115" s="284"/>
      <c r="X115" s="284"/>
      <c r="Y115" s="5"/>
    </row>
    <row r="116" spans="1:29" x14ac:dyDescent="0.25">
      <c r="A116" s="103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103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103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10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03"/>
    </row>
    <row r="121" spans="1:29" x14ac:dyDescent="0.25">
      <c r="A121" s="103"/>
    </row>
    <row r="122" spans="1:29" x14ac:dyDescent="0.25">
      <c r="A122" s="103"/>
    </row>
    <row r="123" spans="1:29" x14ac:dyDescent="0.25">
      <c r="A123" s="103"/>
    </row>
    <row r="124" spans="1:29" x14ac:dyDescent="0.25">
      <c r="A124" s="102"/>
    </row>
    <row r="125" spans="1:29" x14ac:dyDescent="0.25">
      <c r="A125" s="102"/>
    </row>
    <row r="126" spans="1:29" x14ac:dyDescent="0.25">
      <c r="A126" s="103"/>
    </row>
    <row r="127" spans="1:29" x14ac:dyDescent="0.25">
      <c r="A127" s="103"/>
    </row>
    <row r="128" spans="1:29" x14ac:dyDescent="0.25">
      <c r="A128" s="103"/>
    </row>
    <row r="129" spans="1:1" x14ac:dyDescent="0.25">
      <c r="A129" s="103"/>
    </row>
    <row r="130" spans="1:1" x14ac:dyDescent="0.25">
      <c r="A130" s="103"/>
    </row>
    <row r="131" spans="1:1" x14ac:dyDescent="0.25">
      <c r="A131" s="103"/>
    </row>
    <row r="132" spans="1:1" x14ac:dyDescent="0.25">
      <c r="A132" s="103"/>
    </row>
    <row r="133" spans="1:1" x14ac:dyDescent="0.25">
      <c r="A133" s="103"/>
    </row>
    <row r="134" spans="1:1" x14ac:dyDescent="0.25">
      <c r="A134" s="103"/>
    </row>
    <row r="135" spans="1:1" x14ac:dyDescent="0.25">
      <c r="A135" s="103"/>
    </row>
    <row r="136" spans="1:1" x14ac:dyDescent="0.25">
      <c r="A136" s="103"/>
    </row>
    <row r="137" spans="1:1" x14ac:dyDescent="0.25">
      <c r="A137" s="103"/>
    </row>
    <row r="138" spans="1:1" x14ac:dyDescent="0.25">
      <c r="A138" s="103"/>
    </row>
    <row r="139" spans="1:1" x14ac:dyDescent="0.25">
      <c r="A139" s="103"/>
    </row>
    <row r="140" spans="1:1" x14ac:dyDescent="0.25">
      <c r="A140" s="103"/>
    </row>
    <row r="141" spans="1:1" x14ac:dyDescent="0.25">
      <c r="A141" s="103"/>
    </row>
    <row r="142" spans="1:1" x14ac:dyDescent="0.25">
      <c r="A142" s="103"/>
    </row>
    <row r="143" spans="1:1" x14ac:dyDescent="0.25">
      <c r="A143" s="103"/>
    </row>
    <row r="144" spans="1:1" x14ac:dyDescent="0.25">
      <c r="A144" s="103"/>
    </row>
    <row r="145" spans="1:1" x14ac:dyDescent="0.25">
      <c r="A145" s="103"/>
    </row>
    <row r="146" spans="1:1" x14ac:dyDescent="0.25">
      <c r="A146" s="103"/>
    </row>
    <row r="147" spans="1:1" x14ac:dyDescent="0.25">
      <c r="A147" s="103"/>
    </row>
    <row r="148" spans="1:1" x14ac:dyDescent="0.25">
      <c r="A148" s="103"/>
    </row>
    <row r="149" spans="1:1" x14ac:dyDescent="0.25">
      <c r="A149" s="103"/>
    </row>
    <row r="150" spans="1:1" x14ac:dyDescent="0.25">
      <c r="A150" s="103"/>
    </row>
    <row r="151" spans="1:1" x14ac:dyDescent="0.25">
      <c r="A151" s="103"/>
    </row>
    <row r="152" spans="1:1" x14ac:dyDescent="0.25">
      <c r="A152" s="103"/>
    </row>
    <row r="153" spans="1:1" x14ac:dyDescent="0.25">
      <c r="A153" s="103"/>
    </row>
    <row r="154" spans="1:1" x14ac:dyDescent="0.25">
      <c r="A154" s="103"/>
    </row>
    <row r="155" spans="1:1" x14ac:dyDescent="0.25">
      <c r="A155" s="103"/>
    </row>
    <row r="156" spans="1:1" x14ac:dyDescent="0.25">
      <c r="A156" s="103"/>
    </row>
    <row r="157" spans="1:1" x14ac:dyDescent="0.25">
      <c r="A157" s="103"/>
    </row>
    <row r="158" spans="1:1" x14ac:dyDescent="0.25">
      <c r="A158" s="103"/>
    </row>
    <row r="159" spans="1:1" x14ac:dyDescent="0.25">
      <c r="A159" s="102"/>
    </row>
    <row r="161" ht="15" customHeight="1" x14ac:dyDescent="0.25"/>
  </sheetData>
  <mergeCells count="1">
    <mergeCell ref="P115:X115"/>
  </mergeCells>
  <phoneticPr fontId="6" type="noConversion"/>
  <conditionalFormatting sqref="O2:O85 CE2:CE85">
    <cfRule type="cellIs" dxfId="236" priority="2" operator="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0AED-CCE3-46AE-BB9B-1C119C154A0E}">
  <sheetPr codeName="Лист7"/>
  <dimension ref="A1:D153"/>
  <sheetViews>
    <sheetView topLeftCell="A58" workbookViewId="0">
      <selection activeCell="A80" sqref="A80"/>
    </sheetView>
  </sheetViews>
  <sheetFormatPr defaultRowHeight="15" x14ac:dyDescent="0.25"/>
  <cols>
    <col min="1" max="1" width="106.85546875" bestFit="1" customWidth="1"/>
    <col min="2" max="2" width="37.140625" bestFit="1" customWidth="1"/>
    <col min="3" max="3" width="30.7109375" bestFit="1" customWidth="1"/>
    <col min="4" max="4" width="11.85546875" bestFit="1" customWidth="1"/>
    <col min="5" max="5" width="37" bestFit="1" customWidth="1"/>
    <col min="6" max="6" width="34" bestFit="1" customWidth="1"/>
    <col min="7" max="7" width="41.7109375" bestFit="1" customWidth="1"/>
    <col min="8" max="9" width="34.85546875" bestFit="1" customWidth="1"/>
    <col min="10" max="10" width="58" bestFit="1" customWidth="1"/>
    <col min="11" max="11" width="36.42578125" bestFit="1" customWidth="1"/>
    <col min="12" max="12" width="39.5703125" bestFit="1" customWidth="1"/>
    <col min="13" max="14" width="34.85546875" bestFit="1" customWidth="1"/>
    <col min="15" max="15" width="19" bestFit="1" customWidth="1"/>
    <col min="16" max="18" width="12" bestFit="1" customWidth="1"/>
    <col min="19" max="19" width="11.28515625" bestFit="1" customWidth="1"/>
    <col min="20" max="20" width="12.42578125" bestFit="1" customWidth="1"/>
    <col min="21" max="21" width="31.7109375" bestFit="1" customWidth="1"/>
    <col min="22" max="22" width="11.5703125" bestFit="1" customWidth="1"/>
    <col min="23" max="23" width="11.42578125" bestFit="1" customWidth="1"/>
    <col min="24" max="24" width="24.42578125" bestFit="1" customWidth="1"/>
    <col min="25" max="26" width="31.85546875" bestFit="1" customWidth="1"/>
    <col min="27" max="27" width="37.28515625" bestFit="1" customWidth="1"/>
    <col min="28" max="29" width="13.42578125" bestFit="1" customWidth="1"/>
    <col min="30" max="32" width="12.28515625" bestFit="1" customWidth="1"/>
    <col min="33" max="33" width="11.28515625" bestFit="1" customWidth="1"/>
    <col min="34" max="34" width="11" bestFit="1" customWidth="1"/>
    <col min="35" max="35" width="12.42578125" bestFit="1" customWidth="1"/>
    <col min="36" max="36" width="12.140625" bestFit="1" customWidth="1"/>
    <col min="37" max="37" width="11.42578125" bestFit="1" customWidth="1"/>
    <col min="38" max="38" width="12.7109375" bestFit="1" customWidth="1"/>
    <col min="39" max="39" width="15.85546875" bestFit="1" customWidth="1"/>
    <col min="40" max="43" width="9.7109375" bestFit="1" customWidth="1"/>
    <col min="44" max="44" width="11" bestFit="1" customWidth="1"/>
    <col min="45" max="45" width="14.140625" bestFit="1" customWidth="1"/>
    <col min="46" max="46" width="33.5703125" bestFit="1" customWidth="1"/>
    <col min="47" max="47" width="36.7109375" bestFit="1" customWidth="1"/>
    <col min="48" max="49" width="32" bestFit="1" customWidth="1"/>
    <col min="50" max="50" width="38.28515625" bestFit="1" customWidth="1"/>
    <col min="51" max="51" width="41.28515625" bestFit="1" customWidth="1"/>
    <col min="52" max="53" width="36.5703125" bestFit="1" customWidth="1"/>
    <col min="54" max="54" width="33.5703125" bestFit="1" customWidth="1"/>
    <col min="55" max="55" width="36.7109375" bestFit="1" customWidth="1"/>
    <col min="56" max="56" width="41.42578125" bestFit="1" customWidth="1"/>
    <col min="57" max="58" width="32" bestFit="1" customWidth="1"/>
    <col min="59" max="59" width="33.5703125" bestFit="1" customWidth="1"/>
    <col min="60" max="60" width="36.7109375" bestFit="1" customWidth="1"/>
    <col min="61" max="62" width="32" bestFit="1" customWidth="1"/>
    <col min="63" max="63" width="22.5703125" bestFit="1" customWidth="1"/>
    <col min="64" max="64" width="35.7109375" bestFit="1" customWidth="1"/>
    <col min="65" max="65" width="26" bestFit="1" customWidth="1"/>
    <col min="66" max="66" width="26.7109375" bestFit="1" customWidth="1"/>
    <col min="67" max="67" width="35.28515625" bestFit="1" customWidth="1"/>
    <col min="68" max="68" width="25.85546875" bestFit="1" customWidth="1"/>
    <col min="69" max="69" width="18.85546875" bestFit="1" customWidth="1"/>
    <col min="70" max="70" width="66.28515625" bestFit="1" customWidth="1"/>
    <col min="71" max="71" width="52.85546875" bestFit="1" customWidth="1"/>
    <col min="72" max="72" width="25.140625" bestFit="1" customWidth="1"/>
    <col min="73" max="73" width="58.7109375" bestFit="1" customWidth="1"/>
    <col min="74" max="74" width="28.28515625" bestFit="1" customWidth="1"/>
    <col min="75" max="75" width="16.85546875" bestFit="1" customWidth="1"/>
    <col min="76" max="77" width="22" bestFit="1" customWidth="1"/>
    <col min="78" max="78" width="30.28515625" bestFit="1" customWidth="1"/>
    <col min="79" max="79" width="8.85546875" bestFit="1" customWidth="1"/>
    <col min="80" max="81" width="15.140625" bestFit="1" customWidth="1"/>
    <col min="82" max="83" width="26.5703125" bestFit="1" customWidth="1"/>
    <col min="84" max="84" width="12.7109375" bestFit="1" customWidth="1"/>
    <col min="85" max="85" width="24.85546875" bestFit="1" customWidth="1"/>
    <col min="86" max="87" width="22.85546875" bestFit="1" customWidth="1"/>
    <col min="88" max="88" width="26" bestFit="1" customWidth="1"/>
    <col min="89" max="89" width="25.5703125" bestFit="1" customWidth="1"/>
    <col min="90" max="93" width="22.85546875" bestFit="1" customWidth="1"/>
    <col min="94" max="101" width="21.85546875" bestFit="1" customWidth="1"/>
    <col min="102" max="102" width="27.85546875" bestFit="1" customWidth="1"/>
    <col min="103" max="103" width="21.5703125" bestFit="1" customWidth="1"/>
    <col min="104" max="104" width="29.42578125" bestFit="1" customWidth="1"/>
    <col min="105" max="105" width="46.85546875" bestFit="1" customWidth="1"/>
    <col min="106" max="106" width="42.5703125" bestFit="1" customWidth="1"/>
    <col min="107" max="107" width="41.7109375" bestFit="1" customWidth="1"/>
    <col min="108" max="108" width="34.140625" bestFit="1" customWidth="1"/>
    <col min="109" max="109" width="49.85546875" bestFit="1" customWidth="1"/>
    <col min="110" max="110" width="26.85546875" bestFit="1" customWidth="1"/>
    <col min="111" max="111" width="27.28515625" bestFit="1" customWidth="1"/>
    <col min="112" max="112" width="26.85546875" bestFit="1" customWidth="1"/>
    <col min="113" max="113" width="27.28515625" bestFit="1" customWidth="1"/>
    <col min="114" max="115" width="26.85546875" bestFit="1" customWidth="1"/>
    <col min="116" max="116" width="27.28515625" bestFit="1" customWidth="1"/>
    <col min="117" max="119" width="17.28515625" bestFit="1" customWidth="1"/>
    <col min="120" max="120" width="35.42578125" bestFit="1" customWidth="1"/>
    <col min="121" max="121" width="34.42578125" bestFit="1" customWidth="1"/>
    <col min="122" max="122" width="21.85546875" bestFit="1" customWidth="1"/>
    <col min="123" max="123" width="30.7109375" bestFit="1" customWidth="1"/>
    <col min="124" max="124" width="36.85546875" bestFit="1" customWidth="1"/>
    <col min="125" max="125" width="29.7109375" bestFit="1" customWidth="1"/>
    <col min="126" max="126" width="27" bestFit="1" customWidth="1"/>
    <col min="127" max="127" width="12" bestFit="1" customWidth="1"/>
  </cols>
  <sheetData>
    <row r="1" spans="1:4" x14ac:dyDescent="0.25">
      <c r="A1" s="192" t="s">
        <v>891</v>
      </c>
      <c r="B1" t="s">
        <v>948</v>
      </c>
    </row>
    <row r="3" spans="1:4" x14ac:dyDescent="0.25">
      <c r="A3" s="192" t="s">
        <v>1124</v>
      </c>
      <c r="B3" s="192" t="s">
        <v>1121</v>
      </c>
    </row>
    <row r="4" spans="1:4" x14ac:dyDescent="0.25">
      <c r="A4" s="192" t="s">
        <v>1123</v>
      </c>
      <c r="B4" t="s">
        <v>935</v>
      </c>
      <c r="C4" t="s">
        <v>947</v>
      </c>
      <c r="D4" t="s">
        <v>1122</v>
      </c>
    </row>
    <row r="5" spans="1:4" x14ac:dyDescent="0.25">
      <c r="A5" s="193" t="s">
        <v>31</v>
      </c>
      <c r="B5" s="194">
        <v>2820</v>
      </c>
      <c r="C5" s="194">
        <v>3110</v>
      </c>
      <c r="D5" s="194">
        <v>5930</v>
      </c>
    </row>
    <row r="6" spans="1:4" x14ac:dyDescent="0.25">
      <c r="A6" s="233" t="s">
        <v>1000</v>
      </c>
      <c r="B6" s="194">
        <v>2820</v>
      </c>
      <c r="C6" s="194">
        <v>3110</v>
      </c>
      <c r="D6" s="194">
        <v>5930</v>
      </c>
    </row>
    <row r="7" spans="1:4" x14ac:dyDescent="0.25">
      <c r="A7" s="193" t="s">
        <v>29</v>
      </c>
      <c r="B7" s="194">
        <v>2860</v>
      </c>
      <c r="C7" s="194">
        <v>3210</v>
      </c>
      <c r="D7" s="194">
        <v>6070</v>
      </c>
    </row>
    <row r="8" spans="1:4" x14ac:dyDescent="0.25">
      <c r="A8" s="233" t="s">
        <v>1021</v>
      </c>
      <c r="B8" s="194">
        <v>2860</v>
      </c>
      <c r="C8" s="194">
        <v>3210</v>
      </c>
      <c r="D8" s="194">
        <v>6070</v>
      </c>
    </row>
    <row r="9" spans="1:4" x14ac:dyDescent="0.25">
      <c r="A9" s="193" t="s">
        <v>865</v>
      </c>
      <c r="B9" s="194">
        <v>3340</v>
      </c>
      <c r="C9" s="194">
        <v>3830</v>
      </c>
      <c r="D9" s="194">
        <v>7170</v>
      </c>
    </row>
    <row r="10" spans="1:4" x14ac:dyDescent="0.25">
      <c r="A10" s="233" t="s">
        <v>946</v>
      </c>
      <c r="B10" s="194">
        <v>3340</v>
      </c>
      <c r="C10" s="194">
        <v>3830</v>
      </c>
      <c r="D10" s="194">
        <v>7170</v>
      </c>
    </row>
    <row r="11" spans="1:4" x14ac:dyDescent="0.25">
      <c r="A11" s="193" t="s">
        <v>945</v>
      </c>
      <c r="B11" s="194"/>
      <c r="C11" s="194">
        <v>3470</v>
      </c>
      <c r="D11" s="194">
        <v>3470</v>
      </c>
    </row>
    <row r="12" spans="1:4" x14ac:dyDescent="0.25">
      <c r="A12" s="233" t="s">
        <v>946</v>
      </c>
      <c r="B12" s="194"/>
      <c r="C12" s="194">
        <v>3470</v>
      </c>
      <c r="D12" s="194">
        <v>3470</v>
      </c>
    </row>
    <row r="13" spans="1:4" x14ac:dyDescent="0.25">
      <c r="A13" s="193" t="s">
        <v>30</v>
      </c>
      <c r="B13" s="194">
        <v>2860</v>
      </c>
      <c r="C13" s="194">
        <v>3210</v>
      </c>
      <c r="D13" s="194">
        <v>6070</v>
      </c>
    </row>
    <row r="14" spans="1:4" x14ac:dyDescent="0.25">
      <c r="A14" s="233" t="s">
        <v>1021</v>
      </c>
      <c r="B14" s="194">
        <v>2860</v>
      </c>
      <c r="C14" s="194">
        <v>3210</v>
      </c>
      <c r="D14" s="194">
        <v>6070</v>
      </c>
    </row>
    <row r="15" spans="1:4" x14ac:dyDescent="0.25">
      <c r="A15" s="193" t="s">
        <v>866</v>
      </c>
      <c r="B15" s="194">
        <v>3340</v>
      </c>
      <c r="C15" s="194">
        <v>3210</v>
      </c>
      <c r="D15" s="194">
        <v>6550</v>
      </c>
    </row>
    <row r="16" spans="1:4" x14ac:dyDescent="0.25">
      <c r="A16" s="233" t="s">
        <v>946</v>
      </c>
      <c r="B16" s="194">
        <v>3340</v>
      </c>
      <c r="C16" s="194">
        <v>3210</v>
      </c>
      <c r="D16" s="194">
        <v>6550</v>
      </c>
    </row>
    <row r="17" spans="1:4" x14ac:dyDescent="0.25">
      <c r="A17" s="193" t="s">
        <v>14</v>
      </c>
      <c r="B17" s="194">
        <v>2640</v>
      </c>
      <c r="C17" s="194">
        <v>2940</v>
      </c>
      <c r="D17" s="194">
        <v>5580</v>
      </c>
    </row>
    <row r="18" spans="1:4" x14ac:dyDescent="0.25">
      <c r="A18" s="233" t="s">
        <v>970</v>
      </c>
      <c r="B18" s="194">
        <v>2640</v>
      </c>
      <c r="C18" s="194">
        <v>2940</v>
      </c>
      <c r="D18" s="194">
        <v>5580</v>
      </c>
    </row>
    <row r="19" spans="1:4" x14ac:dyDescent="0.25">
      <c r="A19" s="193" t="s">
        <v>84</v>
      </c>
      <c r="B19" s="194">
        <v>2640</v>
      </c>
      <c r="C19" s="194">
        <v>2940</v>
      </c>
      <c r="D19" s="194">
        <v>5580</v>
      </c>
    </row>
    <row r="20" spans="1:4" x14ac:dyDescent="0.25">
      <c r="A20" s="233" t="s">
        <v>970</v>
      </c>
      <c r="B20" s="194">
        <v>2640</v>
      </c>
      <c r="C20" s="194">
        <v>2940</v>
      </c>
      <c r="D20" s="194">
        <v>5580</v>
      </c>
    </row>
    <row r="21" spans="1:4" x14ac:dyDescent="0.25">
      <c r="A21" s="193" t="s">
        <v>0</v>
      </c>
      <c r="B21" s="194">
        <v>2350</v>
      </c>
      <c r="C21" s="194">
        <v>2620</v>
      </c>
      <c r="D21" s="194">
        <v>4970</v>
      </c>
    </row>
    <row r="22" spans="1:4" x14ac:dyDescent="0.25">
      <c r="A22" s="233" t="s">
        <v>959</v>
      </c>
      <c r="B22" s="194">
        <v>2350</v>
      </c>
      <c r="C22" s="194">
        <v>2620</v>
      </c>
      <c r="D22" s="194">
        <v>4970</v>
      </c>
    </row>
    <row r="23" spans="1:4" x14ac:dyDescent="0.25">
      <c r="A23" s="193" t="s">
        <v>983</v>
      </c>
      <c r="B23" s="194">
        <v>2350</v>
      </c>
      <c r="C23" s="194">
        <v>2620</v>
      </c>
      <c r="D23" s="194">
        <v>4970</v>
      </c>
    </row>
    <row r="24" spans="1:4" x14ac:dyDescent="0.25">
      <c r="A24" s="233" t="s">
        <v>959</v>
      </c>
      <c r="B24" s="194">
        <v>2350</v>
      </c>
      <c r="C24" s="194">
        <v>2620</v>
      </c>
      <c r="D24" s="194">
        <v>4970</v>
      </c>
    </row>
    <row r="25" spans="1:4" x14ac:dyDescent="0.25">
      <c r="A25" s="193" t="s">
        <v>731</v>
      </c>
      <c r="B25" s="194">
        <v>3620</v>
      </c>
      <c r="C25" s="194">
        <v>4090</v>
      </c>
      <c r="D25" s="194">
        <v>7710</v>
      </c>
    </row>
    <row r="26" spans="1:4" x14ac:dyDescent="0.25">
      <c r="A26" s="233" t="s">
        <v>1000</v>
      </c>
      <c r="B26" s="194">
        <v>3620</v>
      </c>
      <c r="C26" s="194">
        <v>4090</v>
      </c>
      <c r="D26" s="194">
        <v>7710</v>
      </c>
    </row>
    <row r="27" spans="1:4" x14ac:dyDescent="0.25">
      <c r="A27" s="193" t="s">
        <v>16</v>
      </c>
      <c r="B27" s="194">
        <v>2960</v>
      </c>
      <c r="C27" s="194">
        <v>3290</v>
      </c>
      <c r="D27" s="194">
        <v>6250</v>
      </c>
    </row>
    <row r="28" spans="1:4" x14ac:dyDescent="0.25">
      <c r="A28" s="233" t="s">
        <v>970</v>
      </c>
      <c r="B28" s="194">
        <v>2960</v>
      </c>
      <c r="C28" s="194">
        <v>3290</v>
      </c>
      <c r="D28" s="194">
        <v>6250</v>
      </c>
    </row>
    <row r="29" spans="1:4" x14ac:dyDescent="0.25">
      <c r="A29" s="193" t="s">
        <v>11</v>
      </c>
      <c r="B29" s="194">
        <v>2350</v>
      </c>
      <c r="C29" s="194">
        <v>2620</v>
      </c>
      <c r="D29" s="194">
        <v>4970</v>
      </c>
    </row>
    <row r="30" spans="1:4" x14ac:dyDescent="0.25">
      <c r="A30" s="233" t="s">
        <v>959</v>
      </c>
      <c r="B30" s="194">
        <v>2350</v>
      </c>
      <c r="C30" s="194">
        <v>2620</v>
      </c>
      <c r="D30" s="194">
        <v>4970</v>
      </c>
    </row>
    <row r="31" spans="1:4" x14ac:dyDescent="0.25">
      <c r="A31" s="193" t="s">
        <v>1</v>
      </c>
      <c r="B31" s="194">
        <v>3060</v>
      </c>
      <c r="C31" s="194">
        <v>3420</v>
      </c>
      <c r="D31" s="194">
        <v>6480</v>
      </c>
    </row>
    <row r="32" spans="1:4" x14ac:dyDescent="0.25">
      <c r="A32" s="233" t="s">
        <v>970</v>
      </c>
      <c r="B32" s="194">
        <v>3060</v>
      </c>
      <c r="C32" s="194">
        <v>3420</v>
      </c>
      <c r="D32" s="194">
        <v>6480</v>
      </c>
    </row>
    <row r="33" spans="1:4" x14ac:dyDescent="0.25">
      <c r="A33" s="193" t="s">
        <v>15</v>
      </c>
      <c r="B33" s="194">
        <v>3510</v>
      </c>
      <c r="C33" s="194">
        <v>3880</v>
      </c>
      <c r="D33" s="194">
        <v>7390</v>
      </c>
    </row>
    <row r="34" spans="1:4" x14ac:dyDescent="0.25">
      <c r="A34" s="233" t="s">
        <v>970</v>
      </c>
      <c r="B34" s="194">
        <v>3510</v>
      </c>
      <c r="C34" s="194">
        <v>3880</v>
      </c>
      <c r="D34" s="194">
        <v>7390</v>
      </c>
    </row>
    <row r="35" spans="1:4" x14ac:dyDescent="0.25">
      <c r="A35" s="193" t="s">
        <v>77</v>
      </c>
      <c r="B35" s="194">
        <v>1780</v>
      </c>
      <c r="C35" s="194">
        <v>1960</v>
      </c>
      <c r="D35" s="194">
        <v>3740</v>
      </c>
    </row>
    <row r="36" spans="1:4" x14ac:dyDescent="0.25">
      <c r="A36" s="233" t="s">
        <v>951</v>
      </c>
      <c r="B36" s="194">
        <v>1780</v>
      </c>
      <c r="C36" s="194">
        <v>1960</v>
      </c>
      <c r="D36" s="194">
        <v>3740</v>
      </c>
    </row>
    <row r="37" spans="1:4" x14ac:dyDescent="0.25">
      <c r="A37" s="193" t="s">
        <v>863</v>
      </c>
      <c r="B37" s="194">
        <v>2530</v>
      </c>
      <c r="C37" s="194">
        <v>2820</v>
      </c>
      <c r="D37" s="194">
        <v>5350</v>
      </c>
    </row>
    <row r="38" spans="1:4" x14ac:dyDescent="0.25">
      <c r="A38" s="233" t="s">
        <v>951</v>
      </c>
      <c r="B38" s="194">
        <v>2530</v>
      </c>
      <c r="C38" s="194">
        <v>2820</v>
      </c>
      <c r="D38" s="194">
        <v>5350</v>
      </c>
    </row>
    <row r="39" spans="1:4" x14ac:dyDescent="0.25">
      <c r="A39" s="193" t="s">
        <v>78</v>
      </c>
      <c r="B39" s="194">
        <v>1780</v>
      </c>
      <c r="C39" s="194">
        <v>1960</v>
      </c>
      <c r="D39" s="194">
        <v>3740</v>
      </c>
    </row>
    <row r="40" spans="1:4" x14ac:dyDescent="0.25">
      <c r="A40" s="233" t="s">
        <v>1101</v>
      </c>
      <c r="B40" s="194">
        <v>1780</v>
      </c>
      <c r="C40" s="194">
        <v>1960</v>
      </c>
      <c r="D40" s="194">
        <v>3740</v>
      </c>
    </row>
    <row r="41" spans="1:4" x14ac:dyDescent="0.25">
      <c r="A41" s="193" t="s">
        <v>79</v>
      </c>
      <c r="B41" s="194">
        <v>1780</v>
      </c>
      <c r="C41" s="194">
        <v>1960</v>
      </c>
      <c r="D41" s="194">
        <v>3740</v>
      </c>
    </row>
    <row r="42" spans="1:4" x14ac:dyDescent="0.25">
      <c r="A42" s="233" t="s">
        <v>951</v>
      </c>
      <c r="B42" s="194">
        <v>1780</v>
      </c>
      <c r="C42" s="194">
        <v>1960</v>
      </c>
      <c r="D42" s="194">
        <v>3740</v>
      </c>
    </row>
    <row r="43" spans="1:4" x14ac:dyDescent="0.25">
      <c r="A43" s="193" t="s">
        <v>80</v>
      </c>
      <c r="B43" s="194">
        <v>2340</v>
      </c>
      <c r="C43" s="194">
        <v>2670</v>
      </c>
      <c r="D43" s="194">
        <v>5010</v>
      </c>
    </row>
    <row r="44" spans="1:4" x14ac:dyDescent="0.25">
      <c r="A44" s="233" t="s">
        <v>1099</v>
      </c>
      <c r="B44" s="194">
        <v>2340</v>
      </c>
      <c r="C44" s="194">
        <v>2670</v>
      </c>
      <c r="D44" s="194">
        <v>5010</v>
      </c>
    </row>
    <row r="45" spans="1:4" x14ac:dyDescent="0.25">
      <c r="A45" s="193" t="s">
        <v>81</v>
      </c>
      <c r="B45" s="194">
        <v>1780</v>
      </c>
      <c r="C45" s="194">
        <v>1960</v>
      </c>
      <c r="D45" s="194">
        <v>3740</v>
      </c>
    </row>
    <row r="46" spans="1:4" x14ac:dyDescent="0.25">
      <c r="A46" s="233" t="s">
        <v>951</v>
      </c>
      <c r="B46" s="194">
        <v>1780</v>
      </c>
      <c r="C46" s="194">
        <v>1960</v>
      </c>
      <c r="D46" s="194">
        <v>3740</v>
      </c>
    </row>
    <row r="47" spans="1:4" x14ac:dyDescent="0.25">
      <c r="A47" s="193" t="s">
        <v>864</v>
      </c>
      <c r="B47" s="194">
        <v>2530</v>
      </c>
      <c r="C47" s="194">
        <v>2820</v>
      </c>
      <c r="D47" s="194">
        <v>5350</v>
      </c>
    </row>
    <row r="48" spans="1:4" x14ac:dyDescent="0.25">
      <c r="A48" s="233" t="s">
        <v>951</v>
      </c>
      <c r="B48" s="194">
        <v>2530</v>
      </c>
      <c r="C48" s="194">
        <v>2820</v>
      </c>
      <c r="D48" s="194">
        <v>5350</v>
      </c>
    </row>
    <row r="49" spans="1:4" x14ac:dyDescent="0.25">
      <c r="A49" s="193" t="s">
        <v>28</v>
      </c>
      <c r="B49" s="194">
        <v>1780</v>
      </c>
      <c r="C49" s="194">
        <v>1960</v>
      </c>
      <c r="D49" s="194">
        <v>3740</v>
      </c>
    </row>
    <row r="50" spans="1:4" x14ac:dyDescent="0.25">
      <c r="A50" s="233" t="s">
        <v>951</v>
      </c>
      <c r="B50" s="194">
        <v>1780</v>
      </c>
      <c r="C50" s="194">
        <v>1960</v>
      </c>
      <c r="D50" s="194">
        <v>3740</v>
      </c>
    </row>
    <row r="51" spans="1:4" x14ac:dyDescent="0.25">
      <c r="A51" s="193" t="s">
        <v>21</v>
      </c>
      <c r="B51" s="194">
        <v>2538</v>
      </c>
      <c r="C51" s="194">
        <v>2829.6</v>
      </c>
      <c r="D51" s="194">
        <v>5367.6</v>
      </c>
    </row>
    <row r="52" spans="1:4" x14ac:dyDescent="0.25">
      <c r="A52" s="233" t="s">
        <v>959</v>
      </c>
      <c r="B52" s="194">
        <v>2538</v>
      </c>
      <c r="C52" s="194">
        <v>2829.6</v>
      </c>
      <c r="D52" s="194">
        <v>5367.6</v>
      </c>
    </row>
    <row r="53" spans="1:4" x14ac:dyDescent="0.25">
      <c r="A53" s="193" t="s">
        <v>985</v>
      </c>
      <c r="B53" s="194">
        <v>2538</v>
      </c>
      <c r="C53" s="194">
        <v>2829.6</v>
      </c>
      <c r="D53" s="194">
        <v>5367.6</v>
      </c>
    </row>
    <row r="54" spans="1:4" x14ac:dyDescent="0.25">
      <c r="A54" s="233" t="s">
        <v>959</v>
      </c>
      <c r="B54" s="194">
        <v>2538</v>
      </c>
      <c r="C54" s="194">
        <v>2829.6</v>
      </c>
      <c r="D54" s="194">
        <v>5367.6</v>
      </c>
    </row>
    <row r="55" spans="1:4" x14ac:dyDescent="0.25">
      <c r="A55" s="193" t="s">
        <v>23</v>
      </c>
      <c r="B55" s="194">
        <v>3196.8</v>
      </c>
      <c r="C55" s="194">
        <v>3553.2</v>
      </c>
      <c r="D55" s="194">
        <v>6750</v>
      </c>
    </row>
    <row r="56" spans="1:4" x14ac:dyDescent="0.25">
      <c r="A56" s="233" t="s">
        <v>970</v>
      </c>
      <c r="B56" s="194">
        <v>3196.8</v>
      </c>
      <c r="C56" s="194">
        <v>3553.2</v>
      </c>
      <c r="D56" s="194">
        <v>6750</v>
      </c>
    </row>
    <row r="57" spans="1:4" x14ac:dyDescent="0.25">
      <c r="A57" s="193" t="s">
        <v>22</v>
      </c>
      <c r="B57" s="194">
        <v>2538</v>
      </c>
      <c r="C57" s="194">
        <v>2829.6</v>
      </c>
      <c r="D57" s="194">
        <v>5367.6</v>
      </c>
    </row>
    <row r="58" spans="1:4" x14ac:dyDescent="0.25">
      <c r="A58" s="233" t="s">
        <v>959</v>
      </c>
      <c r="B58" s="194">
        <v>2538</v>
      </c>
      <c r="C58" s="194">
        <v>2829.6</v>
      </c>
      <c r="D58" s="194">
        <v>5367.6</v>
      </c>
    </row>
    <row r="59" spans="1:4" x14ac:dyDescent="0.25">
      <c r="A59" s="193" t="s">
        <v>24</v>
      </c>
      <c r="B59" s="194">
        <v>3304.8</v>
      </c>
      <c r="C59" s="194">
        <v>3693.6</v>
      </c>
      <c r="D59" s="194">
        <v>6998.4</v>
      </c>
    </row>
    <row r="60" spans="1:4" x14ac:dyDescent="0.25">
      <c r="A60" s="233" t="s">
        <v>970</v>
      </c>
      <c r="B60" s="194">
        <v>3304.8</v>
      </c>
      <c r="C60" s="194">
        <v>3693.6</v>
      </c>
      <c r="D60" s="194">
        <v>6998.4</v>
      </c>
    </row>
    <row r="61" spans="1:4" x14ac:dyDescent="0.25">
      <c r="A61" s="193" t="s">
        <v>3</v>
      </c>
      <c r="B61" s="194">
        <v>2350</v>
      </c>
      <c r="C61" s="194">
        <v>2620</v>
      </c>
      <c r="D61" s="194">
        <v>4970</v>
      </c>
    </row>
    <row r="62" spans="1:4" x14ac:dyDescent="0.25">
      <c r="A62" s="233" t="s">
        <v>957</v>
      </c>
      <c r="B62" s="194">
        <v>2350</v>
      </c>
      <c r="C62" s="194">
        <v>2620</v>
      </c>
      <c r="D62" s="194">
        <v>4970</v>
      </c>
    </row>
    <row r="63" spans="1:4" x14ac:dyDescent="0.25">
      <c r="A63" s="193" t="s">
        <v>36</v>
      </c>
      <c r="B63" s="194">
        <v>5220</v>
      </c>
      <c r="C63" s="194">
        <v>6930</v>
      </c>
      <c r="D63" s="194">
        <v>12150</v>
      </c>
    </row>
    <row r="64" spans="1:4" x14ac:dyDescent="0.25">
      <c r="A64" s="233" t="s">
        <v>992</v>
      </c>
      <c r="B64" s="194">
        <v>5220</v>
      </c>
      <c r="C64" s="194">
        <v>6930</v>
      </c>
      <c r="D64" s="194">
        <v>12150</v>
      </c>
    </row>
    <row r="65" spans="1:4" x14ac:dyDescent="0.25">
      <c r="A65" s="193" t="s">
        <v>43</v>
      </c>
      <c r="B65" s="194">
        <v>8710</v>
      </c>
      <c r="C65" s="194">
        <v>9950</v>
      </c>
      <c r="D65" s="194">
        <v>18660</v>
      </c>
    </row>
    <row r="66" spans="1:4" x14ac:dyDescent="0.25">
      <c r="A66" s="233" t="s">
        <v>1002</v>
      </c>
      <c r="B66" s="194">
        <v>8710</v>
      </c>
      <c r="C66" s="194">
        <v>9950</v>
      </c>
      <c r="D66" s="194">
        <v>18660</v>
      </c>
    </row>
    <row r="67" spans="1:4" x14ac:dyDescent="0.25">
      <c r="A67" s="193" t="s">
        <v>39</v>
      </c>
      <c r="B67" s="194">
        <v>6990</v>
      </c>
      <c r="C67" s="194">
        <v>7910</v>
      </c>
      <c r="D67" s="194">
        <v>14900</v>
      </c>
    </row>
    <row r="68" spans="1:4" x14ac:dyDescent="0.25">
      <c r="A68" s="233" t="s">
        <v>937</v>
      </c>
      <c r="B68" s="194">
        <v>6990</v>
      </c>
      <c r="C68" s="194">
        <v>7910</v>
      </c>
      <c r="D68" s="194">
        <v>14900</v>
      </c>
    </row>
    <row r="69" spans="1:4" x14ac:dyDescent="0.25">
      <c r="A69" s="193" t="s">
        <v>42</v>
      </c>
      <c r="B69" s="194">
        <v>9310</v>
      </c>
      <c r="C69" s="194">
        <v>10640</v>
      </c>
      <c r="D69" s="194">
        <v>19950</v>
      </c>
    </row>
    <row r="70" spans="1:4" x14ac:dyDescent="0.25">
      <c r="A70" s="233" t="s">
        <v>1002</v>
      </c>
      <c r="B70" s="194">
        <v>9310</v>
      </c>
      <c r="C70" s="194">
        <v>10640</v>
      </c>
      <c r="D70" s="194">
        <v>19950</v>
      </c>
    </row>
    <row r="71" spans="1:4" x14ac:dyDescent="0.25">
      <c r="A71" s="193" t="s">
        <v>37</v>
      </c>
      <c r="B71" s="194">
        <v>5637.6</v>
      </c>
      <c r="C71" s="194">
        <v>6404.4</v>
      </c>
      <c r="D71" s="194">
        <v>12042</v>
      </c>
    </row>
    <row r="72" spans="1:4" x14ac:dyDescent="0.25">
      <c r="A72" s="233" t="s">
        <v>992</v>
      </c>
      <c r="B72" s="194">
        <v>5637.6</v>
      </c>
      <c r="C72" s="194">
        <v>6404.4</v>
      </c>
      <c r="D72" s="194">
        <v>12042</v>
      </c>
    </row>
    <row r="73" spans="1:4" x14ac:dyDescent="0.25">
      <c r="A73" s="193" t="s">
        <v>1052</v>
      </c>
      <c r="B73" s="194">
        <v>7549.2</v>
      </c>
      <c r="C73" s="194">
        <v>8542.7999999999993</v>
      </c>
      <c r="D73" s="194">
        <v>16092</v>
      </c>
    </row>
    <row r="74" spans="1:4" x14ac:dyDescent="0.25">
      <c r="A74" s="233" t="s">
        <v>937</v>
      </c>
      <c r="B74" s="194">
        <v>7549.2</v>
      </c>
      <c r="C74" s="194">
        <v>8542.7999999999993</v>
      </c>
      <c r="D74" s="194">
        <v>16092</v>
      </c>
    </row>
    <row r="75" spans="1:4" x14ac:dyDescent="0.25">
      <c r="A75" s="193" t="s">
        <v>1054</v>
      </c>
      <c r="B75" s="194">
        <v>7549.2</v>
      </c>
      <c r="C75" s="194">
        <v>8542.7999999999993</v>
      </c>
      <c r="D75" s="194">
        <v>16092</v>
      </c>
    </row>
    <row r="76" spans="1:4" x14ac:dyDescent="0.25">
      <c r="A76" s="233" t="s">
        <v>937</v>
      </c>
      <c r="B76" s="194">
        <v>7549.2</v>
      </c>
      <c r="C76" s="194">
        <v>8542.7999999999993</v>
      </c>
      <c r="D76" s="194">
        <v>16092</v>
      </c>
    </row>
    <row r="77" spans="1:4" x14ac:dyDescent="0.25">
      <c r="A77" s="193" t="s">
        <v>1111</v>
      </c>
      <c r="B77" s="194">
        <v>7480</v>
      </c>
      <c r="C77" s="194">
        <v>8490</v>
      </c>
      <c r="D77" s="194">
        <v>15970</v>
      </c>
    </row>
    <row r="78" spans="1:4" x14ac:dyDescent="0.25">
      <c r="A78" s="233" t="s">
        <v>937</v>
      </c>
      <c r="B78" s="194">
        <v>7480</v>
      </c>
      <c r="C78" s="194">
        <v>8490</v>
      </c>
      <c r="D78" s="194">
        <v>15970</v>
      </c>
    </row>
    <row r="79" spans="1:4" x14ac:dyDescent="0.25">
      <c r="A79" s="193" t="s">
        <v>1113</v>
      </c>
      <c r="B79" s="194">
        <v>7320</v>
      </c>
      <c r="C79" s="194">
        <v>8340</v>
      </c>
      <c r="D79" s="194">
        <v>15660</v>
      </c>
    </row>
    <row r="80" spans="1:4" x14ac:dyDescent="0.25">
      <c r="A80" s="233" t="s">
        <v>937</v>
      </c>
      <c r="B80" s="194">
        <v>7320</v>
      </c>
      <c r="C80" s="194">
        <v>8340</v>
      </c>
      <c r="D80" s="194">
        <v>15660</v>
      </c>
    </row>
    <row r="81" spans="1:4" x14ac:dyDescent="0.25">
      <c r="A81" s="193" t="s">
        <v>40</v>
      </c>
      <c r="B81" s="194">
        <v>5750</v>
      </c>
      <c r="C81" s="194">
        <v>6560</v>
      </c>
      <c r="D81" s="194">
        <v>12310</v>
      </c>
    </row>
    <row r="82" spans="1:4" x14ac:dyDescent="0.25">
      <c r="A82" s="233" t="s">
        <v>937</v>
      </c>
      <c r="B82" s="194">
        <v>5750</v>
      </c>
      <c r="C82" s="194">
        <v>6560</v>
      </c>
      <c r="D82" s="194">
        <v>12310</v>
      </c>
    </row>
    <row r="83" spans="1:4" x14ac:dyDescent="0.25">
      <c r="A83" s="193" t="s">
        <v>41</v>
      </c>
      <c r="B83" s="194">
        <v>6210</v>
      </c>
      <c r="C83" s="194">
        <v>7084.8</v>
      </c>
      <c r="D83" s="194">
        <v>13294.8</v>
      </c>
    </row>
    <row r="84" spans="1:4" x14ac:dyDescent="0.25">
      <c r="A84" s="233" t="s">
        <v>937</v>
      </c>
      <c r="B84" s="194">
        <v>6210</v>
      </c>
      <c r="C84" s="194">
        <v>7084.8</v>
      </c>
      <c r="D84" s="194">
        <v>13294.8</v>
      </c>
    </row>
    <row r="85" spans="1:4" x14ac:dyDescent="0.25">
      <c r="A85" s="193" t="s">
        <v>44</v>
      </c>
      <c r="B85" s="194">
        <v>6800</v>
      </c>
      <c r="C85" s="194">
        <v>7810</v>
      </c>
      <c r="D85" s="194">
        <v>14610</v>
      </c>
    </row>
    <row r="86" spans="1:4" x14ac:dyDescent="0.25">
      <c r="A86" s="233" t="s">
        <v>1010</v>
      </c>
      <c r="B86" s="194">
        <v>6800</v>
      </c>
      <c r="C86" s="194">
        <v>7810</v>
      </c>
      <c r="D86" s="194">
        <v>14610</v>
      </c>
    </row>
    <row r="87" spans="1:4" x14ac:dyDescent="0.25">
      <c r="A87" s="193" t="s">
        <v>38</v>
      </c>
      <c r="B87" s="194">
        <v>5690</v>
      </c>
      <c r="C87" s="194">
        <v>6420</v>
      </c>
      <c r="D87" s="194">
        <v>12110</v>
      </c>
    </row>
    <row r="88" spans="1:4" x14ac:dyDescent="0.25">
      <c r="A88" s="233" t="s">
        <v>1042</v>
      </c>
      <c r="B88" s="194">
        <v>5690</v>
      </c>
      <c r="C88" s="194">
        <v>6420</v>
      </c>
      <c r="D88" s="194">
        <v>12110</v>
      </c>
    </row>
    <row r="89" spans="1:4" x14ac:dyDescent="0.25">
      <c r="A89" s="193" t="s">
        <v>994</v>
      </c>
      <c r="B89" s="194">
        <v>5220</v>
      </c>
      <c r="C89" s="194">
        <v>5930</v>
      </c>
      <c r="D89" s="194">
        <v>11150</v>
      </c>
    </row>
    <row r="90" spans="1:4" x14ac:dyDescent="0.25">
      <c r="A90" s="233" t="s">
        <v>992</v>
      </c>
      <c r="B90" s="194">
        <v>5220</v>
      </c>
      <c r="C90" s="194">
        <v>5930</v>
      </c>
      <c r="D90" s="194">
        <v>11150</v>
      </c>
    </row>
    <row r="91" spans="1:4" x14ac:dyDescent="0.25">
      <c r="A91" s="193" t="s">
        <v>1008</v>
      </c>
      <c r="B91" s="194">
        <v>8640</v>
      </c>
      <c r="C91" s="194">
        <v>9880</v>
      </c>
      <c r="D91" s="194">
        <v>18520</v>
      </c>
    </row>
    <row r="92" spans="1:4" x14ac:dyDescent="0.25">
      <c r="A92" s="233" t="s">
        <v>1002</v>
      </c>
      <c r="B92" s="194">
        <v>8640</v>
      </c>
      <c r="C92" s="194">
        <v>9880</v>
      </c>
      <c r="D92" s="194">
        <v>18520</v>
      </c>
    </row>
    <row r="93" spans="1:4" x14ac:dyDescent="0.25">
      <c r="A93" s="193" t="s">
        <v>1050</v>
      </c>
      <c r="B93" s="194">
        <v>8078.4</v>
      </c>
      <c r="C93" s="194">
        <v>9169.2000000000007</v>
      </c>
      <c r="D93" s="194">
        <v>17247.599999999999</v>
      </c>
    </row>
    <row r="94" spans="1:4" x14ac:dyDescent="0.25">
      <c r="A94" s="233" t="s">
        <v>1002</v>
      </c>
      <c r="B94" s="194">
        <v>8078.4</v>
      </c>
      <c r="C94" s="194">
        <v>9169.2000000000007</v>
      </c>
      <c r="D94" s="194">
        <v>17247.599999999999</v>
      </c>
    </row>
    <row r="95" spans="1:4" x14ac:dyDescent="0.25">
      <c r="A95" s="193" t="s">
        <v>1048</v>
      </c>
      <c r="B95" s="194">
        <v>7905.6</v>
      </c>
      <c r="C95" s="194">
        <v>9007.2000000000007</v>
      </c>
      <c r="D95" s="194">
        <v>16912.800000000003</v>
      </c>
    </row>
    <row r="96" spans="1:4" x14ac:dyDescent="0.25">
      <c r="A96" s="233" t="s">
        <v>937</v>
      </c>
      <c r="B96" s="194">
        <v>7905.6</v>
      </c>
      <c r="C96" s="194">
        <v>9007.2000000000007</v>
      </c>
      <c r="D96" s="194">
        <v>16912.800000000003</v>
      </c>
    </row>
    <row r="97" spans="1:4" x14ac:dyDescent="0.25">
      <c r="A97" s="193" t="s">
        <v>1005</v>
      </c>
      <c r="B97" s="194">
        <v>7500</v>
      </c>
      <c r="C97" s="194">
        <v>8590</v>
      </c>
      <c r="D97" s="194">
        <v>16090</v>
      </c>
    </row>
    <row r="98" spans="1:4" x14ac:dyDescent="0.25">
      <c r="A98" s="233" t="s">
        <v>1002</v>
      </c>
      <c r="B98" s="194">
        <v>7500</v>
      </c>
      <c r="C98" s="194">
        <v>8590</v>
      </c>
      <c r="D98" s="194">
        <v>16090</v>
      </c>
    </row>
    <row r="99" spans="1:4" x14ac:dyDescent="0.25">
      <c r="A99" s="193" t="s">
        <v>19</v>
      </c>
      <c r="B99" s="194">
        <v>2270</v>
      </c>
      <c r="C99" s="194">
        <v>2540</v>
      </c>
      <c r="D99" s="194">
        <v>4810</v>
      </c>
    </row>
    <row r="100" spans="1:4" x14ac:dyDescent="0.25">
      <c r="A100" s="233" t="s">
        <v>978</v>
      </c>
      <c r="B100" s="194">
        <v>2270</v>
      </c>
      <c r="C100" s="194">
        <v>2540</v>
      </c>
      <c r="D100" s="194">
        <v>4810</v>
      </c>
    </row>
    <row r="101" spans="1:4" x14ac:dyDescent="0.25">
      <c r="A101" s="193" t="s">
        <v>20</v>
      </c>
      <c r="B101" s="194">
        <v>2270</v>
      </c>
      <c r="C101" s="194">
        <v>2540</v>
      </c>
      <c r="D101" s="194">
        <v>4810</v>
      </c>
    </row>
    <row r="102" spans="1:4" x14ac:dyDescent="0.25">
      <c r="A102" s="233" t="s">
        <v>978</v>
      </c>
      <c r="B102" s="194">
        <v>2270</v>
      </c>
      <c r="C102" s="194">
        <v>2540</v>
      </c>
      <c r="D102" s="194">
        <v>4810</v>
      </c>
    </row>
    <row r="103" spans="1:4" x14ac:dyDescent="0.25">
      <c r="A103" s="193" t="s">
        <v>32</v>
      </c>
      <c r="B103" s="194">
        <v>2120</v>
      </c>
      <c r="C103" s="194">
        <v>2320</v>
      </c>
      <c r="D103" s="194">
        <v>4440</v>
      </c>
    </row>
    <row r="104" spans="1:4" x14ac:dyDescent="0.25">
      <c r="A104" s="233" t="s">
        <v>1031</v>
      </c>
      <c r="B104" s="194">
        <v>2120</v>
      </c>
      <c r="C104" s="194">
        <v>2320</v>
      </c>
      <c r="D104" s="194">
        <v>4440</v>
      </c>
    </row>
    <row r="105" spans="1:4" x14ac:dyDescent="0.25">
      <c r="A105" s="193" t="s">
        <v>18</v>
      </c>
      <c r="B105" s="194">
        <v>2870</v>
      </c>
      <c r="C105" s="194">
        <v>3200</v>
      </c>
      <c r="D105" s="194">
        <v>6070</v>
      </c>
    </row>
    <row r="106" spans="1:4" x14ac:dyDescent="0.25">
      <c r="A106" s="233" t="s">
        <v>1038</v>
      </c>
      <c r="B106" s="194">
        <v>2870</v>
      </c>
      <c r="C106" s="194">
        <v>3200</v>
      </c>
      <c r="D106" s="194">
        <v>6070</v>
      </c>
    </row>
    <row r="107" spans="1:4" x14ac:dyDescent="0.25">
      <c r="A107" s="193" t="s">
        <v>35</v>
      </c>
      <c r="B107" s="194">
        <v>2170</v>
      </c>
      <c r="C107" s="194">
        <v>2400</v>
      </c>
      <c r="D107" s="194">
        <v>4570</v>
      </c>
    </row>
    <row r="108" spans="1:4" x14ac:dyDescent="0.25">
      <c r="A108" s="233" t="s">
        <v>1040</v>
      </c>
      <c r="B108" s="194">
        <v>2170</v>
      </c>
      <c r="C108" s="194">
        <v>2400</v>
      </c>
      <c r="D108" s="194">
        <v>4570</v>
      </c>
    </row>
    <row r="109" spans="1:4" x14ac:dyDescent="0.25">
      <c r="A109" s="193" t="s">
        <v>17</v>
      </c>
      <c r="B109" s="194">
        <v>2760</v>
      </c>
      <c r="C109" s="194">
        <v>3190</v>
      </c>
      <c r="D109" s="194">
        <v>5950</v>
      </c>
    </row>
    <row r="110" spans="1:4" x14ac:dyDescent="0.25">
      <c r="A110" s="233" t="s">
        <v>975</v>
      </c>
      <c r="B110" s="194">
        <v>2760</v>
      </c>
      <c r="C110" s="194">
        <v>3190</v>
      </c>
      <c r="D110" s="194">
        <v>5950</v>
      </c>
    </row>
    <row r="111" spans="1:4" x14ac:dyDescent="0.25">
      <c r="A111" s="193" t="s">
        <v>134</v>
      </c>
      <c r="B111" s="194">
        <v>3456</v>
      </c>
      <c r="C111" s="194">
        <v>3920.4</v>
      </c>
      <c r="D111" s="194">
        <v>7376.4</v>
      </c>
    </row>
    <row r="112" spans="1:4" x14ac:dyDescent="0.25">
      <c r="A112" s="233" t="s">
        <v>951</v>
      </c>
      <c r="B112" s="194">
        <v>3456</v>
      </c>
      <c r="C112" s="194">
        <v>3920.4</v>
      </c>
      <c r="D112" s="194">
        <v>7376.4</v>
      </c>
    </row>
    <row r="113" spans="1:4" x14ac:dyDescent="0.25">
      <c r="A113" s="193" t="s">
        <v>133</v>
      </c>
      <c r="B113" s="194">
        <v>3456</v>
      </c>
      <c r="C113" s="194">
        <v>3920.4</v>
      </c>
      <c r="D113" s="194">
        <v>7376.4</v>
      </c>
    </row>
    <row r="114" spans="1:4" x14ac:dyDescent="0.25">
      <c r="A114" s="233" t="s">
        <v>951</v>
      </c>
      <c r="B114" s="194">
        <v>3456</v>
      </c>
      <c r="C114" s="194">
        <v>3920.4</v>
      </c>
      <c r="D114" s="194">
        <v>7376.4</v>
      </c>
    </row>
    <row r="115" spans="1:4" x14ac:dyDescent="0.25">
      <c r="A115" s="193" t="s">
        <v>129</v>
      </c>
      <c r="B115" s="194">
        <v>3200</v>
      </c>
      <c r="C115" s="194">
        <v>3630</v>
      </c>
      <c r="D115" s="194">
        <v>6830</v>
      </c>
    </row>
    <row r="116" spans="1:4" x14ac:dyDescent="0.25">
      <c r="A116" s="233" t="s">
        <v>966</v>
      </c>
      <c r="B116" s="194">
        <v>3200</v>
      </c>
      <c r="C116" s="194">
        <v>3630</v>
      </c>
      <c r="D116" s="194">
        <v>6830</v>
      </c>
    </row>
    <row r="117" spans="1:4" x14ac:dyDescent="0.25">
      <c r="A117" s="193" t="s">
        <v>128</v>
      </c>
      <c r="B117" s="194">
        <v>3200</v>
      </c>
      <c r="C117" s="194">
        <v>3630</v>
      </c>
      <c r="D117" s="194">
        <v>6830</v>
      </c>
    </row>
    <row r="118" spans="1:4" x14ac:dyDescent="0.25">
      <c r="A118" s="233" t="s">
        <v>966</v>
      </c>
      <c r="B118" s="194">
        <v>3200</v>
      </c>
      <c r="C118" s="194">
        <v>3630</v>
      </c>
      <c r="D118" s="194">
        <v>6830</v>
      </c>
    </row>
    <row r="119" spans="1:4" x14ac:dyDescent="0.25">
      <c r="A119" s="193" t="s">
        <v>1014</v>
      </c>
      <c r="B119" s="194">
        <v>2960</v>
      </c>
      <c r="C119" s="194">
        <v>3270</v>
      </c>
      <c r="D119" s="194">
        <v>6230</v>
      </c>
    </row>
    <row r="120" spans="1:4" x14ac:dyDescent="0.25">
      <c r="A120" s="233" t="s">
        <v>1000</v>
      </c>
      <c r="B120" s="194">
        <v>2960</v>
      </c>
      <c r="C120" s="194">
        <v>3270</v>
      </c>
      <c r="D120" s="194">
        <v>6230</v>
      </c>
    </row>
    <row r="121" spans="1:4" x14ac:dyDescent="0.25">
      <c r="A121" s="193" t="s">
        <v>1036</v>
      </c>
      <c r="B121" s="194">
        <v>2960</v>
      </c>
      <c r="C121" s="194">
        <v>3270</v>
      </c>
      <c r="D121" s="194">
        <v>6230</v>
      </c>
    </row>
    <row r="122" spans="1:4" x14ac:dyDescent="0.25">
      <c r="A122" s="233" t="s">
        <v>1000</v>
      </c>
      <c r="B122" s="194">
        <v>2960</v>
      </c>
      <c r="C122" s="194">
        <v>3270</v>
      </c>
      <c r="D122" s="194">
        <v>6230</v>
      </c>
    </row>
    <row r="123" spans="1:4" x14ac:dyDescent="0.25">
      <c r="A123" s="193" t="s">
        <v>82</v>
      </c>
      <c r="B123" s="194">
        <v>1780</v>
      </c>
      <c r="C123" s="194">
        <v>1960</v>
      </c>
      <c r="D123" s="194">
        <v>3740</v>
      </c>
    </row>
    <row r="124" spans="1:4" x14ac:dyDescent="0.25">
      <c r="A124" s="233" t="s">
        <v>951</v>
      </c>
      <c r="B124" s="194">
        <v>1780</v>
      </c>
      <c r="C124" s="194">
        <v>1960</v>
      </c>
      <c r="D124" s="194">
        <v>3740</v>
      </c>
    </row>
    <row r="125" spans="1:4" x14ac:dyDescent="0.25">
      <c r="A125" s="193" t="s">
        <v>33</v>
      </c>
      <c r="B125" s="194">
        <v>1780</v>
      </c>
      <c r="C125" s="194">
        <v>1960</v>
      </c>
      <c r="D125" s="194">
        <v>3740</v>
      </c>
    </row>
    <row r="126" spans="1:4" x14ac:dyDescent="0.25">
      <c r="A126" s="233" t="s">
        <v>951</v>
      </c>
      <c r="B126" s="194">
        <v>1780</v>
      </c>
      <c r="C126" s="194">
        <v>1960</v>
      </c>
      <c r="D126" s="194">
        <v>3740</v>
      </c>
    </row>
    <row r="127" spans="1:4" x14ac:dyDescent="0.25">
      <c r="A127" s="193" t="s">
        <v>34</v>
      </c>
      <c r="B127" s="194">
        <v>1780</v>
      </c>
      <c r="C127" s="194">
        <v>1960</v>
      </c>
      <c r="D127" s="194">
        <v>3740</v>
      </c>
    </row>
    <row r="128" spans="1:4" x14ac:dyDescent="0.25">
      <c r="A128" s="233" t="s">
        <v>951</v>
      </c>
      <c r="B128" s="194">
        <v>1780</v>
      </c>
      <c r="C128" s="194">
        <v>1960</v>
      </c>
      <c r="D128" s="194">
        <v>3740</v>
      </c>
    </row>
    <row r="129" spans="1:4" x14ac:dyDescent="0.25">
      <c r="A129" s="193" t="s">
        <v>2</v>
      </c>
      <c r="B129" s="194">
        <v>1780</v>
      </c>
      <c r="C129" s="194">
        <v>1960</v>
      </c>
      <c r="D129" s="194">
        <v>3740</v>
      </c>
    </row>
    <row r="130" spans="1:4" x14ac:dyDescent="0.25">
      <c r="A130" s="233" t="s">
        <v>951</v>
      </c>
      <c r="B130" s="194">
        <v>1780</v>
      </c>
      <c r="C130" s="194">
        <v>1960</v>
      </c>
      <c r="D130" s="194">
        <v>3740</v>
      </c>
    </row>
    <row r="131" spans="1:4" x14ac:dyDescent="0.25">
      <c r="A131" s="193" t="s">
        <v>25</v>
      </c>
      <c r="B131" s="194">
        <v>2538</v>
      </c>
      <c r="C131" s="194">
        <v>2829.6</v>
      </c>
      <c r="D131" s="194">
        <v>5367.6</v>
      </c>
    </row>
    <row r="132" spans="1:4" x14ac:dyDescent="0.25">
      <c r="A132" s="233" t="s">
        <v>959</v>
      </c>
      <c r="B132" s="194">
        <v>2538</v>
      </c>
      <c r="C132" s="194">
        <v>2829.6</v>
      </c>
      <c r="D132" s="194">
        <v>5367.6</v>
      </c>
    </row>
    <row r="133" spans="1:4" x14ac:dyDescent="0.25">
      <c r="A133" s="193" t="s">
        <v>26</v>
      </c>
      <c r="B133" s="194">
        <v>2538</v>
      </c>
      <c r="C133" s="194">
        <v>2829.6</v>
      </c>
      <c r="D133" s="194">
        <v>5367.6</v>
      </c>
    </row>
    <row r="134" spans="1:4" x14ac:dyDescent="0.25">
      <c r="A134" s="233" t="s">
        <v>959</v>
      </c>
      <c r="B134" s="194">
        <v>2538</v>
      </c>
      <c r="C134" s="194">
        <v>2829.6</v>
      </c>
      <c r="D134" s="194">
        <v>5367.6</v>
      </c>
    </row>
    <row r="135" spans="1:4" x14ac:dyDescent="0.25">
      <c r="A135" s="193" t="s">
        <v>12</v>
      </c>
      <c r="B135" s="194">
        <v>2380</v>
      </c>
      <c r="C135" s="194">
        <v>2690</v>
      </c>
      <c r="D135" s="194">
        <v>5070</v>
      </c>
    </row>
    <row r="136" spans="1:4" x14ac:dyDescent="0.25">
      <c r="A136" s="233" t="s">
        <v>962</v>
      </c>
      <c r="B136" s="194">
        <v>2380</v>
      </c>
      <c r="C136" s="194">
        <v>2690</v>
      </c>
      <c r="D136" s="194">
        <v>5070</v>
      </c>
    </row>
    <row r="137" spans="1:4" x14ac:dyDescent="0.25">
      <c r="A137" s="193" t="s">
        <v>13</v>
      </c>
      <c r="B137" s="194">
        <v>2380</v>
      </c>
      <c r="C137" s="194">
        <v>2690</v>
      </c>
      <c r="D137" s="194">
        <v>5070</v>
      </c>
    </row>
    <row r="138" spans="1:4" x14ac:dyDescent="0.25">
      <c r="A138" s="233" t="s">
        <v>964</v>
      </c>
      <c r="B138" s="194">
        <v>2380</v>
      </c>
      <c r="C138" s="194">
        <v>2690</v>
      </c>
      <c r="D138" s="194">
        <v>5070</v>
      </c>
    </row>
    <row r="139" spans="1:4" x14ac:dyDescent="0.25">
      <c r="A139" s="193" t="s">
        <v>131</v>
      </c>
      <c r="B139" s="194">
        <v>2980</v>
      </c>
      <c r="C139" s="194">
        <v>3420</v>
      </c>
      <c r="D139" s="194">
        <v>6400</v>
      </c>
    </row>
    <row r="140" spans="1:4" x14ac:dyDescent="0.25">
      <c r="A140" s="233" t="s">
        <v>968</v>
      </c>
      <c r="B140" s="194">
        <v>2980</v>
      </c>
      <c r="C140" s="194">
        <v>3420</v>
      </c>
      <c r="D140" s="194">
        <v>6400</v>
      </c>
    </row>
    <row r="141" spans="1:4" x14ac:dyDescent="0.25">
      <c r="A141" s="193" t="s">
        <v>130</v>
      </c>
      <c r="B141" s="194">
        <v>2980</v>
      </c>
      <c r="C141" s="194">
        <v>3420</v>
      </c>
      <c r="D141" s="194">
        <v>6400</v>
      </c>
    </row>
    <row r="142" spans="1:4" x14ac:dyDescent="0.25">
      <c r="A142" s="233" t="s">
        <v>968</v>
      </c>
      <c r="B142" s="194">
        <v>2980</v>
      </c>
      <c r="C142" s="194">
        <v>3420</v>
      </c>
      <c r="D142" s="194">
        <v>6400</v>
      </c>
    </row>
    <row r="143" spans="1:4" x14ac:dyDescent="0.25">
      <c r="A143" s="193" t="s">
        <v>1016</v>
      </c>
      <c r="B143" s="194">
        <v>1710</v>
      </c>
      <c r="C143" s="194">
        <v>1880</v>
      </c>
      <c r="D143" s="194">
        <v>3590</v>
      </c>
    </row>
    <row r="144" spans="1:4" x14ac:dyDescent="0.25">
      <c r="A144" s="233" t="s">
        <v>1017</v>
      </c>
      <c r="B144" s="194">
        <v>1710</v>
      </c>
      <c r="C144" s="194">
        <v>1880</v>
      </c>
      <c r="D144" s="194">
        <v>3590</v>
      </c>
    </row>
    <row r="145" spans="1:4" x14ac:dyDescent="0.25">
      <c r="A145" s="193" t="s">
        <v>1023</v>
      </c>
      <c r="B145" s="194">
        <v>1710</v>
      </c>
      <c r="C145" s="194">
        <v>1880</v>
      </c>
      <c r="D145" s="194">
        <v>3590</v>
      </c>
    </row>
    <row r="146" spans="1:4" x14ac:dyDescent="0.25">
      <c r="A146" s="233" t="s">
        <v>951</v>
      </c>
      <c r="B146" s="194">
        <v>1710</v>
      </c>
      <c r="C146" s="194">
        <v>1880</v>
      </c>
      <c r="D146" s="194">
        <v>3590</v>
      </c>
    </row>
    <row r="147" spans="1:4" x14ac:dyDescent="0.25">
      <c r="A147" s="193" t="s">
        <v>1019</v>
      </c>
      <c r="B147" s="194">
        <v>1710</v>
      </c>
      <c r="C147" s="194">
        <v>1880</v>
      </c>
      <c r="D147" s="194">
        <v>3590</v>
      </c>
    </row>
    <row r="148" spans="1:4" x14ac:dyDescent="0.25">
      <c r="A148" s="233" t="s">
        <v>1017</v>
      </c>
      <c r="B148" s="194">
        <v>1710</v>
      </c>
      <c r="C148" s="194">
        <v>1880</v>
      </c>
      <c r="D148" s="194">
        <v>3590</v>
      </c>
    </row>
    <row r="149" spans="1:4" x14ac:dyDescent="0.25">
      <c r="A149" s="193" t="s">
        <v>1026</v>
      </c>
      <c r="B149" s="194">
        <v>1710</v>
      </c>
      <c r="C149" s="194">
        <v>1880</v>
      </c>
      <c r="D149" s="194">
        <v>3590</v>
      </c>
    </row>
    <row r="150" spans="1:4" x14ac:dyDescent="0.25">
      <c r="A150" s="233" t="s">
        <v>1027</v>
      </c>
      <c r="B150" s="194">
        <v>1710</v>
      </c>
      <c r="C150" s="194">
        <v>1880</v>
      </c>
      <c r="D150" s="194">
        <v>3590</v>
      </c>
    </row>
    <row r="151" spans="1:4" x14ac:dyDescent="0.25">
      <c r="A151" s="193" t="s">
        <v>27</v>
      </c>
      <c r="B151" s="194">
        <v>1940</v>
      </c>
      <c r="C151" s="194">
        <v>2170</v>
      </c>
      <c r="D151" s="194">
        <v>4110</v>
      </c>
    </row>
    <row r="152" spans="1:4" x14ac:dyDescent="0.25">
      <c r="A152" s="233" t="s">
        <v>1029</v>
      </c>
      <c r="B152" s="194">
        <v>1940</v>
      </c>
      <c r="C152" s="194">
        <v>2170</v>
      </c>
      <c r="D152" s="194">
        <v>4110</v>
      </c>
    </row>
    <row r="153" spans="1:4" x14ac:dyDescent="0.25">
      <c r="A153" s="193" t="s">
        <v>1122</v>
      </c>
      <c r="B153" s="194">
        <v>266413.59999999998</v>
      </c>
      <c r="C153" s="194">
        <v>304366.79999999993</v>
      </c>
      <c r="D153" s="194">
        <v>570780.4</v>
      </c>
    </row>
  </sheetData>
  <sheetProtection algorithmName="SHA-512" hashValue="gMUwz+otOBodcV+yRzPPU6LTerDgxIaK+UYQeQmc8MnG73WiCe1W0jLze1Fh5zA0r4CgqGjao+Ivwant9O1wxA==" saltValue="5a/iWv9H9bn56unCCQkGx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BK1" zoomScale="115" zoomScaleNormal="115" workbookViewId="0">
      <selection activeCell="BL4" sqref="BL4"/>
    </sheetView>
  </sheetViews>
  <sheetFormatPr defaultColWidth="9.140625" defaultRowHeight="15.75" x14ac:dyDescent="0.25"/>
  <cols>
    <col min="1" max="1" width="38.5703125" style="23" bestFit="1" customWidth="1"/>
    <col min="2" max="2" width="15" style="23" customWidth="1"/>
    <col min="3" max="3" width="9.140625" style="23" customWidth="1"/>
    <col min="4" max="4" width="7.42578125" style="23" customWidth="1"/>
    <col min="5" max="6" width="9.140625" style="23"/>
    <col min="7" max="7" width="7.42578125" style="23" bestFit="1" customWidth="1"/>
    <col min="8" max="10" width="9.140625" style="23"/>
    <col min="11" max="11" width="18.140625" style="23" bestFit="1" customWidth="1"/>
    <col min="12" max="12" width="31.7109375" style="23" bestFit="1" customWidth="1"/>
    <col min="13" max="13" width="15.140625" style="23" bestFit="1" customWidth="1"/>
    <col min="14" max="14" width="25.28515625" style="23" customWidth="1"/>
    <col min="15" max="15" width="15.85546875" style="23" bestFit="1" customWidth="1"/>
    <col min="16" max="16" width="14.7109375" style="23" customWidth="1"/>
    <col min="17" max="17" width="13.28515625" style="23" customWidth="1"/>
    <col min="18" max="18" width="9.140625" style="23"/>
    <col min="19" max="19" width="34.85546875" style="23" bestFit="1" customWidth="1"/>
    <col min="20" max="20" width="23.28515625" style="23" bestFit="1" customWidth="1"/>
    <col min="21" max="21" width="22.7109375" style="23" bestFit="1" customWidth="1"/>
    <col min="22" max="22" width="16.140625" style="23" bestFit="1" customWidth="1"/>
    <col min="23" max="23" width="18.85546875" style="23" bestFit="1" customWidth="1"/>
    <col min="24" max="24" width="16.140625" style="23" bestFit="1" customWidth="1"/>
    <col min="25" max="25" width="16.140625" style="23" customWidth="1"/>
    <col min="26" max="27" width="18.28515625" style="23" customWidth="1"/>
    <col min="28" max="28" width="36.28515625" style="23" bestFit="1" customWidth="1"/>
    <col min="29" max="30" width="29.42578125" style="23" customWidth="1"/>
    <col min="31" max="31" width="15.42578125" style="23" bestFit="1" customWidth="1"/>
    <col min="32" max="35" width="15.42578125" style="23" customWidth="1"/>
    <col min="36" max="36" width="23.7109375" style="23" bestFit="1" customWidth="1"/>
    <col min="37" max="37" width="25.140625" style="23" bestFit="1" customWidth="1"/>
    <col min="38" max="38" width="25.140625" style="23" customWidth="1"/>
    <col min="39" max="39" width="10.5703125" style="23" customWidth="1"/>
    <col min="40" max="40" width="52" style="23" bestFit="1" customWidth="1"/>
    <col min="41" max="51" width="30.42578125" style="23" customWidth="1"/>
    <col min="52" max="53" width="15.5703125" style="23" bestFit="1" customWidth="1"/>
    <col min="54" max="54" width="24" style="23" bestFit="1" customWidth="1"/>
    <col min="55" max="55" width="17.42578125" style="23" bestFit="1" customWidth="1"/>
    <col min="56" max="56" width="20.85546875" style="23" bestFit="1" customWidth="1"/>
    <col min="57" max="57" width="18.7109375" style="23" bestFit="1" customWidth="1"/>
    <col min="58" max="59" width="18.7109375" style="23" customWidth="1"/>
    <col min="60" max="60" width="54.42578125" style="23" bestFit="1" customWidth="1"/>
    <col min="61" max="61" width="18.7109375" style="23" customWidth="1"/>
    <col min="62" max="62" width="33.85546875" style="23" bestFit="1" customWidth="1"/>
    <col min="63" max="63" width="33.85546875" style="23" customWidth="1"/>
    <col min="64" max="64" width="42.140625" style="23" bestFit="1" customWidth="1"/>
    <col min="65" max="65" width="12.7109375" style="23" bestFit="1" customWidth="1"/>
    <col min="66" max="68" width="9.140625" style="23"/>
    <col min="69" max="69" width="86.42578125" style="23" bestFit="1" customWidth="1"/>
    <col min="70" max="70" width="10.7109375" style="23" bestFit="1" customWidth="1"/>
    <col min="71" max="72" width="9.140625" style="23"/>
    <col min="73" max="73" width="70.85546875" style="23" bestFit="1" customWidth="1"/>
    <col min="74" max="74" width="9" style="23" customWidth="1"/>
    <col min="75" max="75" width="9.140625" style="23"/>
    <col min="76" max="76" width="80.85546875" style="23" bestFit="1" customWidth="1"/>
    <col min="77" max="77" width="10.85546875" style="23" customWidth="1"/>
    <col min="78" max="80" width="9.140625" style="23"/>
    <col min="81" max="81" width="19.7109375" style="23" customWidth="1"/>
    <col min="82" max="83" width="9.140625" style="23"/>
    <col min="84" max="84" width="56.85546875" style="23" bestFit="1" customWidth="1"/>
    <col min="85" max="85" width="16.7109375" style="23" bestFit="1" customWidth="1"/>
    <col min="86" max="86" width="31" style="23" bestFit="1" customWidth="1"/>
    <col min="87" max="87" width="19" style="23" bestFit="1" customWidth="1"/>
    <col min="88" max="88" width="9.140625" style="23" customWidth="1"/>
    <col min="89" max="91" width="9.140625" style="23"/>
    <col min="92" max="92" width="39.85546875" style="23" bestFit="1" customWidth="1"/>
    <col min="93" max="95" width="9.140625" style="23"/>
    <col min="96" max="96" width="56.42578125" style="23" bestFit="1" customWidth="1"/>
    <col min="97" max="97" width="21.140625" style="23" bestFit="1" customWidth="1"/>
    <col min="98" max="98" width="29.5703125" style="23" bestFit="1" customWidth="1"/>
    <col min="99" max="99" width="65.140625" style="23" bestFit="1" customWidth="1"/>
    <col min="100" max="100" width="12" style="23" bestFit="1" customWidth="1"/>
    <col min="101" max="103" width="9.140625" style="23"/>
    <col min="104" max="104" width="65.85546875" style="23" bestFit="1" customWidth="1"/>
    <col min="105" max="105" width="26.42578125" style="23" bestFit="1" customWidth="1"/>
    <col min="106" max="106" width="19.140625" style="23" bestFit="1" customWidth="1"/>
    <col min="107" max="107" width="22" style="23" bestFit="1" customWidth="1"/>
    <col min="108" max="108" width="24.28515625" style="23" bestFit="1" customWidth="1"/>
    <col min="109" max="113" width="21.140625" style="23" bestFit="1" customWidth="1"/>
    <col min="114" max="125" width="9.140625" style="23"/>
    <col min="126" max="126" width="82.7109375" style="23" bestFit="1" customWidth="1"/>
    <col min="127" max="127" width="9" style="23" bestFit="1" customWidth="1"/>
    <col min="128" max="16384" width="9.140625" style="23"/>
  </cols>
  <sheetData>
    <row r="1" spans="2:129" ht="30" customHeight="1" x14ac:dyDescent="0.25">
      <c r="B1" s="23" t="s">
        <v>135</v>
      </c>
      <c r="E1" s="23" t="s">
        <v>111</v>
      </c>
      <c r="K1" s="286" t="s">
        <v>137</v>
      </c>
      <c r="L1" s="286"/>
      <c r="M1" s="286"/>
      <c r="N1" s="286"/>
      <c r="O1" s="286"/>
      <c r="P1" s="286"/>
      <c r="S1" s="23" t="s">
        <v>144</v>
      </c>
      <c r="T1" s="23" t="s">
        <v>145</v>
      </c>
      <c r="U1" s="23" t="s">
        <v>146</v>
      </c>
      <c r="V1" s="23" t="s">
        <v>147</v>
      </c>
      <c r="W1" s="23" t="s">
        <v>148</v>
      </c>
      <c r="X1" s="23" t="s">
        <v>149</v>
      </c>
      <c r="Y1" s="23" t="s">
        <v>422</v>
      </c>
      <c r="Z1" s="23" t="s">
        <v>471</v>
      </c>
      <c r="AB1" s="30" t="s">
        <v>150</v>
      </c>
      <c r="AC1" s="30" t="s">
        <v>151</v>
      </c>
      <c r="AD1" s="30" t="s">
        <v>152</v>
      </c>
      <c r="AE1" s="30" t="s">
        <v>153</v>
      </c>
      <c r="AF1" s="23" t="s">
        <v>712</v>
      </c>
      <c r="AG1" s="30" t="s">
        <v>715</v>
      </c>
      <c r="AH1" s="23" t="s">
        <v>713</v>
      </c>
      <c r="AI1" s="23" t="s">
        <v>842</v>
      </c>
      <c r="AJ1" s="30" t="s">
        <v>468</v>
      </c>
      <c r="AK1" s="30" t="s">
        <v>537</v>
      </c>
      <c r="AL1" s="30" t="s">
        <v>721</v>
      </c>
      <c r="AN1" s="122" t="s">
        <v>144</v>
      </c>
      <c r="AO1" s="122" t="s">
        <v>516</v>
      </c>
      <c r="AP1" s="122" t="s">
        <v>525</v>
      </c>
      <c r="AQ1" s="122" t="s">
        <v>539</v>
      </c>
      <c r="AR1" s="122" t="s">
        <v>519</v>
      </c>
      <c r="AS1" s="122" t="s">
        <v>468</v>
      </c>
      <c r="AT1" s="30" t="s">
        <v>537</v>
      </c>
      <c r="AU1" s="23" t="s">
        <v>712</v>
      </c>
      <c r="AV1" s="30" t="s">
        <v>715</v>
      </c>
      <c r="AW1" s="23" t="s">
        <v>713</v>
      </c>
      <c r="AX1" s="23" t="s">
        <v>842</v>
      </c>
      <c r="AY1" s="23" t="s">
        <v>422</v>
      </c>
      <c r="AZ1" s="122" t="s">
        <v>471</v>
      </c>
      <c r="BB1" s="286" t="s">
        <v>654</v>
      </c>
      <c r="BC1" s="286"/>
      <c r="BD1" s="286"/>
      <c r="BE1" s="286"/>
      <c r="BF1" s="80"/>
      <c r="BG1" s="80"/>
      <c r="BJ1" s="80"/>
      <c r="BK1" s="80"/>
      <c r="BL1" s="80" t="s">
        <v>661</v>
      </c>
      <c r="BM1" s="80"/>
      <c r="BN1" s="80"/>
      <c r="BQ1" s="285" t="s">
        <v>702</v>
      </c>
      <c r="BR1" s="285"/>
      <c r="BU1" s="287" t="s">
        <v>703</v>
      </c>
      <c r="BV1" s="287"/>
      <c r="BX1" s="287" t="s">
        <v>704</v>
      </c>
      <c r="BY1" s="287"/>
      <c r="CB1" s="23" t="s">
        <v>518</v>
      </c>
      <c r="CF1" s="285" t="s">
        <v>540</v>
      </c>
      <c r="CG1" s="285"/>
      <c r="CH1" s="285"/>
      <c r="CI1" s="285"/>
      <c r="CJ1" s="285"/>
      <c r="CK1" s="59"/>
      <c r="CL1" s="59"/>
      <c r="CM1" s="59"/>
      <c r="CN1" s="285" t="s">
        <v>653</v>
      </c>
      <c r="CO1" s="285"/>
      <c r="CR1" s="285" t="s">
        <v>652</v>
      </c>
      <c r="CS1" s="285"/>
      <c r="CT1" s="285"/>
      <c r="CU1" s="285"/>
      <c r="CV1" s="285"/>
      <c r="CZ1" s="23" t="s">
        <v>430</v>
      </c>
    </row>
    <row r="2" spans="2:129" ht="30" customHeight="1" x14ac:dyDescent="0.25">
      <c r="K2" s="22"/>
      <c r="L2" s="22"/>
      <c r="M2" s="22"/>
      <c r="N2" s="22"/>
      <c r="O2" s="22"/>
      <c r="S2" s="23" t="s">
        <v>295</v>
      </c>
      <c r="T2" s="23" t="s">
        <v>143</v>
      </c>
      <c r="U2" s="23">
        <v>2</v>
      </c>
      <c r="V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8">
        <v>6</v>
      </c>
      <c r="AB2" s="21" t="s">
        <v>155</v>
      </c>
      <c r="AC2" s="21" t="s">
        <v>156</v>
      </c>
      <c r="AD2" s="21">
        <v>19</v>
      </c>
      <c r="AE2" s="21">
        <v>0</v>
      </c>
      <c r="AF2" s="120">
        <v>70</v>
      </c>
      <c r="AG2" s="120">
        <v>2400</v>
      </c>
      <c r="AH2" s="120">
        <v>270</v>
      </c>
      <c r="AI2" s="120">
        <v>950</v>
      </c>
      <c r="AJ2" s="21" t="s">
        <v>71</v>
      </c>
      <c r="AK2" s="21" t="s">
        <v>10</v>
      </c>
      <c r="AL2" s="21">
        <v>0</v>
      </c>
      <c r="AN2" s="123" t="s">
        <v>808</v>
      </c>
      <c r="AO2" s="38" t="s">
        <v>526</v>
      </c>
      <c r="AP2" s="38">
        <f>VLOOKUP(Пластики_Acryline[[#This Row],[Ценовая группа]],Цены_по_категориям_Acryline[],2,0)</f>
        <v>7745</v>
      </c>
      <c r="AQ2" s="38">
        <f>VLOOKUP(Пластики_Acryline[[#This Row],[Ценовая группа]],Цены_по_категориям_Acryline[],3,0)</f>
        <v>12274</v>
      </c>
      <c r="AR2" s="38" t="s">
        <v>520</v>
      </c>
      <c r="AS2" s="38" t="s">
        <v>71</v>
      </c>
      <c r="AT2" s="38" t="s">
        <v>10</v>
      </c>
      <c r="AU2" s="38">
        <v>90</v>
      </c>
      <c r="AV2" s="38">
        <v>2750</v>
      </c>
      <c r="AW2" s="38">
        <v>250</v>
      </c>
      <c r="AX2" s="38">
        <v>1200</v>
      </c>
      <c r="AY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23">
        <v>1</v>
      </c>
      <c r="BB2" s="23" t="s">
        <v>516</v>
      </c>
      <c r="BC2" s="21" t="s">
        <v>515</v>
      </c>
      <c r="BD2" s="21" t="s">
        <v>522</v>
      </c>
      <c r="BE2" s="23" t="s">
        <v>468</v>
      </c>
      <c r="BF2" s="23" t="s">
        <v>422</v>
      </c>
      <c r="BH2" s="286" t="s">
        <v>660</v>
      </c>
      <c r="BI2" s="286"/>
      <c r="BJ2" s="286"/>
      <c r="BK2" s="22"/>
      <c r="BL2" s="23" t="s">
        <v>662</v>
      </c>
      <c r="BQ2" s="23" t="s">
        <v>349</v>
      </c>
      <c r="BR2" s="23" t="s">
        <v>495</v>
      </c>
      <c r="BU2" s="91" t="s">
        <v>349</v>
      </c>
      <c r="BV2" s="91" t="s">
        <v>495</v>
      </c>
      <c r="BX2" s="91" t="s">
        <v>349</v>
      </c>
      <c r="BY2" s="91" t="s">
        <v>495</v>
      </c>
      <c r="CF2" s="65" t="s">
        <v>541</v>
      </c>
      <c r="CG2" s="66" t="s">
        <v>5</v>
      </c>
      <c r="CH2" s="65" t="s">
        <v>114</v>
      </c>
      <c r="CI2" s="65" t="s">
        <v>125</v>
      </c>
      <c r="CJ2" s="66" t="s">
        <v>495</v>
      </c>
      <c r="CN2" s="55" t="s">
        <v>516</v>
      </c>
      <c r="CO2" s="55" t="s">
        <v>495</v>
      </c>
      <c r="CP2" s="60"/>
      <c r="CQ2" s="61"/>
      <c r="CR2" s="23" t="s">
        <v>637</v>
      </c>
      <c r="CS2" s="23" t="s">
        <v>125</v>
      </c>
      <c r="CT2" s="23" t="s">
        <v>5</v>
      </c>
      <c r="CU2" s="23" t="s">
        <v>636</v>
      </c>
      <c r="CV2" s="23" t="s">
        <v>495</v>
      </c>
      <c r="CW2" s="61"/>
      <c r="CZ2" s="23" t="s">
        <v>431</v>
      </c>
      <c r="DA2" s="23" t="s">
        <v>432</v>
      </c>
      <c r="DB2" s="23" t="s">
        <v>121</v>
      </c>
      <c r="DC2" s="23" t="s">
        <v>446</v>
      </c>
      <c r="DD2" s="23" t="s">
        <v>447</v>
      </c>
      <c r="DE2" s="23" t="s">
        <v>461</v>
      </c>
      <c r="DF2" s="23" t="s">
        <v>462</v>
      </c>
      <c r="DG2" s="23" t="s">
        <v>463</v>
      </c>
      <c r="DH2" s="23" t="s">
        <v>464</v>
      </c>
    </row>
    <row r="3" spans="2:129" ht="30" customHeight="1" x14ac:dyDescent="0.25">
      <c r="K3" s="23" t="s">
        <v>125</v>
      </c>
      <c r="L3" s="23" t="s">
        <v>138</v>
      </c>
      <c r="M3" s="23" t="s">
        <v>139</v>
      </c>
      <c r="N3" s="23" t="s">
        <v>140</v>
      </c>
      <c r="O3" s="23" t="s">
        <v>141</v>
      </c>
      <c r="P3" s="23" t="s">
        <v>422</v>
      </c>
      <c r="S3" s="23" t="s">
        <v>195</v>
      </c>
      <c r="T3" s="23" t="s">
        <v>142</v>
      </c>
      <c r="U3" s="23">
        <v>1</v>
      </c>
      <c r="V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8">
        <v>22</v>
      </c>
      <c r="AB3" s="21" t="s">
        <v>160</v>
      </c>
      <c r="AC3" s="21" t="s">
        <v>158</v>
      </c>
      <c r="AD3" s="21">
        <v>19</v>
      </c>
      <c r="AE3" s="21">
        <v>16</v>
      </c>
      <c r="AF3" s="120">
        <v>135</v>
      </c>
      <c r="AG3" s="120">
        <v>2550</v>
      </c>
      <c r="AH3" s="120">
        <v>135</v>
      </c>
      <c r="AI3" s="120">
        <v>950</v>
      </c>
      <c r="AJ3" s="21" t="s">
        <v>71</v>
      </c>
      <c r="AK3" s="21" t="s">
        <v>71</v>
      </c>
      <c r="AL3" s="21">
        <v>0</v>
      </c>
      <c r="AN3" s="123" t="s">
        <v>809</v>
      </c>
      <c r="AO3" s="38" t="s">
        <v>526</v>
      </c>
      <c r="AP3" s="38">
        <f>VLOOKUP(Пластики_Acryline[[#This Row],[Ценовая группа]],Цены_по_категориям_Acryline[],2,0)</f>
        <v>7745</v>
      </c>
      <c r="AQ3" s="38">
        <f>VLOOKUP(Пластики_Acryline[[#This Row],[Ценовая группа]],Цены_по_категориям_Acryline[],3,0)</f>
        <v>12274</v>
      </c>
      <c r="AR3" s="38" t="s">
        <v>521</v>
      </c>
      <c r="AS3" s="38" t="s">
        <v>71</v>
      </c>
      <c r="AT3" s="38" t="s">
        <v>10</v>
      </c>
      <c r="AU3" s="38">
        <v>90</v>
      </c>
      <c r="AV3" s="38">
        <v>2750</v>
      </c>
      <c r="AW3" s="38">
        <v>250</v>
      </c>
      <c r="AX3" s="38">
        <v>1200</v>
      </c>
      <c r="AY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23">
        <v>1</v>
      </c>
      <c r="BB3" s="42" t="s">
        <v>513</v>
      </c>
      <c r="BC3" s="33">
        <v>4850</v>
      </c>
      <c r="BD3" s="35">
        <v>0</v>
      </c>
      <c r="BE3" s="30" t="s">
        <v>10</v>
      </c>
      <c r="BF3" s="124">
        <v>0</v>
      </c>
      <c r="BG3" s="30"/>
      <c r="BH3" s="37" t="s">
        <v>516</v>
      </c>
      <c r="BI3" s="37" t="s">
        <v>468</v>
      </c>
      <c r="BJ3" s="40" t="s">
        <v>655</v>
      </c>
      <c r="BK3" s="40"/>
      <c r="BL3" s="41" t="s">
        <v>663</v>
      </c>
      <c r="BQ3" s="21" t="s">
        <v>708</v>
      </c>
      <c r="BR3" s="71">
        <v>2392</v>
      </c>
      <c r="BU3" s="87" t="s">
        <v>613</v>
      </c>
      <c r="BV3" s="88">
        <v>3484</v>
      </c>
      <c r="BX3" s="87" t="s">
        <v>619</v>
      </c>
      <c r="BY3" s="88">
        <v>1123.2</v>
      </c>
      <c r="CF3" s="94" t="s">
        <v>709</v>
      </c>
      <c r="CG3" s="95" t="s">
        <v>479</v>
      </c>
      <c r="CH3" s="95" t="s">
        <v>479</v>
      </c>
      <c r="CI3" s="95" t="s">
        <v>479</v>
      </c>
      <c r="CJ3" s="83">
        <f>VLOOKUP(Ручки[[#This Row],[Категория]],Ценовые_категории_ручек[],2,0)</f>
        <v>770</v>
      </c>
      <c r="CK3" s="49"/>
      <c r="CN3" s="38" t="s">
        <v>544</v>
      </c>
      <c r="CO3" s="76">
        <v>50</v>
      </c>
      <c r="CP3" s="63"/>
      <c r="CQ3" s="49"/>
      <c r="CR3" s="79" t="s">
        <v>630</v>
      </c>
      <c r="CS3" s="79" t="s">
        <v>126</v>
      </c>
      <c r="CT3" s="79" t="s">
        <v>638</v>
      </c>
      <c r="CU3" s="67" t="s">
        <v>647</v>
      </c>
      <c r="CV3" s="85">
        <v>4362</v>
      </c>
      <c r="CY3" s="125"/>
      <c r="CZ3" s="123" t="s">
        <v>433</v>
      </c>
      <c r="DA3" s="23" t="s">
        <v>445</v>
      </c>
      <c r="DB3" s="23">
        <v>38</v>
      </c>
      <c r="DC3" s="23">
        <v>3000</v>
      </c>
      <c r="DD3" s="23">
        <v>1200</v>
      </c>
      <c r="DE3" s="27">
        <v>2536</v>
      </c>
      <c r="DF3" s="27">
        <v>4278</v>
      </c>
      <c r="DG3" s="27">
        <v>6020</v>
      </c>
      <c r="DH3" s="27">
        <f>ROUND(3650/1000/3*Столешницы[[#This Row],[600 х 3000]],0)</f>
        <v>7324</v>
      </c>
    </row>
    <row r="4" spans="2:129" ht="30" customHeight="1" x14ac:dyDescent="0.25">
      <c r="K4" s="23" t="s">
        <v>142</v>
      </c>
      <c r="L4" s="23">
        <v>1</v>
      </c>
      <c r="M4" s="127">
        <v>4041</v>
      </c>
      <c r="N4" s="127">
        <v>4445</v>
      </c>
      <c r="O4" s="127">
        <v>4851</v>
      </c>
      <c r="P4" s="124">
        <v>0.2</v>
      </c>
      <c r="S4" s="23" t="s">
        <v>241</v>
      </c>
      <c r="T4" s="23" t="s">
        <v>143</v>
      </c>
      <c r="U4" s="23">
        <v>1</v>
      </c>
      <c r="V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8">
        <v>39</v>
      </c>
      <c r="AB4" s="21" t="s">
        <v>162</v>
      </c>
      <c r="AC4" s="21" t="s">
        <v>158</v>
      </c>
      <c r="AD4" s="21">
        <v>19</v>
      </c>
      <c r="AE4" s="21">
        <v>16</v>
      </c>
      <c r="AF4" s="121">
        <v>135</v>
      </c>
      <c r="AG4" s="121">
        <v>2550</v>
      </c>
      <c r="AH4" s="121">
        <v>275</v>
      </c>
      <c r="AI4" s="121">
        <v>950</v>
      </c>
      <c r="AJ4" s="21" t="s">
        <v>71</v>
      </c>
      <c r="AK4" s="21" t="s">
        <v>71</v>
      </c>
      <c r="AL4" s="21">
        <v>0</v>
      </c>
      <c r="AN4" s="123" t="s">
        <v>810</v>
      </c>
      <c r="AO4" s="38" t="s">
        <v>526</v>
      </c>
      <c r="AP4" s="38">
        <f>VLOOKUP(Пластики_Acryline[[#This Row],[Ценовая группа]],Цены_по_категориям_Acryline[],2,0)</f>
        <v>7745</v>
      </c>
      <c r="AQ4" s="38">
        <f>VLOOKUP(Пластики_Acryline[[#This Row],[Ценовая группа]],Цены_по_категориям_Acryline[],3,0)</f>
        <v>12274</v>
      </c>
      <c r="AR4" s="38" t="s">
        <v>520</v>
      </c>
      <c r="AS4" s="38" t="s">
        <v>71</v>
      </c>
      <c r="AT4" s="38" t="s">
        <v>10</v>
      </c>
      <c r="AU4" s="38">
        <v>90</v>
      </c>
      <c r="AV4" s="38">
        <v>2750</v>
      </c>
      <c r="AW4" s="38">
        <v>250</v>
      </c>
      <c r="AX4" s="38">
        <v>1200</v>
      </c>
      <c r="AY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23">
        <v>2</v>
      </c>
      <c r="BB4" s="42" t="s">
        <v>514</v>
      </c>
      <c r="BC4" s="33">
        <v>5808</v>
      </c>
      <c r="BD4" s="34">
        <v>9206</v>
      </c>
      <c r="BE4" s="30" t="s">
        <v>71</v>
      </c>
      <c r="BF4" s="124">
        <v>0</v>
      </c>
      <c r="BG4" s="30"/>
      <c r="BH4" s="37" t="s">
        <v>656</v>
      </c>
      <c r="BI4" s="37" t="s">
        <v>10</v>
      </c>
      <c r="BJ4" s="81">
        <v>4430</v>
      </c>
      <c r="BK4" s="81"/>
      <c r="BL4" s="41" t="s">
        <v>664</v>
      </c>
      <c r="BQ4" s="24" t="s">
        <v>497</v>
      </c>
      <c r="BR4" s="72">
        <v>520</v>
      </c>
      <c r="BU4" s="24" t="s">
        <v>614</v>
      </c>
      <c r="BV4" s="73">
        <v>312</v>
      </c>
      <c r="BX4" s="24" t="s">
        <v>620</v>
      </c>
      <c r="BY4" s="73">
        <v>1123.2</v>
      </c>
      <c r="CC4" s="31" t="s">
        <v>469</v>
      </c>
      <c r="CD4" s="32">
        <v>1.25</v>
      </c>
      <c r="CF4" s="94" t="s">
        <v>510</v>
      </c>
      <c r="CG4" s="95" t="s">
        <v>479</v>
      </c>
      <c r="CH4" s="95" t="s">
        <v>479</v>
      </c>
      <c r="CI4" s="95" t="s">
        <v>479</v>
      </c>
      <c r="CJ4" s="83">
        <f>VLOOKUP(Ручки[[#This Row],[Категория]],Ценовые_категории_ручек[],2,0)</f>
        <v>770</v>
      </c>
      <c r="CN4" s="38" t="s">
        <v>513</v>
      </c>
      <c r="CO4" s="76">
        <v>257</v>
      </c>
      <c r="CP4" s="49"/>
      <c r="CR4" s="79" t="s">
        <v>631</v>
      </c>
      <c r="CS4" s="79" t="s">
        <v>126</v>
      </c>
      <c r="CT4" s="79" t="s">
        <v>639</v>
      </c>
      <c r="CU4" s="67" t="s">
        <v>641</v>
      </c>
      <c r="CV4" s="86">
        <v>2618</v>
      </c>
      <c r="CY4" s="125"/>
      <c r="CZ4" s="123" t="s">
        <v>434</v>
      </c>
      <c r="DA4" s="23" t="s">
        <v>445</v>
      </c>
      <c r="DB4" s="23">
        <v>38</v>
      </c>
      <c r="DC4" s="23">
        <v>3000</v>
      </c>
      <c r="DD4" s="23">
        <v>600</v>
      </c>
      <c r="DE4" s="27">
        <v>2536</v>
      </c>
      <c r="DF4" s="27">
        <v>4278</v>
      </c>
      <c r="DG4" s="27">
        <v>6020</v>
      </c>
      <c r="DH4" s="27">
        <f>ROUND(3650/1000/3*Столешницы[[#This Row],[600 х 3000]],0)</f>
        <v>7324</v>
      </c>
    </row>
    <row r="5" spans="2:129" ht="30" customHeight="1" x14ac:dyDescent="0.25">
      <c r="B5" s="23" t="s">
        <v>105</v>
      </c>
      <c r="E5" s="23" t="s">
        <v>103</v>
      </c>
      <c r="H5" s="23" t="s">
        <v>102</v>
      </c>
      <c r="K5" s="23" t="s">
        <v>142</v>
      </c>
      <c r="L5" s="23">
        <v>2</v>
      </c>
      <c r="M5" s="127">
        <v>4649</v>
      </c>
      <c r="N5" s="127">
        <v>5113</v>
      </c>
      <c r="O5" s="127">
        <v>5578</v>
      </c>
      <c r="P5" s="124">
        <v>0</v>
      </c>
      <c r="S5" s="23" t="s">
        <v>243</v>
      </c>
      <c r="T5" s="23" t="s">
        <v>143</v>
      </c>
      <c r="U5" s="23">
        <v>1</v>
      </c>
      <c r="V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8">
        <v>45</v>
      </c>
      <c r="AB5" s="21" t="s">
        <v>164</v>
      </c>
      <c r="AC5" s="21" t="s">
        <v>156</v>
      </c>
      <c r="AD5" s="21">
        <v>19</v>
      </c>
      <c r="AE5" s="21">
        <v>0</v>
      </c>
      <c r="AF5" s="121">
        <v>116</v>
      </c>
      <c r="AG5" s="121">
        <v>2550</v>
      </c>
      <c r="AH5" s="121">
        <v>270</v>
      </c>
      <c r="AI5" s="121">
        <v>950</v>
      </c>
      <c r="AJ5" s="21" t="s">
        <v>10</v>
      </c>
      <c r="AK5" s="21" t="s">
        <v>10</v>
      </c>
      <c r="AL5" s="21">
        <v>0.1</v>
      </c>
      <c r="AN5" s="123" t="s">
        <v>811</v>
      </c>
      <c r="AO5" s="38" t="s">
        <v>526</v>
      </c>
      <c r="AP5" s="38">
        <f>VLOOKUP(Пластики_Acryline[[#This Row],[Ценовая группа]],Цены_по_категориям_Acryline[],2,0)</f>
        <v>7745</v>
      </c>
      <c r="AQ5" s="38">
        <f>VLOOKUP(Пластики_Acryline[[#This Row],[Ценовая группа]],Цены_по_категориям_Acryline[],3,0)</f>
        <v>12274</v>
      </c>
      <c r="AR5" s="38" t="s">
        <v>520</v>
      </c>
      <c r="AS5" s="38" t="s">
        <v>71</v>
      </c>
      <c r="AT5" s="38" t="s">
        <v>10</v>
      </c>
      <c r="AU5" s="38">
        <v>90</v>
      </c>
      <c r="AV5" s="38">
        <v>2750</v>
      </c>
      <c r="AW5" s="38">
        <v>250</v>
      </c>
      <c r="AX5" s="38">
        <v>1200</v>
      </c>
      <c r="AY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23">
        <v>3</v>
      </c>
      <c r="BB5" s="42" t="s">
        <v>526</v>
      </c>
      <c r="BC5" s="33">
        <v>7745</v>
      </c>
      <c r="BD5" s="34">
        <v>12274</v>
      </c>
      <c r="BE5" s="30" t="s">
        <v>71</v>
      </c>
      <c r="BF5" s="124">
        <v>0</v>
      </c>
      <c r="BG5" s="30"/>
      <c r="BH5" s="37" t="s">
        <v>657</v>
      </c>
      <c r="BI5" s="37" t="s">
        <v>10</v>
      </c>
      <c r="BJ5" s="81">
        <v>3976</v>
      </c>
      <c r="BK5" s="81"/>
      <c r="BL5" s="41" t="s">
        <v>665</v>
      </c>
      <c r="BQ5" s="24" t="s">
        <v>498</v>
      </c>
      <c r="BR5" s="72">
        <v>312</v>
      </c>
      <c r="BU5" s="87" t="s">
        <v>615</v>
      </c>
      <c r="BV5" s="88">
        <v>312</v>
      </c>
      <c r="BX5" s="87" t="s">
        <v>621</v>
      </c>
      <c r="BY5" s="88">
        <v>1123.2</v>
      </c>
      <c r="CF5" s="56" t="s">
        <v>575</v>
      </c>
      <c r="CG5" s="50" t="s">
        <v>550</v>
      </c>
      <c r="CH5" s="38" t="s">
        <v>513</v>
      </c>
      <c r="CI5" s="67" t="s">
        <v>685</v>
      </c>
      <c r="CJ5" s="83">
        <f>VLOOKUP(Ручки[[#This Row],[Категория]],Ценовые_категории_ручек[],2,0)</f>
        <v>257</v>
      </c>
      <c r="CN5" s="55" t="s">
        <v>552</v>
      </c>
      <c r="CO5" s="77">
        <v>450</v>
      </c>
      <c r="CP5" s="49"/>
      <c r="CR5" s="79" t="s">
        <v>846</v>
      </c>
      <c r="CS5" s="79" t="s">
        <v>126</v>
      </c>
      <c r="CT5" s="79" t="s">
        <v>640</v>
      </c>
      <c r="CU5" s="67" t="s">
        <v>648</v>
      </c>
      <c r="CV5" s="85">
        <v>2092</v>
      </c>
      <c r="CY5" s="125"/>
      <c r="CZ5" s="123" t="s">
        <v>435</v>
      </c>
      <c r="DA5" s="23" t="s">
        <v>445</v>
      </c>
      <c r="DB5" s="23">
        <v>38</v>
      </c>
      <c r="DC5" s="23">
        <v>3000</v>
      </c>
      <c r="DD5" s="23">
        <v>1200</v>
      </c>
      <c r="DE5" s="27">
        <v>2536</v>
      </c>
      <c r="DF5" s="27">
        <v>4278</v>
      </c>
      <c r="DG5" s="27">
        <v>6020</v>
      </c>
      <c r="DH5" s="27">
        <f>ROUND(3650/1000/3*Столешницы[[#This Row],[600 х 3000]],0)</f>
        <v>7324</v>
      </c>
    </row>
    <row r="6" spans="2:129" ht="30" customHeight="1" x14ac:dyDescent="0.25">
      <c r="K6" s="23" t="s">
        <v>142</v>
      </c>
      <c r="L6" s="23">
        <v>3</v>
      </c>
      <c r="M6" s="127">
        <v>5542</v>
      </c>
      <c r="N6" s="127">
        <v>6096</v>
      </c>
      <c r="O6" s="127">
        <v>6650</v>
      </c>
      <c r="P6" s="124">
        <v>0</v>
      </c>
      <c r="S6" s="23" t="s">
        <v>296</v>
      </c>
      <c r="T6" s="23" t="s">
        <v>143</v>
      </c>
      <c r="U6" s="23">
        <v>1</v>
      </c>
      <c r="V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8">
        <v>64</v>
      </c>
      <c r="AB6" s="21" t="s">
        <v>166</v>
      </c>
      <c r="AC6" s="21" t="s">
        <v>156</v>
      </c>
      <c r="AD6" s="21">
        <v>19</v>
      </c>
      <c r="AE6" s="21">
        <v>0</v>
      </c>
      <c r="AF6" s="121">
        <v>116</v>
      </c>
      <c r="AG6" s="121">
        <v>2550</v>
      </c>
      <c r="AH6" s="121">
        <v>196</v>
      </c>
      <c r="AI6" s="121">
        <v>950</v>
      </c>
      <c r="AJ6" s="21" t="s">
        <v>10</v>
      </c>
      <c r="AK6" s="21" t="s">
        <v>10</v>
      </c>
      <c r="AL6" s="21">
        <v>0.1</v>
      </c>
      <c r="AN6" s="123" t="s">
        <v>812</v>
      </c>
      <c r="AO6" s="38" t="s">
        <v>526</v>
      </c>
      <c r="AP6" s="38">
        <f>VLOOKUP(Пластики_Acryline[[#This Row],[Ценовая группа]],Цены_по_категориям_Acryline[],2,0)</f>
        <v>7745</v>
      </c>
      <c r="AQ6" s="38">
        <f>VLOOKUP(Пластики_Acryline[[#This Row],[Ценовая группа]],Цены_по_категориям_Acryline[],3,0)</f>
        <v>12274</v>
      </c>
      <c r="AR6" s="38" t="s">
        <v>521</v>
      </c>
      <c r="AS6" s="38" t="s">
        <v>71</v>
      </c>
      <c r="AT6" s="38" t="s">
        <v>10</v>
      </c>
      <c r="AU6" s="38">
        <v>90</v>
      </c>
      <c r="AV6" s="38">
        <v>2750</v>
      </c>
      <c r="AW6" s="38">
        <v>250</v>
      </c>
      <c r="AX6" s="38">
        <v>1200</v>
      </c>
      <c r="AY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23">
        <v>3</v>
      </c>
      <c r="BB6" s="42" t="s">
        <v>517</v>
      </c>
      <c r="BC6" s="33">
        <v>8520</v>
      </c>
      <c r="BD6" s="34">
        <v>13501</v>
      </c>
      <c r="BE6" s="30" t="s">
        <v>71</v>
      </c>
      <c r="BF6" s="124">
        <v>0.1</v>
      </c>
      <c r="BG6" s="30"/>
      <c r="BH6" s="37" t="s">
        <v>658</v>
      </c>
      <c r="BI6" s="37" t="s">
        <v>10</v>
      </c>
      <c r="BJ6" s="81">
        <v>3976</v>
      </c>
      <c r="BK6" s="81"/>
      <c r="BL6" s="41" t="s">
        <v>666</v>
      </c>
      <c r="BQ6" s="24" t="s">
        <v>705</v>
      </c>
      <c r="BR6" s="72">
        <v>2704</v>
      </c>
      <c r="BU6" s="24" t="s">
        <v>616</v>
      </c>
      <c r="BV6" s="73">
        <v>104</v>
      </c>
      <c r="BX6" s="24" t="s">
        <v>622</v>
      </c>
      <c r="BY6" s="73">
        <v>561.6</v>
      </c>
      <c r="CF6" s="56" t="s">
        <v>574</v>
      </c>
      <c r="CG6" s="50" t="s">
        <v>550</v>
      </c>
      <c r="CH6" s="38" t="s">
        <v>513</v>
      </c>
      <c r="CI6" s="67" t="s">
        <v>685</v>
      </c>
      <c r="CJ6" s="83">
        <f>VLOOKUP(Ручки[[#This Row],[Категория]],Ценовые_категории_ручек[],2,0)</f>
        <v>257</v>
      </c>
      <c r="CN6" s="55" t="s">
        <v>553</v>
      </c>
      <c r="CO6" s="77">
        <v>625</v>
      </c>
      <c r="CR6" s="79" t="s">
        <v>850</v>
      </c>
      <c r="CS6" s="79" t="s">
        <v>126</v>
      </c>
      <c r="CT6" s="79" t="s">
        <v>640</v>
      </c>
      <c r="CU6" s="67" t="s">
        <v>649</v>
      </c>
      <c r="CV6" s="85">
        <v>3139</v>
      </c>
      <c r="CY6" s="125"/>
      <c r="CZ6" s="123" t="s">
        <v>436</v>
      </c>
      <c r="DA6" s="23" t="s">
        <v>445</v>
      </c>
      <c r="DB6" s="23">
        <v>38</v>
      </c>
      <c r="DC6" s="23">
        <v>3000</v>
      </c>
      <c r="DD6" s="23">
        <v>1200</v>
      </c>
      <c r="DE6" s="27">
        <v>2536</v>
      </c>
      <c r="DF6" s="27">
        <v>4278</v>
      </c>
      <c r="DG6" s="27">
        <v>6020</v>
      </c>
      <c r="DH6" s="27">
        <f>ROUND(3650/1000/3*Столешницы[[#This Row],[600 х 3000]],0)</f>
        <v>7324</v>
      </c>
    </row>
    <row r="7" spans="2:129" ht="30" customHeight="1" x14ac:dyDescent="0.25">
      <c r="K7" s="23" t="s">
        <v>143</v>
      </c>
      <c r="L7" s="23">
        <v>1</v>
      </c>
      <c r="M7" s="127">
        <v>4900</v>
      </c>
      <c r="N7" s="127">
        <v>5387</v>
      </c>
      <c r="O7" s="127">
        <v>5880</v>
      </c>
      <c r="P7" s="124">
        <v>0.2</v>
      </c>
      <c r="S7" s="23" t="s">
        <v>298</v>
      </c>
      <c r="T7" s="23" t="s">
        <v>143</v>
      </c>
      <c r="U7" s="23">
        <v>4</v>
      </c>
      <c r="V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8">
        <v>77</v>
      </c>
      <c r="AB7" s="21" t="s">
        <v>168</v>
      </c>
      <c r="AC7" s="21" t="s">
        <v>158</v>
      </c>
      <c r="AD7" s="21">
        <v>19</v>
      </c>
      <c r="AE7" s="21">
        <v>0</v>
      </c>
      <c r="AF7" s="121">
        <v>100</v>
      </c>
      <c r="AG7" s="121">
        <v>2550</v>
      </c>
      <c r="AH7" s="121">
        <v>360</v>
      </c>
      <c r="AI7" s="121">
        <v>950</v>
      </c>
      <c r="AJ7" s="21" t="s">
        <v>71</v>
      </c>
      <c r="AK7" s="21" t="s">
        <v>10</v>
      </c>
      <c r="AL7" s="21">
        <v>0</v>
      </c>
      <c r="AN7" s="123" t="s">
        <v>813</v>
      </c>
      <c r="AO7" s="38" t="s">
        <v>513</v>
      </c>
      <c r="AP7" s="38">
        <f>VLOOKUP(Пластики_Acryline[[#This Row],[Ценовая группа]],Цены_по_категориям_Acryline[],2,0)</f>
        <v>4850</v>
      </c>
      <c r="AQ7" s="38">
        <f>VLOOKUP(Пластики_Acryline[[#This Row],[Ценовая группа]],Цены_по_категориям_Acryline[],3,0)</f>
        <v>0</v>
      </c>
      <c r="AR7" s="38" t="s">
        <v>520</v>
      </c>
      <c r="AS7" s="38" t="s">
        <v>71</v>
      </c>
      <c r="AT7" s="38" t="s">
        <v>10</v>
      </c>
      <c r="AU7" s="38">
        <v>90</v>
      </c>
      <c r="AV7" s="38">
        <v>2750</v>
      </c>
      <c r="AW7" s="38">
        <v>250</v>
      </c>
      <c r="AX7" s="38">
        <v>1200</v>
      </c>
      <c r="AY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21">
        <v>5</v>
      </c>
      <c r="BH7" s="37" t="s">
        <v>659</v>
      </c>
      <c r="BI7" s="37" t="s">
        <v>10</v>
      </c>
      <c r="BJ7" s="81">
        <v>3094</v>
      </c>
      <c r="BK7" s="81"/>
      <c r="BL7" s="41" t="s">
        <v>667</v>
      </c>
      <c r="BQ7" s="24" t="s">
        <v>499</v>
      </c>
      <c r="BR7" s="72">
        <v>312</v>
      </c>
      <c r="BU7" s="87" t="s">
        <v>617</v>
      </c>
      <c r="BV7" s="88">
        <v>104</v>
      </c>
      <c r="BX7" s="87" t="s">
        <v>623</v>
      </c>
      <c r="BY7" s="88">
        <v>561.6</v>
      </c>
      <c r="CF7" s="56" t="s">
        <v>573</v>
      </c>
      <c r="CG7" s="50" t="s">
        <v>550</v>
      </c>
      <c r="CH7" s="38" t="s">
        <v>513</v>
      </c>
      <c r="CI7" s="67" t="s">
        <v>685</v>
      </c>
      <c r="CJ7" s="83">
        <f>VLOOKUP(Ручки[[#This Row],[Категория]],Ценовые_категории_ручек[],2,0)</f>
        <v>257</v>
      </c>
      <c r="CN7" s="55" t="s">
        <v>554</v>
      </c>
      <c r="CO7" s="77">
        <v>800</v>
      </c>
      <c r="CR7" s="79" t="s">
        <v>847</v>
      </c>
      <c r="CS7" s="79" t="s">
        <v>126</v>
      </c>
      <c r="CT7" s="79" t="s">
        <v>640</v>
      </c>
      <c r="CU7" s="67" t="s">
        <v>642</v>
      </c>
      <c r="CV7" s="85">
        <v>3490</v>
      </c>
      <c r="CY7" s="125"/>
      <c r="CZ7" s="123" t="s">
        <v>437</v>
      </c>
      <c r="DA7" s="23" t="s">
        <v>445</v>
      </c>
      <c r="DB7" s="23">
        <v>38</v>
      </c>
      <c r="DC7" s="23">
        <v>3000</v>
      </c>
      <c r="DD7" s="23">
        <v>1200</v>
      </c>
      <c r="DE7" s="27">
        <v>2536</v>
      </c>
      <c r="DF7" s="27">
        <v>4278</v>
      </c>
      <c r="DG7" s="27">
        <v>6020</v>
      </c>
      <c r="DH7" s="27">
        <f>ROUND(3650/1000/3*Столешницы[[#This Row],[600 х 3000]],0)</f>
        <v>7324</v>
      </c>
      <c r="DW7" s="37"/>
      <c r="DX7" s="37"/>
      <c r="DY7" s="81"/>
    </row>
    <row r="8" spans="2:129" ht="30" customHeight="1" x14ac:dyDescent="0.25">
      <c r="K8" s="23" t="s">
        <v>143</v>
      </c>
      <c r="L8" s="23">
        <v>2</v>
      </c>
      <c r="M8" s="127">
        <v>5542</v>
      </c>
      <c r="N8" s="127">
        <v>6096</v>
      </c>
      <c r="O8" s="127">
        <v>6650</v>
      </c>
      <c r="P8" s="124">
        <v>0</v>
      </c>
      <c r="S8" s="23" t="s">
        <v>299</v>
      </c>
      <c r="T8" s="23" t="s">
        <v>143</v>
      </c>
      <c r="U8" s="23">
        <v>3</v>
      </c>
      <c r="V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8">
        <v>90</v>
      </c>
      <c r="AB8" s="21" t="s">
        <v>170</v>
      </c>
      <c r="AC8" s="21" t="s">
        <v>158</v>
      </c>
      <c r="AD8" s="21">
        <v>19</v>
      </c>
      <c r="AE8" s="21">
        <v>0</v>
      </c>
      <c r="AF8" s="121">
        <v>100</v>
      </c>
      <c r="AG8" s="121">
        <v>950</v>
      </c>
      <c r="AH8" s="121">
        <v>380</v>
      </c>
      <c r="AI8" s="121">
        <v>950</v>
      </c>
      <c r="AJ8" s="21" t="s">
        <v>71</v>
      </c>
      <c r="AK8" s="21" t="s">
        <v>10</v>
      </c>
      <c r="AL8" s="21">
        <v>0</v>
      </c>
      <c r="AN8" s="123" t="s">
        <v>814</v>
      </c>
      <c r="AO8" s="38" t="s">
        <v>526</v>
      </c>
      <c r="AP8" s="38">
        <f>VLOOKUP(Пластики_Acryline[[#This Row],[Ценовая группа]],Цены_по_категориям_Acryline[],2,0)</f>
        <v>7745</v>
      </c>
      <c r="AQ8" s="38">
        <f>VLOOKUP(Пластики_Acryline[[#This Row],[Ценовая группа]],Цены_по_категориям_Acryline[],3,0)</f>
        <v>12274</v>
      </c>
      <c r="AR8" s="38" t="s">
        <v>521</v>
      </c>
      <c r="AS8" s="38" t="s">
        <v>71</v>
      </c>
      <c r="AT8" s="38" t="s">
        <v>10</v>
      </c>
      <c r="AU8" s="38">
        <v>90</v>
      </c>
      <c r="AV8" s="38">
        <v>2750</v>
      </c>
      <c r="AW8" s="38">
        <v>250</v>
      </c>
      <c r="AX8" s="38">
        <v>1200</v>
      </c>
      <c r="AY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23">
        <v>5</v>
      </c>
      <c r="BC8" s="44"/>
      <c r="BL8" s="41" t="s">
        <v>668</v>
      </c>
      <c r="BQ8" s="24" t="s">
        <v>706</v>
      </c>
      <c r="BR8" s="72">
        <v>4576</v>
      </c>
      <c r="BU8" s="24" t="s">
        <v>618</v>
      </c>
      <c r="BV8" s="73">
        <v>31.200000000000003</v>
      </c>
      <c r="BX8" s="24" t="s">
        <v>624</v>
      </c>
      <c r="BY8" s="73">
        <v>561.6</v>
      </c>
      <c r="CF8" s="56" t="s">
        <v>572</v>
      </c>
      <c r="CG8" s="50" t="s">
        <v>550</v>
      </c>
      <c r="CH8" s="38" t="s">
        <v>513</v>
      </c>
      <c r="CI8" s="67" t="s">
        <v>685</v>
      </c>
      <c r="CJ8" s="83">
        <f>VLOOKUP(Ручки[[#This Row],[Категория]],Ценовые_категории_ручек[],2,0)</f>
        <v>257</v>
      </c>
      <c r="CN8" s="64" t="s">
        <v>555</v>
      </c>
      <c r="CO8" s="77">
        <v>450</v>
      </c>
      <c r="CR8" s="79" t="s">
        <v>848</v>
      </c>
      <c r="CS8" s="79" t="s">
        <v>126</v>
      </c>
      <c r="CT8" s="79" t="s">
        <v>640</v>
      </c>
      <c r="CU8" s="67" t="s">
        <v>643</v>
      </c>
      <c r="CV8" s="85">
        <v>6278</v>
      </c>
      <c r="CY8" s="125"/>
      <c r="CZ8" s="123" t="s">
        <v>438</v>
      </c>
      <c r="DA8" s="23" t="s">
        <v>445</v>
      </c>
      <c r="DB8" s="23">
        <v>38</v>
      </c>
      <c r="DC8" s="23">
        <v>3000</v>
      </c>
      <c r="DD8" s="23">
        <v>1200</v>
      </c>
      <c r="DE8" s="27">
        <v>2536</v>
      </c>
      <c r="DF8" s="27">
        <v>4278</v>
      </c>
      <c r="DG8" s="27">
        <v>6020</v>
      </c>
      <c r="DH8" s="27">
        <f>ROUND(3650/1000/3*Столешницы[[#This Row],[600 х 3000]],0)</f>
        <v>7324</v>
      </c>
    </row>
    <row r="9" spans="2:129" ht="30" customHeight="1" x14ac:dyDescent="0.25">
      <c r="B9" s="23" t="s">
        <v>104</v>
      </c>
      <c r="E9" s="23" t="s">
        <v>109</v>
      </c>
      <c r="H9" s="23" t="s">
        <v>110</v>
      </c>
      <c r="K9" s="23" t="s">
        <v>143</v>
      </c>
      <c r="L9" s="23">
        <v>3</v>
      </c>
      <c r="M9" s="127">
        <v>6433</v>
      </c>
      <c r="N9" s="127">
        <v>7078</v>
      </c>
      <c r="O9" s="127">
        <v>7700</v>
      </c>
      <c r="P9" s="124">
        <v>0</v>
      </c>
      <c r="S9" s="23" t="s">
        <v>154</v>
      </c>
      <c r="T9" s="23" t="s">
        <v>142</v>
      </c>
      <c r="U9" s="23">
        <v>1</v>
      </c>
      <c r="V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8">
        <v>101</v>
      </c>
      <c r="AB9" s="21" t="s">
        <v>172</v>
      </c>
      <c r="AC9" s="21" t="s">
        <v>156</v>
      </c>
      <c r="AD9" s="21">
        <v>19</v>
      </c>
      <c r="AE9" s="21">
        <v>0</v>
      </c>
      <c r="AF9" s="121">
        <v>236</v>
      </c>
      <c r="AG9" s="121">
        <v>2550</v>
      </c>
      <c r="AH9" s="121">
        <v>245</v>
      </c>
      <c r="AI9" s="121">
        <v>950</v>
      </c>
      <c r="AJ9" s="21" t="s">
        <v>71</v>
      </c>
      <c r="AK9" s="21" t="s">
        <v>71</v>
      </c>
      <c r="AL9" s="21">
        <v>0</v>
      </c>
      <c r="AN9" s="123" t="s">
        <v>815</v>
      </c>
      <c r="AO9" s="38" t="s">
        <v>526</v>
      </c>
      <c r="AP9" s="38">
        <f>VLOOKUP(Пластики_Acryline[[#This Row],[Ценовая группа]],Цены_по_категориям_Acryline[],2,0)</f>
        <v>7745</v>
      </c>
      <c r="AQ9" s="38">
        <f>VLOOKUP(Пластики_Acryline[[#This Row],[Ценовая группа]],Цены_по_категориям_Acryline[],3,0)</f>
        <v>12274</v>
      </c>
      <c r="AR9" s="38" t="s">
        <v>520</v>
      </c>
      <c r="AS9" s="38" t="s">
        <v>71</v>
      </c>
      <c r="AT9" s="38" t="s">
        <v>10</v>
      </c>
      <c r="AU9" s="38">
        <v>90</v>
      </c>
      <c r="AV9" s="38">
        <v>2750</v>
      </c>
      <c r="AW9" s="38">
        <v>250</v>
      </c>
      <c r="AX9" s="38">
        <v>1200</v>
      </c>
      <c r="AY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23">
        <v>5</v>
      </c>
      <c r="BC9" s="44"/>
      <c r="BL9" s="41" t="s">
        <v>669</v>
      </c>
      <c r="BQ9" s="24" t="s">
        <v>707</v>
      </c>
      <c r="BR9" s="72">
        <v>4160</v>
      </c>
      <c r="BX9" s="87" t="s">
        <v>625</v>
      </c>
      <c r="BY9" s="88">
        <v>156</v>
      </c>
      <c r="CF9" s="56" t="s">
        <v>571</v>
      </c>
      <c r="CG9" s="50" t="s">
        <v>550</v>
      </c>
      <c r="CH9" s="38" t="s">
        <v>513</v>
      </c>
      <c r="CI9" s="67" t="s">
        <v>685</v>
      </c>
      <c r="CJ9" s="83">
        <f>VLOOKUP(Ручки[[#This Row],[Категория]],Ценовые_категории_ручек[],2,0)</f>
        <v>257</v>
      </c>
      <c r="CN9" s="64" t="s">
        <v>558</v>
      </c>
      <c r="CO9" s="77">
        <v>625</v>
      </c>
      <c r="CR9" s="79" t="s">
        <v>849</v>
      </c>
      <c r="CS9" s="79" t="s">
        <v>126</v>
      </c>
      <c r="CT9" s="79" t="s">
        <v>640</v>
      </c>
      <c r="CU9" s="67" t="s">
        <v>650</v>
      </c>
      <c r="CV9" s="85">
        <v>2092</v>
      </c>
      <c r="CY9" s="125"/>
      <c r="CZ9" s="123" t="s">
        <v>439</v>
      </c>
      <c r="DA9" s="23" t="s">
        <v>445</v>
      </c>
      <c r="DB9" s="23">
        <v>38</v>
      </c>
      <c r="DC9" s="23">
        <v>3000</v>
      </c>
      <c r="DD9" s="23">
        <v>1200</v>
      </c>
      <c r="DE9" s="27">
        <v>2536</v>
      </c>
      <c r="DF9" s="27">
        <v>4278</v>
      </c>
      <c r="DG9" s="27">
        <v>6020</v>
      </c>
      <c r="DH9" s="27">
        <f>ROUND(3650/1000/3*Столешницы[[#This Row],[600 х 3000]],0)</f>
        <v>7324</v>
      </c>
    </row>
    <row r="10" spans="2:129" ht="30" customHeight="1" x14ac:dyDescent="0.25">
      <c r="K10" s="23" t="s">
        <v>143</v>
      </c>
      <c r="L10" s="23">
        <v>4</v>
      </c>
      <c r="M10" s="127">
        <v>7327</v>
      </c>
      <c r="N10" s="127">
        <v>8060</v>
      </c>
      <c r="O10" s="127">
        <v>8790</v>
      </c>
      <c r="P10" s="124">
        <v>0</v>
      </c>
      <c r="S10" s="23" t="s">
        <v>157</v>
      </c>
      <c r="T10" s="23" t="s">
        <v>142</v>
      </c>
      <c r="U10" s="23">
        <v>1</v>
      </c>
      <c r="V1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8">
        <v>119</v>
      </c>
      <c r="AB10" s="21" t="s">
        <v>174</v>
      </c>
      <c r="AC10" s="21" t="s">
        <v>156</v>
      </c>
      <c r="AD10" s="21">
        <v>19</v>
      </c>
      <c r="AE10" s="21">
        <v>16</v>
      </c>
      <c r="AF10" s="121">
        <v>116</v>
      </c>
      <c r="AG10" s="121">
        <v>2550</v>
      </c>
      <c r="AH10" s="121">
        <v>296</v>
      </c>
      <c r="AI10" s="121">
        <v>950</v>
      </c>
      <c r="AJ10" s="21" t="s">
        <v>71</v>
      </c>
      <c r="AK10" s="21" t="s">
        <v>10</v>
      </c>
      <c r="AL10" s="21">
        <v>0</v>
      </c>
      <c r="AN10" s="123" t="s">
        <v>816</v>
      </c>
      <c r="AO10" s="38" t="s">
        <v>526</v>
      </c>
      <c r="AP10" s="38">
        <f>VLOOKUP(Пластики_Acryline[[#This Row],[Ценовая группа]],Цены_по_категориям_Acryline[],2,0)</f>
        <v>7745</v>
      </c>
      <c r="AQ10" s="38">
        <f>VLOOKUP(Пластики_Acryline[[#This Row],[Ценовая группа]],Цены_по_категориям_Acryline[],3,0)</f>
        <v>12274</v>
      </c>
      <c r="AR10" s="38" t="s">
        <v>520</v>
      </c>
      <c r="AS10" s="38" t="s">
        <v>71</v>
      </c>
      <c r="AT10" s="38" t="s">
        <v>10</v>
      </c>
      <c r="AU10" s="38">
        <v>90</v>
      </c>
      <c r="AV10" s="38">
        <v>2750</v>
      </c>
      <c r="AW10" s="38">
        <v>250</v>
      </c>
      <c r="AX10" s="38">
        <v>1200</v>
      </c>
      <c r="AY1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23">
        <v>9</v>
      </c>
      <c r="BC10" s="42"/>
      <c r="BL10" s="41" t="s">
        <v>670</v>
      </c>
      <c r="BQ10" s="24" t="s">
        <v>500</v>
      </c>
      <c r="BR10" s="72">
        <v>390</v>
      </c>
      <c r="BX10" s="89" t="s">
        <v>626</v>
      </c>
      <c r="BY10" s="89">
        <v>809</v>
      </c>
      <c r="CF10" s="56" t="s">
        <v>570</v>
      </c>
      <c r="CG10" s="50" t="s">
        <v>550</v>
      </c>
      <c r="CH10" s="38" t="s">
        <v>513</v>
      </c>
      <c r="CI10" s="67" t="s">
        <v>685</v>
      </c>
      <c r="CJ10" s="83">
        <f>VLOOKUP(Ручки[[#This Row],[Категория]],Ценовые_категории_ручек[],2,0)</f>
        <v>257</v>
      </c>
      <c r="CN10" s="64" t="s">
        <v>559</v>
      </c>
      <c r="CO10" s="77">
        <v>800</v>
      </c>
      <c r="CR10" s="79" t="s">
        <v>632</v>
      </c>
      <c r="CS10" s="79" t="s">
        <v>126</v>
      </c>
      <c r="CT10" s="79" t="s">
        <v>640</v>
      </c>
      <c r="CU10" s="67" t="s">
        <v>644</v>
      </c>
      <c r="CV10" s="85">
        <v>3490</v>
      </c>
      <c r="CY10" s="125"/>
      <c r="CZ10" s="123" t="s">
        <v>440</v>
      </c>
      <c r="DA10" s="23" t="s">
        <v>445</v>
      </c>
      <c r="DB10" s="23">
        <v>38</v>
      </c>
      <c r="DC10" s="23">
        <v>3000</v>
      </c>
      <c r="DD10" s="23">
        <v>1200</v>
      </c>
      <c r="DE10" s="27">
        <v>2536</v>
      </c>
      <c r="DF10" s="27">
        <v>4278</v>
      </c>
      <c r="DG10" s="27">
        <v>6020</v>
      </c>
      <c r="DH10" s="27">
        <f>ROUND(3650/1000/3*Столешницы[[#This Row],[600 х 3000]],0)</f>
        <v>7324</v>
      </c>
    </row>
    <row r="11" spans="2:129" ht="30" customHeight="1" x14ac:dyDescent="0.25">
      <c r="S11" s="23" t="s">
        <v>159</v>
      </c>
      <c r="T11" s="23" t="s">
        <v>142</v>
      </c>
      <c r="U11" s="23">
        <v>1</v>
      </c>
      <c r="V1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8">
        <v>124</v>
      </c>
      <c r="AB11" s="21" t="s">
        <v>176</v>
      </c>
      <c r="AC11" s="21" t="s">
        <v>156</v>
      </c>
      <c r="AD11" s="21">
        <v>19</v>
      </c>
      <c r="AE11" s="21">
        <v>0</v>
      </c>
      <c r="AF11" s="121">
        <v>250</v>
      </c>
      <c r="AG11" s="121">
        <v>2550</v>
      </c>
      <c r="AH11" s="121">
        <v>250</v>
      </c>
      <c r="AI11" s="121">
        <v>950</v>
      </c>
      <c r="AJ11" s="21" t="s">
        <v>71</v>
      </c>
      <c r="AK11" s="21" t="s">
        <v>71</v>
      </c>
      <c r="AL11" s="21">
        <v>0</v>
      </c>
      <c r="AN11" s="123" t="s">
        <v>817</v>
      </c>
      <c r="AO11" s="38" t="s">
        <v>513</v>
      </c>
      <c r="AP11" s="38">
        <f>VLOOKUP(Пластики_Acryline[[#This Row],[Ценовая группа]],Цены_по_категориям_Acryline[],2,0)</f>
        <v>4850</v>
      </c>
      <c r="AQ11" s="38">
        <f>VLOOKUP(Пластики_Acryline[[#This Row],[Ценовая группа]],Цены_по_категориям_Acryline[],3,0)</f>
        <v>0</v>
      </c>
      <c r="AR11" s="38" t="s">
        <v>520</v>
      </c>
      <c r="AS11" s="38" t="s">
        <v>71</v>
      </c>
      <c r="AT11" s="38" t="s">
        <v>10</v>
      </c>
      <c r="AU11" s="38">
        <v>90</v>
      </c>
      <c r="AV11" s="38">
        <v>2750</v>
      </c>
      <c r="AW11" s="38">
        <v>250</v>
      </c>
      <c r="AX11" s="38">
        <v>1200</v>
      </c>
      <c r="AY1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21">
        <v>12</v>
      </c>
      <c r="BC11" s="42"/>
      <c r="BL11" s="82" t="s">
        <v>671</v>
      </c>
      <c r="BX11" s="90" t="s">
        <v>627</v>
      </c>
      <c r="BY11" s="90">
        <v>2100</v>
      </c>
      <c r="CF11" s="58" t="s">
        <v>591</v>
      </c>
      <c r="CG11" s="50" t="s">
        <v>550</v>
      </c>
      <c r="CH11" s="58" t="s">
        <v>553</v>
      </c>
      <c r="CI11" s="67" t="s">
        <v>692</v>
      </c>
      <c r="CJ11" s="83">
        <f>VLOOKUP(Ручки[[#This Row],[Категория]],Ценовые_категории_ручек[],2,0)</f>
        <v>625</v>
      </c>
      <c r="CN11" s="95" t="s">
        <v>479</v>
      </c>
      <c r="CO11" s="96">
        <v>770</v>
      </c>
      <c r="CR11" s="79" t="s">
        <v>633</v>
      </c>
      <c r="CS11" s="79" t="s">
        <v>126</v>
      </c>
      <c r="CT11" s="79" t="s">
        <v>635</v>
      </c>
      <c r="CU11" s="67" t="s">
        <v>645</v>
      </c>
      <c r="CV11" s="86">
        <v>4362</v>
      </c>
      <c r="CY11" s="125"/>
      <c r="CZ11" s="123" t="s">
        <v>441</v>
      </c>
      <c r="DA11" s="23" t="s">
        <v>445</v>
      </c>
      <c r="DB11" s="23">
        <v>38</v>
      </c>
      <c r="DC11" s="23">
        <v>3000</v>
      </c>
      <c r="DD11" s="23">
        <v>1200</v>
      </c>
      <c r="DE11" s="27">
        <v>2536</v>
      </c>
      <c r="DF11" s="27">
        <v>4278</v>
      </c>
      <c r="DG11" s="27">
        <v>6020</v>
      </c>
      <c r="DH11" s="27">
        <f>ROUND(3650/1000/3*Столешницы[[#This Row],[600 х 3000]],0)</f>
        <v>7324</v>
      </c>
    </row>
    <row r="12" spans="2:129" ht="30" customHeight="1" x14ac:dyDescent="0.25">
      <c r="S12" s="23" t="s">
        <v>161</v>
      </c>
      <c r="T12" s="23" t="s">
        <v>142</v>
      </c>
      <c r="U12" s="23">
        <v>1</v>
      </c>
      <c r="V1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8">
        <v>125</v>
      </c>
      <c r="AB12" s="21" t="s">
        <v>178</v>
      </c>
      <c r="AC12" s="21" t="s">
        <v>156</v>
      </c>
      <c r="AD12" s="21">
        <v>0</v>
      </c>
      <c r="AE12" s="21">
        <v>16</v>
      </c>
      <c r="AF12" s="121">
        <v>115</v>
      </c>
      <c r="AG12" s="121">
        <v>2400</v>
      </c>
      <c r="AH12" s="121">
        <v>205</v>
      </c>
      <c r="AI12" s="121">
        <v>950</v>
      </c>
      <c r="AJ12" s="21" t="s">
        <v>71</v>
      </c>
      <c r="AK12" s="21" t="s">
        <v>71</v>
      </c>
      <c r="AL12" s="21">
        <v>0</v>
      </c>
      <c r="AN12" s="123" t="s">
        <v>818</v>
      </c>
      <c r="AO12" s="38" t="s">
        <v>526</v>
      </c>
      <c r="AP12" s="38">
        <f>VLOOKUP(Пластики_Acryline[[#This Row],[Ценовая группа]],Цены_по_категориям_Acryline[],2,0)</f>
        <v>7745</v>
      </c>
      <c r="AQ12" s="38">
        <f>VLOOKUP(Пластики_Acryline[[#This Row],[Ценовая группа]],Цены_по_категориям_Acryline[],3,0)</f>
        <v>12274</v>
      </c>
      <c r="AR12" s="38" t="s">
        <v>520</v>
      </c>
      <c r="AS12" s="38" t="s">
        <v>10</v>
      </c>
      <c r="AT12" s="38" t="s">
        <v>10</v>
      </c>
      <c r="AU12" s="38">
        <v>90</v>
      </c>
      <c r="AV12" s="38">
        <v>2750</v>
      </c>
      <c r="AW12" s="38">
        <v>250</v>
      </c>
      <c r="AX12" s="38">
        <v>1200</v>
      </c>
      <c r="AY1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23">
        <v>12</v>
      </c>
      <c r="BC12" s="42"/>
      <c r="BL12" s="41" t="s">
        <v>672</v>
      </c>
      <c r="BX12" s="89" t="s">
        <v>628</v>
      </c>
      <c r="BY12" s="89">
        <v>350</v>
      </c>
      <c r="CF12" s="56" t="s">
        <v>565</v>
      </c>
      <c r="CG12" s="50" t="s">
        <v>550</v>
      </c>
      <c r="CH12" s="38" t="s">
        <v>513</v>
      </c>
      <c r="CI12" s="67" t="s">
        <v>679</v>
      </c>
      <c r="CJ12" s="83">
        <f>VLOOKUP(Ручки[[#This Row],[Категория]],Ценовые_категории_ручек[],2,0)</f>
        <v>257</v>
      </c>
      <c r="CN12" s="62"/>
      <c r="CO12" s="63"/>
      <c r="CP12" s="63"/>
      <c r="CR12" s="79" t="s">
        <v>634</v>
      </c>
      <c r="CS12" s="79" t="s">
        <v>126</v>
      </c>
      <c r="CT12" s="79" t="s">
        <v>651</v>
      </c>
      <c r="CU12" s="67" t="s">
        <v>646</v>
      </c>
      <c r="CV12" s="86">
        <v>4362</v>
      </c>
      <c r="CY12" s="125"/>
      <c r="CZ12" s="123" t="s">
        <v>442</v>
      </c>
      <c r="DA12" s="23" t="s">
        <v>445</v>
      </c>
      <c r="DB12" s="23">
        <v>38</v>
      </c>
      <c r="DC12" s="23">
        <v>3000</v>
      </c>
      <c r="DD12" s="23">
        <v>1200</v>
      </c>
      <c r="DE12" s="27">
        <v>2536</v>
      </c>
      <c r="DF12" s="27">
        <v>4278</v>
      </c>
      <c r="DG12" s="27">
        <v>6020</v>
      </c>
      <c r="DH12" s="27">
        <f>ROUND(3650/1000/3*Столешницы[[#This Row],[600 х 3000]],0)</f>
        <v>7324</v>
      </c>
    </row>
    <row r="13" spans="2:129" ht="30" customHeight="1" x14ac:dyDescent="0.25">
      <c r="B13" s="23" t="s">
        <v>108</v>
      </c>
      <c r="E13" s="23" t="s">
        <v>107</v>
      </c>
      <c r="H13" s="23" t="s">
        <v>106</v>
      </c>
      <c r="S13" s="23" t="s">
        <v>163</v>
      </c>
      <c r="T13" s="23" t="s">
        <v>143</v>
      </c>
      <c r="U13" s="23">
        <v>2</v>
      </c>
      <c r="V1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8">
        <v>127</v>
      </c>
      <c r="AB13" s="21" t="s">
        <v>538</v>
      </c>
      <c r="AC13" s="21" t="s">
        <v>156</v>
      </c>
      <c r="AD13" s="21">
        <v>19</v>
      </c>
      <c r="AE13" s="21">
        <v>16</v>
      </c>
      <c r="AF13" s="121">
        <v>135</v>
      </c>
      <c r="AG13" s="121">
        <v>2550</v>
      </c>
      <c r="AH13" s="121">
        <v>284</v>
      </c>
      <c r="AI13" s="121">
        <v>950</v>
      </c>
      <c r="AJ13" s="21" t="s">
        <v>71</v>
      </c>
      <c r="AK13" s="21" t="s">
        <v>71</v>
      </c>
      <c r="AL13" s="21">
        <v>0</v>
      </c>
      <c r="AN13" s="123" t="s">
        <v>819</v>
      </c>
      <c r="AO13" s="38" t="s">
        <v>514</v>
      </c>
      <c r="AP13" s="38">
        <f>VLOOKUP(Пластики_Acryline[[#This Row],[Ценовая группа]],Цены_по_категориям_Acryline[],2,0)</f>
        <v>5808</v>
      </c>
      <c r="AQ13" s="38">
        <f>VLOOKUP(Пластики_Acryline[[#This Row],[Ценовая группа]],Цены_по_категориям_Acryline[],3,0)</f>
        <v>9206</v>
      </c>
      <c r="AR13" s="38" t="s">
        <v>520</v>
      </c>
      <c r="AS13" s="38" t="s">
        <v>71</v>
      </c>
      <c r="AT13" s="38" t="s">
        <v>10</v>
      </c>
      <c r="AU13" s="38">
        <v>90</v>
      </c>
      <c r="AV13" s="38">
        <v>2750</v>
      </c>
      <c r="AW13" s="38">
        <v>250</v>
      </c>
      <c r="AX13" s="38">
        <v>1200</v>
      </c>
      <c r="AY1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21">
        <v>14</v>
      </c>
      <c r="BC13" s="43"/>
      <c r="BL13" s="39" t="s">
        <v>673</v>
      </c>
      <c r="BX13" s="90" t="s">
        <v>629</v>
      </c>
      <c r="BY13" s="90">
        <v>450</v>
      </c>
      <c r="CF13" s="56" t="s">
        <v>578</v>
      </c>
      <c r="CG13" s="50" t="s">
        <v>551</v>
      </c>
      <c r="CH13" s="38" t="s">
        <v>513</v>
      </c>
      <c r="CI13" s="67" t="s">
        <v>686</v>
      </c>
      <c r="CJ13" s="83">
        <f>VLOOKUP(Ручки[[#This Row],[Категория]],Ценовые_категории_ручек[],2,0)</f>
        <v>257</v>
      </c>
      <c r="CN13" s="62"/>
      <c r="CO13" s="63"/>
      <c r="CP13" s="63"/>
      <c r="CX13" s="126"/>
      <c r="CY13" s="125"/>
      <c r="CZ13" s="123" t="s">
        <v>443</v>
      </c>
      <c r="DA13" s="23" t="s">
        <v>445</v>
      </c>
      <c r="DB13" s="23">
        <v>38</v>
      </c>
      <c r="DC13" s="23">
        <v>3600</v>
      </c>
      <c r="DD13" s="23">
        <v>1200</v>
      </c>
      <c r="DE13" s="27">
        <v>2536</v>
      </c>
      <c r="DF13" s="27">
        <v>4278</v>
      </c>
      <c r="DG13" s="27">
        <v>6020</v>
      </c>
      <c r="DH13" s="27">
        <f>ROUND(3650/1000/3*Столешницы[[#This Row],[600 х 3000]],0)</f>
        <v>7324</v>
      </c>
    </row>
    <row r="14" spans="2:129" ht="30" customHeight="1" x14ac:dyDescent="0.25">
      <c r="S14" s="23" t="s">
        <v>165</v>
      </c>
      <c r="T14" s="23" t="s">
        <v>142</v>
      </c>
      <c r="U14" s="23">
        <v>1</v>
      </c>
      <c r="V1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8">
        <v>165</v>
      </c>
      <c r="AB14" s="21" t="s">
        <v>181</v>
      </c>
      <c r="AC14" s="21" t="s">
        <v>156</v>
      </c>
      <c r="AD14" s="21">
        <v>19</v>
      </c>
      <c r="AE14" s="21">
        <v>0</v>
      </c>
      <c r="AF14" s="121">
        <v>235</v>
      </c>
      <c r="AG14" s="121">
        <v>2550</v>
      </c>
      <c r="AH14" s="121">
        <v>290</v>
      </c>
      <c r="AI14" s="121">
        <v>950</v>
      </c>
      <c r="AJ14" s="21" t="s">
        <v>71</v>
      </c>
      <c r="AK14" s="21" t="s">
        <v>10</v>
      </c>
      <c r="AL14" s="21">
        <v>0</v>
      </c>
      <c r="AN14" s="123" t="s">
        <v>820</v>
      </c>
      <c r="AO14" s="38" t="s">
        <v>526</v>
      </c>
      <c r="AP14" s="38">
        <f>VLOOKUP(Пластики_Acryline[[#This Row],[Ценовая группа]],Цены_по_категориям_Acryline[],2,0)</f>
        <v>7745</v>
      </c>
      <c r="AQ14" s="38">
        <f>VLOOKUP(Пластики_Acryline[[#This Row],[Ценовая группа]],Цены_по_категориям_Acryline[],3,0)</f>
        <v>12274</v>
      </c>
      <c r="AR14" s="38" t="s">
        <v>521</v>
      </c>
      <c r="AS14" s="38" t="s">
        <v>71</v>
      </c>
      <c r="AT14" s="38" t="s">
        <v>10</v>
      </c>
      <c r="AU14" s="38">
        <v>90</v>
      </c>
      <c r="AV14" s="38">
        <v>2750</v>
      </c>
      <c r="AW14" s="38">
        <v>250</v>
      </c>
      <c r="AX14" s="38">
        <v>1200</v>
      </c>
      <c r="AY1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23">
        <v>14</v>
      </c>
      <c r="CF14" s="56" t="s">
        <v>577</v>
      </c>
      <c r="CG14" s="50" t="s">
        <v>551</v>
      </c>
      <c r="CH14" s="38" t="s">
        <v>513</v>
      </c>
      <c r="CI14" s="67" t="s">
        <v>686</v>
      </c>
      <c r="CJ14" s="83">
        <f>VLOOKUP(Ручки[[#This Row],[Категория]],Ценовые_категории_ручек[],2,0)</f>
        <v>257</v>
      </c>
      <c r="CX14" s="125"/>
      <c r="CY14" s="125"/>
      <c r="CZ14" s="123" t="s">
        <v>444</v>
      </c>
      <c r="DA14" s="23" t="s">
        <v>445</v>
      </c>
      <c r="DB14" s="23">
        <v>38</v>
      </c>
      <c r="DC14" s="23">
        <v>3600</v>
      </c>
      <c r="DD14" s="23">
        <v>1200</v>
      </c>
      <c r="DE14" s="27">
        <v>2536</v>
      </c>
      <c r="DF14" s="27">
        <v>4278</v>
      </c>
      <c r="DG14" s="27">
        <v>6020</v>
      </c>
      <c r="DH14" s="27">
        <f>ROUND(3650/1000/3*Столешницы[[#This Row],[600 х 3000]],0)</f>
        <v>7324</v>
      </c>
    </row>
    <row r="15" spans="2:129" ht="30" customHeight="1" x14ac:dyDescent="0.25">
      <c r="S15" s="23" t="s">
        <v>167</v>
      </c>
      <c r="T15" s="23" t="s">
        <v>143</v>
      </c>
      <c r="U15" s="23">
        <v>1</v>
      </c>
      <c r="V1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8">
        <v>168</v>
      </c>
      <c r="AB15" s="21" t="s">
        <v>183</v>
      </c>
      <c r="AC15" s="21" t="s">
        <v>158</v>
      </c>
      <c r="AD15" s="21">
        <v>19</v>
      </c>
      <c r="AE15" s="21">
        <v>16</v>
      </c>
      <c r="AF15" s="121">
        <v>135</v>
      </c>
      <c r="AG15" s="121">
        <v>2550</v>
      </c>
      <c r="AH15" s="121">
        <v>240</v>
      </c>
      <c r="AI15" s="121">
        <v>950</v>
      </c>
      <c r="AJ15" s="21" t="s">
        <v>71</v>
      </c>
      <c r="AK15" s="21" t="s">
        <v>10</v>
      </c>
      <c r="AL15" s="21">
        <v>0</v>
      </c>
      <c r="AN15" s="123" t="s">
        <v>821</v>
      </c>
      <c r="AO15" s="38" t="s">
        <v>526</v>
      </c>
      <c r="AP15" s="38">
        <f>VLOOKUP(Пластики_Acryline[[#This Row],[Ценовая группа]],Цены_по_категориям_Acryline[],2,0)</f>
        <v>7745</v>
      </c>
      <c r="AQ15" s="38">
        <f>VLOOKUP(Пластики_Acryline[[#This Row],[Ценовая группа]],Цены_по_категориям_Acryline[],3,0)</f>
        <v>12274</v>
      </c>
      <c r="AR15" s="38" t="s">
        <v>520</v>
      </c>
      <c r="AS15" s="38" t="s">
        <v>71</v>
      </c>
      <c r="AT15" s="38" t="s">
        <v>10</v>
      </c>
      <c r="AU15" s="38">
        <v>90</v>
      </c>
      <c r="AV15" s="38">
        <v>2750</v>
      </c>
      <c r="AW15" s="38">
        <v>250</v>
      </c>
      <c r="AX15" s="38">
        <v>1200</v>
      </c>
      <c r="AY1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23">
        <v>14</v>
      </c>
      <c r="CF15" s="56" t="s">
        <v>576</v>
      </c>
      <c r="CG15" s="50" t="s">
        <v>551</v>
      </c>
      <c r="CH15" s="38" t="s">
        <v>513</v>
      </c>
      <c r="CI15" s="67" t="s">
        <v>686</v>
      </c>
      <c r="CJ15" s="83">
        <f>VLOOKUP(Ручки[[#This Row],[Категория]],Ценовые_категории_ручек[],2,0)</f>
        <v>257</v>
      </c>
      <c r="CX15" s="78"/>
      <c r="CZ15" s="23" t="s">
        <v>436</v>
      </c>
      <c r="DA15" s="23" t="s">
        <v>445</v>
      </c>
      <c r="DB15" s="23">
        <v>15</v>
      </c>
      <c r="DC15" s="23">
        <v>3600</v>
      </c>
      <c r="DD15" s="23">
        <v>1200</v>
      </c>
      <c r="DE15" s="27">
        <v>1268</v>
      </c>
      <c r="DF15" s="27">
        <v>2139</v>
      </c>
      <c r="DG15" s="27">
        <v>3010</v>
      </c>
      <c r="DH15" s="27">
        <f>ROUND(3650/1000/3*Столешницы[[#This Row],[600 х 3000]],0)</f>
        <v>3662</v>
      </c>
    </row>
    <row r="16" spans="2:129" ht="30" customHeight="1" x14ac:dyDescent="0.25">
      <c r="S16" s="23" t="s">
        <v>169</v>
      </c>
      <c r="T16" s="23" t="s">
        <v>143</v>
      </c>
      <c r="U16" s="23">
        <v>4</v>
      </c>
      <c r="V1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8">
        <v>169</v>
      </c>
      <c r="AB16" s="21" t="s">
        <v>185</v>
      </c>
      <c r="AC16" s="21" t="s">
        <v>158</v>
      </c>
      <c r="AD16" s="21">
        <v>19</v>
      </c>
      <c r="AE16" s="21">
        <v>16</v>
      </c>
      <c r="AF16" s="121">
        <v>135</v>
      </c>
      <c r="AG16" s="121">
        <v>2550</v>
      </c>
      <c r="AH16" s="121">
        <v>240</v>
      </c>
      <c r="AI16" s="121">
        <v>950</v>
      </c>
      <c r="AJ16" s="21" t="s">
        <v>71</v>
      </c>
      <c r="AK16" s="21" t="s">
        <v>71</v>
      </c>
      <c r="AL16" s="21">
        <v>0</v>
      </c>
      <c r="AN16" s="123" t="s">
        <v>822</v>
      </c>
      <c r="AO16" s="38" t="s">
        <v>514</v>
      </c>
      <c r="AP16" s="38">
        <f>VLOOKUP(Пластики_Acryline[[#This Row],[Ценовая группа]],Цены_по_категориям_Acryline[],2,0)</f>
        <v>5808</v>
      </c>
      <c r="AQ16" s="38">
        <f>VLOOKUP(Пластики_Acryline[[#This Row],[Ценовая группа]],Цены_по_категориям_Acryline[],3,0)</f>
        <v>9206</v>
      </c>
      <c r="AR16" s="38" t="s">
        <v>520</v>
      </c>
      <c r="AS16" s="38" t="s">
        <v>71</v>
      </c>
      <c r="AT16" s="38" t="s">
        <v>10</v>
      </c>
      <c r="AU16" s="38">
        <v>90</v>
      </c>
      <c r="AV16" s="38">
        <v>2750</v>
      </c>
      <c r="AW16" s="38">
        <v>250</v>
      </c>
      <c r="AX16" s="38">
        <v>1200</v>
      </c>
      <c r="AY1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21">
        <v>26</v>
      </c>
      <c r="CF16" s="56" t="s">
        <v>580</v>
      </c>
      <c r="CG16" s="50" t="s">
        <v>543</v>
      </c>
      <c r="CH16" s="56" t="s">
        <v>552</v>
      </c>
      <c r="CI16" s="67" t="s">
        <v>687</v>
      </c>
      <c r="CJ16" s="83">
        <f>VLOOKUP(Ручки[[#This Row],[Категория]],Ценовые_категории_ручек[],2,0)</f>
        <v>450</v>
      </c>
      <c r="CZ16" s="23" t="s">
        <v>448</v>
      </c>
      <c r="DA16" s="23" t="s">
        <v>445</v>
      </c>
      <c r="DB16" s="23">
        <v>15</v>
      </c>
      <c r="DC16" s="23">
        <v>3600</v>
      </c>
      <c r="DD16" s="23">
        <v>1200</v>
      </c>
      <c r="DE16" s="27">
        <v>1268</v>
      </c>
      <c r="DF16" s="27">
        <v>2139</v>
      </c>
      <c r="DG16" s="27">
        <v>3010</v>
      </c>
      <c r="DH16" s="27">
        <f>ROUND(3650/1000/3*Столешницы[[#This Row],[600 х 3000]],0)</f>
        <v>3662</v>
      </c>
    </row>
    <row r="17" spans="1:112" ht="30" customHeight="1" x14ac:dyDescent="0.25">
      <c r="S17" s="23" t="s">
        <v>171</v>
      </c>
      <c r="T17" s="23" t="s">
        <v>142</v>
      </c>
      <c r="U17" s="23">
        <v>1</v>
      </c>
      <c r="V1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8">
        <v>174</v>
      </c>
      <c r="AB17" s="21" t="s">
        <v>188</v>
      </c>
      <c r="AC17" s="21" t="s">
        <v>158</v>
      </c>
      <c r="AD17" s="21">
        <v>19</v>
      </c>
      <c r="AE17" s="21">
        <v>16</v>
      </c>
      <c r="AF17" s="121">
        <v>135</v>
      </c>
      <c r="AG17" s="121">
        <v>2550</v>
      </c>
      <c r="AH17" s="121">
        <v>240</v>
      </c>
      <c r="AI17" s="121">
        <v>950</v>
      </c>
      <c r="AJ17" s="21" t="s">
        <v>71</v>
      </c>
      <c r="AK17" s="21" t="s">
        <v>71</v>
      </c>
      <c r="AL17" s="21">
        <v>0</v>
      </c>
      <c r="AN17" s="123" t="s">
        <v>823</v>
      </c>
      <c r="AO17" s="38" t="s">
        <v>526</v>
      </c>
      <c r="AP17" s="38">
        <f>VLOOKUP(Пластики_Acryline[[#This Row],[Ценовая группа]],Цены_по_категориям_Acryline[],2,0)</f>
        <v>7745</v>
      </c>
      <c r="AQ17" s="38">
        <f>VLOOKUP(Пластики_Acryline[[#This Row],[Ценовая группа]],Цены_по_категориям_Acryline[],3,0)</f>
        <v>12274</v>
      </c>
      <c r="AR17" s="38" t="s">
        <v>521</v>
      </c>
      <c r="AS17" s="38" t="s">
        <v>71</v>
      </c>
      <c r="AT17" s="38" t="s">
        <v>10</v>
      </c>
      <c r="AU17" s="38">
        <v>90</v>
      </c>
      <c r="AV17" s="38">
        <v>2750</v>
      </c>
      <c r="AW17" s="38">
        <v>250</v>
      </c>
      <c r="AX17" s="38">
        <v>1200</v>
      </c>
      <c r="AY1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23">
        <v>27</v>
      </c>
      <c r="CF17" s="38" t="s">
        <v>568</v>
      </c>
      <c r="CG17" s="50" t="s">
        <v>550</v>
      </c>
      <c r="CH17" s="38" t="s">
        <v>513</v>
      </c>
      <c r="CI17" s="67" t="s">
        <v>683</v>
      </c>
      <c r="CJ17" s="83">
        <f>VLOOKUP(Ручки[[#This Row],[Категория]],Ценовые_категории_ручек[],2,0)</f>
        <v>257</v>
      </c>
      <c r="CM17" s="53"/>
      <c r="CN17" s="38"/>
      <c r="CZ17" s="23" t="s">
        <v>449</v>
      </c>
      <c r="DA17" s="23" t="s">
        <v>445</v>
      </c>
      <c r="DB17" s="23">
        <v>15</v>
      </c>
      <c r="DC17" s="23">
        <v>3600</v>
      </c>
      <c r="DD17" s="23">
        <v>1200</v>
      </c>
      <c r="DE17" s="27">
        <v>1268</v>
      </c>
      <c r="DF17" s="27">
        <v>2139</v>
      </c>
      <c r="DG17" s="27">
        <v>3010</v>
      </c>
      <c r="DH17" s="27">
        <f>ROUND(3650/1000/3*Столешницы[[#This Row],[600 х 3000]],0)</f>
        <v>3662</v>
      </c>
    </row>
    <row r="18" spans="1:112" ht="30" customHeight="1" x14ac:dyDescent="0.25">
      <c r="A18" s="23" t="s">
        <v>87</v>
      </c>
      <c r="S18" s="23" t="s">
        <v>173</v>
      </c>
      <c r="T18" s="23" t="s">
        <v>143</v>
      </c>
      <c r="U18" s="23">
        <v>1</v>
      </c>
      <c r="V1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8">
        <v>182</v>
      </c>
      <c r="AB18" s="21" t="s">
        <v>190</v>
      </c>
      <c r="AC18" s="21" t="s">
        <v>158</v>
      </c>
      <c r="AD18" s="21">
        <v>19</v>
      </c>
      <c r="AE18" s="21">
        <v>16</v>
      </c>
      <c r="AF18" s="121">
        <v>140</v>
      </c>
      <c r="AG18" s="121">
        <v>2550</v>
      </c>
      <c r="AH18" s="121">
        <v>290</v>
      </c>
      <c r="AI18" s="121">
        <v>950</v>
      </c>
      <c r="AJ18" s="21" t="s">
        <v>71</v>
      </c>
      <c r="AK18" s="21" t="s">
        <v>71</v>
      </c>
      <c r="AL18" s="21">
        <v>0</v>
      </c>
      <c r="AN18" s="123" t="s">
        <v>824</v>
      </c>
      <c r="AO18" s="38" t="s">
        <v>526</v>
      </c>
      <c r="AP18" s="38">
        <f>VLOOKUP(Пластики_Acryline[[#This Row],[Ценовая группа]],Цены_по_категориям_Acryline[],2,0)</f>
        <v>7745</v>
      </c>
      <c r="AQ18" s="38">
        <f>VLOOKUP(Пластики_Acryline[[#This Row],[Ценовая группа]],Цены_по_категориям_Acryline[],3,0)</f>
        <v>12274</v>
      </c>
      <c r="AR18" s="38" t="s">
        <v>520</v>
      </c>
      <c r="AS18" s="38" t="s">
        <v>71</v>
      </c>
      <c r="AT18" s="38" t="s">
        <v>10</v>
      </c>
      <c r="AU18" s="38">
        <v>90</v>
      </c>
      <c r="AV18" s="38">
        <v>2750</v>
      </c>
      <c r="AW18" s="38">
        <v>250</v>
      </c>
      <c r="AX18" s="38">
        <v>1200</v>
      </c>
      <c r="AY1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23">
        <v>27</v>
      </c>
      <c r="CF18" s="58" t="s">
        <v>589</v>
      </c>
      <c r="CG18" s="50" t="s">
        <v>550</v>
      </c>
      <c r="CH18" s="58" t="s">
        <v>553</v>
      </c>
      <c r="CI18" s="67" t="s">
        <v>691</v>
      </c>
      <c r="CJ18" s="83">
        <f>VLOOKUP(Ручки[[#This Row],[Категория]],Ценовые_категории_ручек[],2,0)</f>
        <v>625</v>
      </c>
      <c r="CM18" s="53"/>
      <c r="CN18" s="38"/>
      <c r="CZ18" s="23" t="s">
        <v>440</v>
      </c>
      <c r="DA18" s="23" t="s">
        <v>445</v>
      </c>
      <c r="DB18" s="23">
        <v>15</v>
      </c>
      <c r="DC18" s="23">
        <v>3600</v>
      </c>
      <c r="DD18" s="23">
        <v>1200</v>
      </c>
      <c r="DE18" s="27">
        <v>1268</v>
      </c>
      <c r="DF18" s="27">
        <v>2139</v>
      </c>
      <c r="DG18" s="27">
        <v>3010</v>
      </c>
      <c r="DH18" s="27">
        <f>ROUND(3650/1000/3*Столешницы[[#This Row],[600 х 3000]],0)</f>
        <v>3662</v>
      </c>
    </row>
    <row r="19" spans="1:112" ht="30" customHeight="1" x14ac:dyDescent="0.25">
      <c r="A19" s="23" t="s">
        <v>349</v>
      </c>
      <c r="B19" s="23" t="s">
        <v>418</v>
      </c>
      <c r="S19" s="23" t="s">
        <v>175</v>
      </c>
      <c r="T19" s="23" t="s">
        <v>143</v>
      </c>
      <c r="U19" s="23">
        <v>1</v>
      </c>
      <c r="V1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8">
        <v>185</v>
      </c>
      <c r="AB19" s="21" t="s">
        <v>192</v>
      </c>
      <c r="AC19" s="21" t="s">
        <v>158</v>
      </c>
      <c r="AD19" s="21">
        <v>19</v>
      </c>
      <c r="AE19" s="21">
        <v>16</v>
      </c>
      <c r="AF19" s="121">
        <v>175</v>
      </c>
      <c r="AG19" s="121">
        <v>2550</v>
      </c>
      <c r="AH19" s="121">
        <v>290</v>
      </c>
      <c r="AI19" s="121">
        <v>950</v>
      </c>
      <c r="AJ19" s="21" t="s">
        <v>71</v>
      </c>
      <c r="AK19" s="21" t="s">
        <v>10</v>
      </c>
      <c r="AL19" s="21">
        <v>0</v>
      </c>
      <c r="AN19" s="123" t="s">
        <v>825</v>
      </c>
      <c r="AO19" s="38" t="s">
        <v>526</v>
      </c>
      <c r="AP19" s="38">
        <f>VLOOKUP(Пластики_Acryline[[#This Row],[Ценовая группа]],Цены_по_категориям_Acryline[],2,0)</f>
        <v>7745</v>
      </c>
      <c r="AQ19" s="38">
        <f>VLOOKUP(Пластики_Acryline[[#This Row],[Ценовая группа]],Цены_по_категориям_Acryline[],3,0)</f>
        <v>12274</v>
      </c>
      <c r="AR19" s="38" t="s">
        <v>521</v>
      </c>
      <c r="AS19" s="38" t="s">
        <v>71</v>
      </c>
      <c r="AT19" s="38" t="s">
        <v>10</v>
      </c>
      <c r="AU19" s="38">
        <v>90</v>
      </c>
      <c r="AV19" s="38">
        <v>2750</v>
      </c>
      <c r="AW19" s="38">
        <v>250</v>
      </c>
      <c r="AX19" s="38">
        <v>1200</v>
      </c>
      <c r="AY1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23">
        <v>28</v>
      </c>
      <c r="CF19" s="58" t="s">
        <v>582</v>
      </c>
      <c r="CG19" s="50" t="s">
        <v>550</v>
      </c>
      <c r="CH19" s="56" t="s">
        <v>552</v>
      </c>
      <c r="CI19" s="67" t="s">
        <v>676</v>
      </c>
      <c r="CJ19" s="83">
        <f>VLOOKUP(Ручки[[#This Row],[Категория]],Ценовые_категории_ручек[],2,0)</f>
        <v>450</v>
      </c>
      <c r="CM19" s="53"/>
      <c r="CN19" s="38"/>
      <c r="CZ19" s="23" t="s">
        <v>450</v>
      </c>
      <c r="DA19" s="23" t="s">
        <v>445</v>
      </c>
      <c r="DB19" s="23">
        <v>15</v>
      </c>
      <c r="DC19" s="23">
        <v>3600</v>
      </c>
      <c r="DD19" s="23">
        <v>1200</v>
      </c>
      <c r="DE19" s="27">
        <v>1268</v>
      </c>
      <c r="DF19" s="27">
        <v>2139</v>
      </c>
      <c r="DG19" s="27">
        <v>3010</v>
      </c>
      <c r="DH19" s="27">
        <f>ROUND(3650/1000/3*Столешницы[[#This Row],[600 х 3000]],0)</f>
        <v>3662</v>
      </c>
    </row>
    <row r="20" spans="1:112" ht="30" customHeight="1" x14ac:dyDescent="0.25">
      <c r="A20" s="23" t="s">
        <v>419</v>
      </c>
      <c r="B20" s="83">
        <v>1872</v>
      </c>
      <c r="S20" s="23" t="s">
        <v>177</v>
      </c>
      <c r="T20" s="23" t="s">
        <v>142</v>
      </c>
      <c r="U20" s="23">
        <v>1</v>
      </c>
      <c r="V2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8">
        <v>186</v>
      </c>
      <c r="AB20" s="21" t="s">
        <v>194</v>
      </c>
      <c r="AC20" s="21" t="s">
        <v>156</v>
      </c>
      <c r="AD20" s="21">
        <v>19</v>
      </c>
      <c r="AE20" s="21">
        <v>0</v>
      </c>
      <c r="AF20" s="121">
        <v>275</v>
      </c>
      <c r="AG20" s="121">
        <v>2550</v>
      </c>
      <c r="AH20" s="121">
        <v>286</v>
      </c>
      <c r="AI20" s="121">
        <v>950</v>
      </c>
      <c r="AJ20" s="21" t="s">
        <v>10</v>
      </c>
      <c r="AK20" s="21" t="s">
        <v>10</v>
      </c>
      <c r="AL20" s="21">
        <v>0</v>
      </c>
      <c r="AN20" s="123" t="s">
        <v>826</v>
      </c>
      <c r="AO20" s="38" t="s">
        <v>526</v>
      </c>
      <c r="AP20" s="38">
        <f>VLOOKUP(Пластики_Acryline[[#This Row],[Ценовая группа]],Цены_по_категориям_Acryline[],2,0)</f>
        <v>7745</v>
      </c>
      <c r="AQ20" s="38">
        <f>VLOOKUP(Пластики_Acryline[[#This Row],[Ценовая группа]],Цены_по_категориям_Acryline[],3,0)</f>
        <v>12274</v>
      </c>
      <c r="AR20" s="38" t="s">
        <v>520</v>
      </c>
      <c r="AS20" s="38" t="s">
        <v>71</v>
      </c>
      <c r="AT20" s="38" t="s">
        <v>10</v>
      </c>
      <c r="AU20" s="38">
        <v>90</v>
      </c>
      <c r="AV20" s="38">
        <v>2750</v>
      </c>
      <c r="AW20" s="38">
        <v>250</v>
      </c>
      <c r="AX20" s="38">
        <v>1200</v>
      </c>
      <c r="AY2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23">
        <v>28</v>
      </c>
      <c r="CF20" s="57" t="s">
        <v>562</v>
      </c>
      <c r="CG20" s="52" t="s">
        <v>548</v>
      </c>
      <c r="CH20" s="38" t="s">
        <v>513</v>
      </c>
      <c r="CI20" s="67" t="s">
        <v>676</v>
      </c>
      <c r="CJ20" s="83">
        <f>VLOOKUP(Ручки[[#This Row],[Категория]],Ценовые_категории_ручек[],2,0)</f>
        <v>257</v>
      </c>
      <c r="CM20" s="53"/>
      <c r="CN20" s="38"/>
      <c r="CZ20" s="23" t="s">
        <v>451</v>
      </c>
      <c r="DA20" s="23" t="s">
        <v>445</v>
      </c>
      <c r="DB20" s="23">
        <v>15</v>
      </c>
      <c r="DC20" s="23">
        <v>3600</v>
      </c>
      <c r="DD20" s="23">
        <v>1200</v>
      </c>
      <c r="DE20" s="27">
        <v>1268</v>
      </c>
      <c r="DF20" s="27">
        <v>2139</v>
      </c>
      <c r="DG20" s="27">
        <v>3010</v>
      </c>
      <c r="DH20" s="27">
        <f>ROUND(3650/1000/3*Столешницы[[#This Row],[600 х 3000]],0)</f>
        <v>3662</v>
      </c>
    </row>
    <row r="21" spans="1:112" ht="30" customHeight="1" x14ac:dyDescent="0.25">
      <c r="A21" s="23" t="s">
        <v>532</v>
      </c>
      <c r="B21" s="83">
        <v>2912</v>
      </c>
      <c r="N21" s="24"/>
      <c r="S21" s="23" t="s">
        <v>179</v>
      </c>
      <c r="T21" s="23" t="s">
        <v>143</v>
      </c>
      <c r="U21" s="23">
        <v>1</v>
      </c>
      <c r="V2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8">
        <v>192</v>
      </c>
      <c r="AB21" s="21" t="s">
        <v>196</v>
      </c>
      <c r="AC21" s="21" t="s">
        <v>156</v>
      </c>
      <c r="AD21" s="21">
        <v>19</v>
      </c>
      <c r="AE21" s="21">
        <v>0</v>
      </c>
      <c r="AF21" s="121">
        <v>275</v>
      </c>
      <c r="AG21" s="121">
        <v>1100</v>
      </c>
      <c r="AH21" s="121">
        <v>290</v>
      </c>
      <c r="AI21" s="121">
        <v>950</v>
      </c>
      <c r="AJ21" s="21" t="s">
        <v>71</v>
      </c>
      <c r="AK21" s="21" t="s">
        <v>10</v>
      </c>
      <c r="AL21" s="21">
        <v>0</v>
      </c>
      <c r="AN21" s="123" t="s">
        <v>827</v>
      </c>
      <c r="AO21" s="38" t="s">
        <v>514</v>
      </c>
      <c r="AP21" s="38">
        <f>VLOOKUP(Пластики_Acryline[[#This Row],[Ценовая группа]],Цены_по_категориям_Acryline[],2,0)</f>
        <v>5808</v>
      </c>
      <c r="AQ21" s="38">
        <f>VLOOKUP(Пластики_Acryline[[#This Row],[Ценовая группа]],Цены_по_категориям_Acryline[],3,0)</f>
        <v>9206</v>
      </c>
      <c r="AR21" s="38" t="s">
        <v>520</v>
      </c>
      <c r="AS21" s="38" t="s">
        <v>71</v>
      </c>
      <c r="AT21" s="38" t="s">
        <v>10</v>
      </c>
      <c r="AU21" s="38">
        <v>90</v>
      </c>
      <c r="AV21" s="38">
        <v>2750</v>
      </c>
      <c r="AW21" s="38">
        <v>250</v>
      </c>
      <c r="AX21" s="38">
        <v>1200</v>
      </c>
      <c r="AY2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21">
        <v>36</v>
      </c>
      <c r="BS21" s="92"/>
      <c r="BT21" s="92"/>
      <c r="BU21" s="92"/>
      <c r="BV21" s="93"/>
      <c r="CF21" s="58" t="s">
        <v>592</v>
      </c>
      <c r="CG21" s="50" t="s">
        <v>550</v>
      </c>
      <c r="CH21" s="58" t="s">
        <v>553</v>
      </c>
      <c r="CI21" s="67" t="s">
        <v>675</v>
      </c>
      <c r="CJ21" s="83">
        <f>VLOOKUP(Ручки[[#This Row],[Категория]],Ценовые_категории_ручек[],2,0)</f>
        <v>625</v>
      </c>
      <c r="CM21" s="53"/>
      <c r="CN21" s="38"/>
      <c r="CZ21" s="23" t="s">
        <v>443</v>
      </c>
      <c r="DA21" s="23" t="s">
        <v>445</v>
      </c>
      <c r="DB21" s="23">
        <v>15</v>
      </c>
      <c r="DC21" s="23">
        <v>3600</v>
      </c>
      <c r="DD21" s="23">
        <v>600</v>
      </c>
      <c r="DE21" s="27">
        <v>1268</v>
      </c>
      <c r="DF21" s="27">
        <v>2139</v>
      </c>
      <c r="DG21" s="27">
        <v>3010</v>
      </c>
      <c r="DH21" s="27">
        <f>ROUND(3650/1000/3*Столешницы[[#This Row],[600 х 3000]],0)</f>
        <v>3662</v>
      </c>
    </row>
    <row r="22" spans="1:112" ht="30" customHeight="1" x14ac:dyDescent="0.25">
      <c r="A22" s="23" t="s">
        <v>523</v>
      </c>
      <c r="B22" s="83">
        <v>2618</v>
      </c>
      <c r="N22" s="24"/>
      <c r="S22" s="23" t="s">
        <v>180</v>
      </c>
      <c r="T22" s="23" t="s">
        <v>143</v>
      </c>
      <c r="U22" s="23">
        <v>1</v>
      </c>
      <c r="V2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8">
        <v>196</v>
      </c>
      <c r="AB22" s="21" t="s">
        <v>714</v>
      </c>
      <c r="AC22" s="21" t="s">
        <v>156</v>
      </c>
      <c r="AD22" s="21">
        <v>19</v>
      </c>
      <c r="AE22" s="21">
        <v>0</v>
      </c>
      <c r="AF22" s="121">
        <v>116</v>
      </c>
      <c r="AG22" s="121">
        <v>2550</v>
      </c>
      <c r="AH22" s="121">
        <v>146</v>
      </c>
      <c r="AI22" s="121">
        <v>946</v>
      </c>
      <c r="AJ22" s="21" t="s">
        <v>10</v>
      </c>
      <c r="AK22" s="21" t="s">
        <v>10</v>
      </c>
      <c r="AL22" s="21">
        <v>0.1</v>
      </c>
      <c r="AN22" s="123" t="s">
        <v>828</v>
      </c>
      <c r="AO22" s="38" t="s">
        <v>526</v>
      </c>
      <c r="AP22" s="38">
        <f>VLOOKUP(Пластики_Acryline[[#This Row],[Ценовая группа]],Цены_по_категориям_Acryline[],2,0)</f>
        <v>7745</v>
      </c>
      <c r="AQ22" s="38">
        <f>VLOOKUP(Пластики_Acryline[[#This Row],[Ценовая группа]],Цены_по_категориям_Acryline[],3,0)</f>
        <v>12274</v>
      </c>
      <c r="AR22" s="38" t="s">
        <v>521</v>
      </c>
      <c r="AS22" s="38" t="s">
        <v>71</v>
      </c>
      <c r="AT22" s="38" t="s">
        <v>10</v>
      </c>
      <c r="AU22" s="38">
        <v>90</v>
      </c>
      <c r="AV22" s="38">
        <v>2750</v>
      </c>
      <c r="AW22" s="38">
        <v>250</v>
      </c>
      <c r="AX22" s="38">
        <v>1200</v>
      </c>
      <c r="AY2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23">
        <v>39</v>
      </c>
      <c r="BQ22" s="92"/>
      <c r="BR22" s="92"/>
      <c r="CF22" s="56" t="s">
        <v>581</v>
      </c>
      <c r="CG22" s="50" t="s">
        <v>550</v>
      </c>
      <c r="CH22" s="55" t="s">
        <v>552</v>
      </c>
      <c r="CI22" s="67" t="s">
        <v>675</v>
      </c>
      <c r="CJ22" s="83">
        <f>VLOOKUP(Ручки[[#This Row],[Категория]],Ценовые_категории_ручек[],2,0)</f>
        <v>450</v>
      </c>
      <c r="CZ22" s="23" t="s">
        <v>444</v>
      </c>
      <c r="DA22" s="23" t="s">
        <v>445</v>
      </c>
      <c r="DB22" s="23">
        <v>15</v>
      </c>
      <c r="DC22" s="23">
        <v>3600</v>
      </c>
      <c r="DD22" s="23">
        <v>1200</v>
      </c>
      <c r="DE22" s="27">
        <v>1268</v>
      </c>
      <c r="DF22" s="27">
        <v>2139</v>
      </c>
      <c r="DG22" s="27">
        <v>3010</v>
      </c>
      <c r="DH22" s="27">
        <f>ROUND(3650/1000/3*Столешницы[[#This Row],[600 х 3000]],0)</f>
        <v>3662</v>
      </c>
    </row>
    <row r="23" spans="1:112" ht="30" customHeight="1" x14ac:dyDescent="0.25">
      <c r="A23" s="21" t="s">
        <v>379</v>
      </c>
      <c r="B23" s="83">
        <f>'комплекты фурнитуры'!$C$81</f>
        <v>1110</v>
      </c>
      <c r="N23" s="35"/>
      <c r="S23" s="23" t="s">
        <v>182</v>
      </c>
      <c r="T23" s="23" t="s">
        <v>143</v>
      </c>
      <c r="U23" s="23">
        <v>1</v>
      </c>
      <c r="V2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8">
        <v>197</v>
      </c>
      <c r="AB23" s="21" t="s">
        <v>199</v>
      </c>
      <c r="AC23" s="21" t="s">
        <v>156</v>
      </c>
      <c r="AD23" s="21">
        <v>19</v>
      </c>
      <c r="AE23" s="21">
        <v>0</v>
      </c>
      <c r="AF23" s="121">
        <v>116</v>
      </c>
      <c r="AG23" s="121">
        <v>2550</v>
      </c>
      <c r="AH23" s="121">
        <v>246</v>
      </c>
      <c r="AI23" s="121">
        <v>946</v>
      </c>
      <c r="AJ23" s="21" t="s">
        <v>10</v>
      </c>
      <c r="AK23" s="21" t="s">
        <v>10</v>
      </c>
      <c r="AL23" s="21">
        <v>0.1</v>
      </c>
      <c r="AN23" s="123" t="s">
        <v>829</v>
      </c>
      <c r="AO23" s="38" t="s">
        <v>526</v>
      </c>
      <c r="AP23" s="38">
        <f>VLOOKUP(Пластики_Acryline[[#This Row],[Ценовая группа]],Цены_по_категориям_Acryline[],2,0)</f>
        <v>7745</v>
      </c>
      <c r="AQ23" s="38">
        <f>VLOOKUP(Пластики_Acryline[[#This Row],[Ценовая группа]],Цены_по_категориям_Acryline[],3,0)</f>
        <v>12274</v>
      </c>
      <c r="AR23" s="38" t="s">
        <v>520</v>
      </c>
      <c r="AS23" s="38" t="s">
        <v>71</v>
      </c>
      <c r="AT23" s="38" t="s">
        <v>10</v>
      </c>
      <c r="AU23" s="38">
        <v>90</v>
      </c>
      <c r="AV23" s="38">
        <v>2750</v>
      </c>
      <c r="AW23" s="38">
        <v>250</v>
      </c>
      <c r="AX23" s="38">
        <v>1200</v>
      </c>
      <c r="AY2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23">
        <v>40</v>
      </c>
      <c r="CF23" s="38" t="s">
        <v>547</v>
      </c>
      <c r="CG23" s="52" t="s">
        <v>548</v>
      </c>
      <c r="CH23" s="38" t="s">
        <v>513</v>
      </c>
      <c r="CI23" s="67" t="s">
        <v>675</v>
      </c>
      <c r="CJ23" s="83">
        <f>VLOOKUP(Ручки[[#This Row],[Категория]],Ценовые_категории_ручек[],2,0)</f>
        <v>257</v>
      </c>
      <c r="CZ23" s="23" t="s">
        <v>438</v>
      </c>
      <c r="DA23" s="23" t="s">
        <v>445</v>
      </c>
      <c r="DB23" s="23">
        <v>15</v>
      </c>
      <c r="DC23" s="23">
        <v>3600</v>
      </c>
      <c r="DD23" s="23">
        <v>1200</v>
      </c>
      <c r="DE23" s="27">
        <v>1268</v>
      </c>
      <c r="DF23" s="27">
        <v>2139</v>
      </c>
      <c r="DG23" s="27">
        <v>3010</v>
      </c>
      <c r="DH23" s="27">
        <f>ROUND(3650/1000/3*Столешницы[[#This Row],[600 х 3000]],0)</f>
        <v>3662</v>
      </c>
    </row>
    <row r="24" spans="1:112" ht="30" customHeight="1" x14ac:dyDescent="0.25">
      <c r="A24" s="23" t="s">
        <v>524</v>
      </c>
      <c r="B24" s="83">
        <v>2610</v>
      </c>
      <c r="N24" s="34"/>
      <c r="S24" s="23" t="s">
        <v>184</v>
      </c>
      <c r="T24" s="23" t="s">
        <v>143</v>
      </c>
      <c r="U24" s="23">
        <v>1</v>
      </c>
      <c r="V2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8">
        <v>198</v>
      </c>
      <c r="AB24" s="21" t="s">
        <v>201</v>
      </c>
      <c r="AC24" s="21" t="s">
        <v>156</v>
      </c>
      <c r="AD24" s="21">
        <v>22</v>
      </c>
      <c r="AE24" s="21">
        <v>0</v>
      </c>
      <c r="AF24" s="121">
        <v>100</v>
      </c>
      <c r="AG24" s="121">
        <v>2550</v>
      </c>
      <c r="AH24" s="121">
        <v>235</v>
      </c>
      <c r="AI24" s="121">
        <v>950</v>
      </c>
      <c r="AJ24" s="21" t="s">
        <v>71</v>
      </c>
      <c r="AK24" s="21" t="s">
        <v>10</v>
      </c>
      <c r="AL24" s="21">
        <v>0</v>
      </c>
      <c r="AN24" s="123" t="s">
        <v>830</v>
      </c>
      <c r="AO24" s="38" t="s">
        <v>526</v>
      </c>
      <c r="AP24" s="38">
        <f>VLOOKUP(Пластики_Acryline[[#This Row],[Ценовая группа]],Цены_по_категориям_Acryline[],2,0)</f>
        <v>7745</v>
      </c>
      <c r="AQ24" s="38">
        <f>VLOOKUP(Пластики_Acryline[[#This Row],[Ценовая группа]],Цены_по_категориям_Acryline[],3,0)</f>
        <v>12274</v>
      </c>
      <c r="AR24" s="38" t="s">
        <v>521</v>
      </c>
      <c r="AS24" s="38" t="s">
        <v>71</v>
      </c>
      <c r="AT24" s="38" t="s">
        <v>10</v>
      </c>
      <c r="AU24" s="38">
        <v>90</v>
      </c>
      <c r="AV24" s="38">
        <v>2750</v>
      </c>
      <c r="AW24" s="38">
        <v>250</v>
      </c>
      <c r="AX24" s="38">
        <v>1200</v>
      </c>
      <c r="AY2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23">
        <v>41</v>
      </c>
      <c r="CF24" s="56" t="s">
        <v>561</v>
      </c>
      <c r="CG24" s="52" t="s">
        <v>548</v>
      </c>
      <c r="CH24" s="38" t="s">
        <v>513</v>
      </c>
      <c r="CI24" s="67" t="s">
        <v>675</v>
      </c>
      <c r="CJ24" s="83">
        <f>VLOOKUP(Ручки[[#This Row],[Категория]],Ценовые_категории_ручек[],2,0)</f>
        <v>257</v>
      </c>
      <c r="CZ24" s="123" t="s">
        <v>452</v>
      </c>
      <c r="DA24" s="23" t="s">
        <v>459</v>
      </c>
      <c r="DB24" s="23">
        <v>38</v>
      </c>
      <c r="DC24" s="23">
        <v>4190</v>
      </c>
      <c r="DD24" s="23">
        <v>1200</v>
      </c>
      <c r="DE24" s="27">
        <v>5477</v>
      </c>
      <c r="DF24" s="27">
        <v>9240</v>
      </c>
      <c r="DG24" s="27">
        <v>13003</v>
      </c>
      <c r="DH24" s="27">
        <v>18022</v>
      </c>
    </row>
    <row r="25" spans="1:112" ht="30" customHeight="1" x14ac:dyDescent="0.25">
      <c r="A25" s="23" t="s">
        <v>701</v>
      </c>
      <c r="B25" s="84">
        <v>1090</v>
      </c>
      <c r="N25" s="34"/>
      <c r="S25" s="23" t="s">
        <v>186</v>
      </c>
      <c r="T25" s="23" t="s">
        <v>143</v>
      </c>
      <c r="U25" s="23">
        <v>1</v>
      </c>
      <c r="V2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8">
        <v>201</v>
      </c>
      <c r="AB25" s="21" t="s">
        <v>203</v>
      </c>
      <c r="AC25" s="21" t="s">
        <v>158</v>
      </c>
      <c r="AD25" s="21">
        <v>18</v>
      </c>
      <c r="AE25" s="21">
        <v>16</v>
      </c>
      <c r="AF25" s="121">
        <v>50</v>
      </c>
      <c r="AG25" s="121">
        <v>2550</v>
      </c>
      <c r="AH25" s="121">
        <v>50</v>
      </c>
      <c r="AI25" s="121">
        <v>950</v>
      </c>
      <c r="AJ25" s="21" t="s">
        <v>71</v>
      </c>
      <c r="AK25" s="21" t="s">
        <v>10</v>
      </c>
      <c r="AL25" s="21">
        <v>0</v>
      </c>
      <c r="AN25" s="123" t="s">
        <v>831</v>
      </c>
      <c r="AO25" s="38" t="s">
        <v>517</v>
      </c>
      <c r="AP25" s="38">
        <f>VLOOKUP(Пластики_Acryline[[#This Row],[Ценовая группа]],Цены_по_категориям_Acryline[],2,0)</f>
        <v>8520</v>
      </c>
      <c r="AQ25" s="38">
        <f>VLOOKUP(Пластики_Acryline[[#This Row],[Ценовая группа]],Цены_по_категориям_Acryline[],3,0)</f>
        <v>13501</v>
      </c>
      <c r="AR25" s="38" t="s">
        <v>521</v>
      </c>
      <c r="AS25" s="38" t="s">
        <v>71</v>
      </c>
      <c r="AT25" s="38" t="s">
        <v>10</v>
      </c>
      <c r="AU25" s="38">
        <v>90</v>
      </c>
      <c r="AV25" s="38">
        <v>2750</v>
      </c>
      <c r="AW25" s="38">
        <v>250</v>
      </c>
      <c r="AX25" s="38">
        <v>1200</v>
      </c>
      <c r="AY2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23">
        <v>41</v>
      </c>
      <c r="CF25" s="57" t="s">
        <v>594</v>
      </c>
      <c r="CG25" s="50" t="s">
        <v>550</v>
      </c>
      <c r="CH25" s="58" t="s">
        <v>553</v>
      </c>
      <c r="CI25" s="67" t="s">
        <v>678</v>
      </c>
      <c r="CJ25" s="83">
        <f>VLOOKUP(Ручки[[#This Row],[Категория]],Ценовые_категории_ручек[],2,0)</f>
        <v>625</v>
      </c>
      <c r="CZ25" s="123" t="s">
        <v>453</v>
      </c>
      <c r="DA25" s="23" t="s">
        <v>459</v>
      </c>
      <c r="DB25" s="23">
        <v>38</v>
      </c>
      <c r="DC25" s="23">
        <v>4190</v>
      </c>
      <c r="DD25" s="23">
        <v>1200</v>
      </c>
      <c r="DE25" s="27">
        <v>5477</v>
      </c>
      <c r="DF25" s="27">
        <v>9240</v>
      </c>
      <c r="DG25" s="27">
        <v>13003</v>
      </c>
      <c r="DH25" s="27">
        <v>18022</v>
      </c>
    </row>
    <row r="26" spans="1:112" ht="30" customHeight="1" x14ac:dyDescent="0.25">
      <c r="F26" s="24"/>
      <c r="N26" s="36"/>
      <c r="S26" s="23" t="s">
        <v>187</v>
      </c>
      <c r="T26" s="23" t="s">
        <v>143</v>
      </c>
      <c r="U26" s="23">
        <v>3</v>
      </c>
      <c r="V2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8">
        <v>211</v>
      </c>
      <c r="AB26" s="21" t="s">
        <v>205</v>
      </c>
      <c r="AC26" s="21" t="s">
        <v>158</v>
      </c>
      <c r="AD26" s="21">
        <v>18</v>
      </c>
      <c r="AE26" s="21">
        <v>16</v>
      </c>
      <c r="AF26" s="121">
        <v>50</v>
      </c>
      <c r="AG26" s="121">
        <v>1200</v>
      </c>
      <c r="AH26" s="121">
        <v>50</v>
      </c>
      <c r="AI26" s="121">
        <v>2550</v>
      </c>
      <c r="AJ26" s="21" t="s">
        <v>71</v>
      </c>
      <c r="AK26" s="21" t="s">
        <v>10</v>
      </c>
      <c r="AL26" s="21">
        <v>0</v>
      </c>
      <c r="AN26" s="123" t="s">
        <v>832</v>
      </c>
      <c r="AO26" s="38" t="s">
        <v>526</v>
      </c>
      <c r="AP26" s="38">
        <f>VLOOKUP(Пластики_Acryline[[#This Row],[Ценовая группа]],Цены_по_категориям_Acryline[],2,0)</f>
        <v>7745</v>
      </c>
      <c r="AQ26" s="38">
        <f>VLOOKUP(Пластики_Acryline[[#This Row],[Ценовая группа]],Цены_по_категориям_Acryline[],3,0)</f>
        <v>12274</v>
      </c>
      <c r="AR26" s="38" t="s">
        <v>521</v>
      </c>
      <c r="AS26" s="38" t="s">
        <v>71</v>
      </c>
      <c r="AT26" s="38" t="s">
        <v>10</v>
      </c>
      <c r="AU26" s="38">
        <v>90</v>
      </c>
      <c r="AV26" s="38">
        <v>2750</v>
      </c>
      <c r="AW26" s="38">
        <v>250</v>
      </c>
      <c r="AX26" s="38">
        <v>1200</v>
      </c>
      <c r="AY2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23">
        <v>42</v>
      </c>
      <c r="CF26" s="57" t="s">
        <v>564</v>
      </c>
      <c r="CG26" s="52" t="s">
        <v>548</v>
      </c>
      <c r="CH26" s="38" t="s">
        <v>513</v>
      </c>
      <c r="CI26" s="67" t="s">
        <v>678</v>
      </c>
      <c r="CJ26" s="83">
        <f>VLOOKUP(Ручки[[#This Row],[Категория]],Ценовые_категории_ручек[],2,0)</f>
        <v>257</v>
      </c>
      <c r="CZ26" s="123" t="s">
        <v>454</v>
      </c>
      <c r="DA26" s="23" t="s">
        <v>459</v>
      </c>
      <c r="DB26" s="23">
        <v>38</v>
      </c>
      <c r="DC26" s="23">
        <v>4190</v>
      </c>
      <c r="DD26" s="23">
        <v>1200</v>
      </c>
      <c r="DE26" s="27">
        <v>5477</v>
      </c>
      <c r="DF26" s="27">
        <v>9240</v>
      </c>
      <c r="DG26" s="27">
        <v>13003</v>
      </c>
      <c r="DH26" s="27">
        <v>18022</v>
      </c>
    </row>
    <row r="27" spans="1:112" ht="30" customHeight="1" x14ac:dyDescent="0.25">
      <c r="C27" s="24"/>
      <c r="D27" s="24"/>
      <c r="E27" s="24"/>
      <c r="F27" s="24"/>
      <c r="S27" s="23" t="s">
        <v>189</v>
      </c>
      <c r="T27" s="23" t="s">
        <v>143</v>
      </c>
      <c r="U27" s="23">
        <v>2</v>
      </c>
      <c r="V2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8">
        <v>212</v>
      </c>
      <c r="AB27" s="21" t="s">
        <v>207</v>
      </c>
      <c r="AC27" s="21" t="s">
        <v>158</v>
      </c>
      <c r="AD27" s="21">
        <v>19</v>
      </c>
      <c r="AE27" s="21">
        <v>16</v>
      </c>
      <c r="AF27" s="121">
        <v>116</v>
      </c>
      <c r="AG27" s="121">
        <v>2550</v>
      </c>
      <c r="AH27" s="121">
        <v>270</v>
      </c>
      <c r="AI27" s="121">
        <v>950</v>
      </c>
      <c r="AJ27" s="21" t="s">
        <v>71</v>
      </c>
      <c r="AK27" s="21" t="s">
        <v>10</v>
      </c>
      <c r="AL27" s="21">
        <v>0.1</v>
      </c>
      <c r="AN27" s="123" t="s">
        <v>833</v>
      </c>
      <c r="AO27" s="38" t="s">
        <v>526</v>
      </c>
      <c r="AP27" s="38">
        <f>VLOOKUP(Пластики_Acryline[[#This Row],[Ценовая группа]],Цены_по_категориям_Acryline[],2,0)</f>
        <v>7745</v>
      </c>
      <c r="AQ27" s="38">
        <f>VLOOKUP(Пластики_Acryline[[#This Row],[Ценовая группа]],Цены_по_категориям_Acryline[],3,0)</f>
        <v>12274</v>
      </c>
      <c r="AR27" s="38" t="s">
        <v>521</v>
      </c>
      <c r="AS27" s="38" t="s">
        <v>71</v>
      </c>
      <c r="AT27" s="38" t="s">
        <v>10</v>
      </c>
      <c r="AU27" s="38">
        <v>90</v>
      </c>
      <c r="AV27" s="38">
        <v>2750</v>
      </c>
      <c r="AW27" s="38">
        <v>250</v>
      </c>
      <c r="AX27" s="38">
        <v>1200</v>
      </c>
      <c r="AY2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23">
        <v>43</v>
      </c>
      <c r="CF27" s="57" t="s">
        <v>597</v>
      </c>
      <c r="CG27" s="50" t="s">
        <v>550</v>
      </c>
      <c r="CH27" s="58" t="s">
        <v>554</v>
      </c>
      <c r="CI27" s="67" t="s">
        <v>678</v>
      </c>
      <c r="CJ27" s="83">
        <f>VLOOKUP(Ручки[[#This Row],[Категория]],Ценовые_категории_ручек[],2,0)</f>
        <v>800</v>
      </c>
      <c r="CZ27" s="123" t="s">
        <v>455</v>
      </c>
      <c r="DA27" s="23" t="s">
        <v>459</v>
      </c>
      <c r="DB27" s="23">
        <v>38</v>
      </c>
      <c r="DC27" s="23">
        <v>4190</v>
      </c>
      <c r="DD27" s="23">
        <v>1200</v>
      </c>
      <c r="DE27" s="27">
        <v>5477</v>
      </c>
      <c r="DF27" s="27">
        <v>9240</v>
      </c>
      <c r="DG27" s="27">
        <v>13003</v>
      </c>
      <c r="DH27" s="27">
        <v>18022</v>
      </c>
    </row>
    <row r="28" spans="1:112" ht="30" customHeight="1" x14ac:dyDescent="0.25">
      <c r="C28" s="24"/>
      <c r="D28" s="24"/>
      <c r="E28" s="24"/>
      <c r="F28" s="24"/>
      <c r="S28" s="23" t="s">
        <v>191</v>
      </c>
      <c r="T28" s="23" t="s">
        <v>143</v>
      </c>
      <c r="U28" s="23">
        <v>1</v>
      </c>
      <c r="V2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8">
        <v>217</v>
      </c>
      <c r="AB28" s="21" t="s">
        <v>209</v>
      </c>
      <c r="AC28" s="21" t="s">
        <v>158</v>
      </c>
      <c r="AD28" s="21">
        <v>19</v>
      </c>
      <c r="AE28" s="21">
        <v>0</v>
      </c>
      <c r="AF28" s="121">
        <v>70</v>
      </c>
      <c r="AG28" s="121">
        <v>950</v>
      </c>
      <c r="AH28" s="121">
        <v>90</v>
      </c>
      <c r="AI28" s="121">
        <v>950</v>
      </c>
      <c r="AJ28" s="21" t="s">
        <v>71</v>
      </c>
      <c r="AK28" s="21" t="s">
        <v>10</v>
      </c>
      <c r="AL28" s="21">
        <v>0</v>
      </c>
      <c r="AN28" s="123" t="s">
        <v>834</v>
      </c>
      <c r="AO28" s="38" t="s">
        <v>526</v>
      </c>
      <c r="AP28" s="38">
        <f>VLOOKUP(Пластики_Acryline[[#This Row],[Ценовая группа]],Цены_по_категориям_Acryline[],2,0)</f>
        <v>7745</v>
      </c>
      <c r="AQ28" s="38">
        <f>VLOOKUP(Пластики_Acryline[[#This Row],[Ценовая группа]],Цены_по_категориям_Acryline[],3,0)</f>
        <v>12274</v>
      </c>
      <c r="AR28" s="38" t="s">
        <v>521</v>
      </c>
      <c r="AS28" s="38" t="s">
        <v>71</v>
      </c>
      <c r="AT28" s="38" t="s">
        <v>10</v>
      </c>
      <c r="AU28" s="38">
        <v>90</v>
      </c>
      <c r="AV28" s="38">
        <v>2750</v>
      </c>
      <c r="AW28" s="38">
        <v>250</v>
      </c>
      <c r="AX28" s="38">
        <v>1200</v>
      </c>
      <c r="AY2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23">
        <v>44</v>
      </c>
      <c r="CC28" s="75"/>
      <c r="CF28" s="57" t="s">
        <v>584</v>
      </c>
      <c r="CG28" s="52" t="s">
        <v>548</v>
      </c>
      <c r="CH28" s="56" t="s">
        <v>552</v>
      </c>
      <c r="CI28" s="67" t="s">
        <v>678</v>
      </c>
      <c r="CJ28" s="83">
        <f>VLOOKUP(Ручки[[#This Row],[Категория]],Ценовые_категории_ручек[],2,0)</f>
        <v>450</v>
      </c>
      <c r="CZ28" s="123" t="s">
        <v>456</v>
      </c>
      <c r="DA28" s="23" t="s">
        <v>459</v>
      </c>
      <c r="DB28" s="23">
        <v>38</v>
      </c>
      <c r="DC28" s="23">
        <v>4190</v>
      </c>
      <c r="DD28" s="23">
        <v>1200</v>
      </c>
      <c r="DE28" s="27">
        <v>5477</v>
      </c>
      <c r="DF28" s="27">
        <v>9240</v>
      </c>
      <c r="DG28" s="27">
        <v>13003</v>
      </c>
      <c r="DH28" s="27">
        <v>18022</v>
      </c>
    </row>
    <row r="29" spans="1:112" ht="30" customHeight="1" x14ac:dyDescent="0.25">
      <c r="C29" s="24"/>
      <c r="D29" s="24"/>
      <c r="E29" s="24"/>
      <c r="F29" s="24"/>
      <c r="S29" s="23" t="s">
        <v>193</v>
      </c>
      <c r="T29" s="23" t="s">
        <v>143</v>
      </c>
      <c r="U29" s="23">
        <v>3</v>
      </c>
      <c r="V2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8">
        <v>218</v>
      </c>
      <c r="AB29" s="21" t="s">
        <v>211</v>
      </c>
      <c r="AC29" s="21" t="s">
        <v>158</v>
      </c>
      <c r="AD29" s="21">
        <v>19</v>
      </c>
      <c r="AE29" s="21">
        <v>0</v>
      </c>
      <c r="AF29" s="121">
        <v>70</v>
      </c>
      <c r="AG29" s="121">
        <v>2400</v>
      </c>
      <c r="AH29" s="121">
        <v>230</v>
      </c>
      <c r="AI29" s="121">
        <v>950</v>
      </c>
      <c r="AJ29" s="21" t="s">
        <v>71</v>
      </c>
      <c r="AK29" s="21" t="s">
        <v>10</v>
      </c>
      <c r="AL29" s="21">
        <v>0</v>
      </c>
      <c r="AN29" s="123" t="s">
        <v>835</v>
      </c>
      <c r="AO29" s="38" t="s">
        <v>517</v>
      </c>
      <c r="AP29" s="38">
        <f>VLOOKUP(Пластики_Acryline[[#This Row],[Ценовая группа]],Цены_по_категориям_Acryline[],2,0)</f>
        <v>8520</v>
      </c>
      <c r="AQ29" s="38">
        <f>VLOOKUP(Пластики_Acryline[[#This Row],[Ценовая группа]],Цены_по_категориям_Acryline[],3,0)</f>
        <v>13501</v>
      </c>
      <c r="AR29" s="38" t="s">
        <v>521</v>
      </c>
      <c r="AS29" s="38" t="s">
        <v>71</v>
      </c>
      <c r="AT29" s="38" t="s">
        <v>10</v>
      </c>
      <c r="AU29" s="38">
        <v>90</v>
      </c>
      <c r="AV29" s="38">
        <v>2750</v>
      </c>
      <c r="AW29" s="38">
        <v>250</v>
      </c>
      <c r="AX29" s="38">
        <v>1200</v>
      </c>
      <c r="AY2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23">
        <v>44</v>
      </c>
      <c r="CC29" s="75"/>
      <c r="CF29" s="56" t="s">
        <v>606</v>
      </c>
      <c r="CG29" s="50" t="s">
        <v>550</v>
      </c>
      <c r="CH29" s="64" t="s">
        <v>559</v>
      </c>
      <c r="CI29" s="67" t="s">
        <v>697</v>
      </c>
      <c r="CJ29" s="83">
        <f>VLOOKUP(Ручки[[#This Row],[Категория]],Ценовые_категории_ручек[],2,0)</f>
        <v>800</v>
      </c>
      <c r="CZ29" s="123" t="s">
        <v>457</v>
      </c>
      <c r="DA29" s="23" t="s">
        <v>459</v>
      </c>
      <c r="DB29" s="23">
        <v>38</v>
      </c>
      <c r="DC29" s="23">
        <v>4190</v>
      </c>
      <c r="DD29" s="23">
        <v>1200</v>
      </c>
      <c r="DE29" s="27">
        <v>5477</v>
      </c>
      <c r="DF29" s="27">
        <v>9240</v>
      </c>
      <c r="DG29" s="27">
        <v>13003</v>
      </c>
      <c r="DH29" s="27">
        <v>18022</v>
      </c>
    </row>
    <row r="30" spans="1:112" ht="30" customHeight="1" x14ac:dyDescent="0.25">
      <c r="C30" s="24"/>
      <c r="D30" s="24"/>
      <c r="E30" s="24"/>
      <c r="F30" s="24"/>
      <c r="S30" s="23" t="s">
        <v>197</v>
      </c>
      <c r="T30" s="23" t="s">
        <v>143</v>
      </c>
      <c r="U30" s="23">
        <v>1</v>
      </c>
      <c r="V3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8">
        <v>222</v>
      </c>
      <c r="AB30" s="21" t="s">
        <v>213</v>
      </c>
      <c r="AC30" s="21" t="s">
        <v>156</v>
      </c>
      <c r="AD30" s="21">
        <v>19</v>
      </c>
      <c r="AE30" s="21">
        <v>0</v>
      </c>
      <c r="AF30" s="121">
        <v>285</v>
      </c>
      <c r="AG30" s="121">
        <v>2550</v>
      </c>
      <c r="AH30" s="121">
        <v>296</v>
      </c>
      <c r="AI30" s="121">
        <v>950</v>
      </c>
      <c r="AJ30" s="21" t="s">
        <v>71</v>
      </c>
      <c r="AK30" s="21" t="s">
        <v>10</v>
      </c>
      <c r="AL30" s="21">
        <v>0</v>
      </c>
      <c r="AN30" s="123" t="s">
        <v>836</v>
      </c>
      <c r="AO30" s="38" t="s">
        <v>517</v>
      </c>
      <c r="AP30" s="38">
        <f>VLOOKUP(Пластики_Acryline[[#This Row],[Ценовая группа]],Цены_по_категориям_Acryline[],2,0)</f>
        <v>8520</v>
      </c>
      <c r="AQ30" s="38">
        <f>VLOOKUP(Пластики_Acryline[[#This Row],[Ценовая группа]],Цены_по_категориям_Acryline[],3,0)</f>
        <v>13501</v>
      </c>
      <c r="AR30" s="38" t="s">
        <v>521</v>
      </c>
      <c r="AS30" s="38" t="s">
        <v>71</v>
      </c>
      <c r="AT30" s="38" t="s">
        <v>10</v>
      </c>
      <c r="AU30" s="38">
        <v>90</v>
      </c>
      <c r="AV30" s="38">
        <v>2750</v>
      </c>
      <c r="AW30" s="38">
        <v>250</v>
      </c>
      <c r="AX30" s="38">
        <v>1200</v>
      </c>
      <c r="AY3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23">
        <v>45</v>
      </c>
      <c r="CC30" s="75"/>
      <c r="CF30" s="56" t="s">
        <v>605</v>
      </c>
      <c r="CG30" s="50" t="s">
        <v>550</v>
      </c>
      <c r="CH30" s="64" t="s">
        <v>559</v>
      </c>
      <c r="CI30" s="67" t="s">
        <v>697</v>
      </c>
      <c r="CJ30" s="83">
        <f>VLOOKUP(Ручки[[#This Row],[Категория]],Ценовые_категории_ручек[],2,0)</f>
        <v>800</v>
      </c>
      <c r="CZ30" s="123" t="s">
        <v>458</v>
      </c>
      <c r="DA30" s="23" t="s">
        <v>459</v>
      </c>
      <c r="DB30" s="23">
        <v>38</v>
      </c>
      <c r="DC30" s="23">
        <v>4190</v>
      </c>
      <c r="DD30" s="23">
        <v>1200</v>
      </c>
      <c r="DE30" s="27">
        <v>5477</v>
      </c>
      <c r="DF30" s="27">
        <v>9240</v>
      </c>
      <c r="DG30" s="27">
        <v>13003</v>
      </c>
      <c r="DH30" s="27">
        <v>18022</v>
      </c>
    </row>
    <row r="31" spans="1:112" ht="30" customHeight="1" x14ac:dyDescent="0.25">
      <c r="C31" s="24"/>
      <c r="D31" s="24"/>
      <c r="E31" s="24"/>
      <c r="F31" s="24"/>
      <c r="S31" s="23" t="s">
        <v>198</v>
      </c>
      <c r="T31" s="23" t="s">
        <v>143</v>
      </c>
      <c r="U31" s="23">
        <v>3</v>
      </c>
      <c r="V3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8">
        <v>223</v>
      </c>
      <c r="AB31" s="21" t="s">
        <v>215</v>
      </c>
      <c r="AC31" s="21" t="s">
        <v>156</v>
      </c>
      <c r="AD31" s="21">
        <v>19</v>
      </c>
      <c r="AE31" s="21">
        <v>0</v>
      </c>
      <c r="AF31" s="121">
        <v>205</v>
      </c>
      <c r="AG31" s="121">
        <v>2400</v>
      </c>
      <c r="AH31" s="121">
        <v>205</v>
      </c>
      <c r="AI31" s="121">
        <v>950</v>
      </c>
      <c r="AJ31" s="21" t="s">
        <v>71</v>
      </c>
      <c r="AK31" s="21" t="s">
        <v>10</v>
      </c>
      <c r="AL31" s="21">
        <v>0</v>
      </c>
      <c r="AN31" s="123" t="s">
        <v>837</v>
      </c>
      <c r="AO31" s="38" t="s">
        <v>517</v>
      </c>
      <c r="AP31" s="38">
        <f>VLOOKUP(Пластики_Acryline[[#This Row],[Ценовая группа]],Цены_по_категориям_Acryline[],2,0)</f>
        <v>8520</v>
      </c>
      <c r="AQ31" s="38">
        <f>VLOOKUP(Пластики_Acryline[[#This Row],[Ценовая группа]],Цены_по_категориям_Acryline[],3,0)</f>
        <v>13501</v>
      </c>
      <c r="AR31" s="38" t="s">
        <v>521</v>
      </c>
      <c r="AS31" s="38" t="s">
        <v>71</v>
      </c>
      <c r="AT31" s="38" t="s">
        <v>10</v>
      </c>
      <c r="AU31" s="38">
        <v>90</v>
      </c>
      <c r="AV31" s="38">
        <v>2750</v>
      </c>
      <c r="AW31" s="38">
        <v>250</v>
      </c>
      <c r="AX31" s="38">
        <v>1200</v>
      </c>
      <c r="AY3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23">
        <v>46</v>
      </c>
      <c r="CC31" s="75"/>
      <c r="CF31" s="58" t="s">
        <v>590</v>
      </c>
      <c r="CG31" s="50" t="s">
        <v>550</v>
      </c>
      <c r="CH31" s="58" t="s">
        <v>553</v>
      </c>
      <c r="CI31" s="67" t="s">
        <v>611</v>
      </c>
      <c r="CJ31" s="83">
        <f>VLOOKUP(Ручки[[#This Row],[Категория]],Ценовые_категории_ручек[],2,0)</f>
        <v>625</v>
      </c>
      <c r="CZ31" s="23" t="s">
        <v>460</v>
      </c>
      <c r="DA31" s="23" t="s">
        <v>459</v>
      </c>
      <c r="DB31" s="23">
        <v>38</v>
      </c>
      <c r="DC31" s="23">
        <v>4190</v>
      </c>
      <c r="DD31" s="23">
        <v>1200</v>
      </c>
      <c r="DE31" s="27">
        <v>5477</v>
      </c>
      <c r="DF31" s="27">
        <v>9240</v>
      </c>
      <c r="DG31" s="27">
        <v>13003</v>
      </c>
      <c r="DH31" s="27">
        <v>18022</v>
      </c>
    </row>
    <row r="32" spans="1:112" ht="30" customHeight="1" x14ac:dyDescent="0.25">
      <c r="C32" s="24"/>
      <c r="D32" s="24"/>
      <c r="E32" s="24"/>
      <c r="F32" s="24"/>
      <c r="S32" s="23" t="s">
        <v>200</v>
      </c>
      <c r="T32" s="23" t="s">
        <v>143</v>
      </c>
      <c r="U32" s="23">
        <v>2</v>
      </c>
      <c r="V3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8">
        <v>224</v>
      </c>
      <c r="AB32" s="21" t="s">
        <v>217</v>
      </c>
      <c r="AC32" s="21" t="s">
        <v>158</v>
      </c>
      <c r="AD32" s="21">
        <v>19</v>
      </c>
      <c r="AE32" s="21">
        <v>16</v>
      </c>
      <c r="AF32" s="121">
        <v>135</v>
      </c>
      <c r="AG32" s="121">
        <v>2550</v>
      </c>
      <c r="AH32" s="121">
        <v>285</v>
      </c>
      <c r="AI32" s="121">
        <v>950</v>
      </c>
      <c r="AJ32" s="21" t="s">
        <v>71</v>
      </c>
      <c r="AK32" s="21" t="s">
        <v>10</v>
      </c>
      <c r="AL32" s="21">
        <v>0</v>
      </c>
      <c r="AN32" s="123" t="s">
        <v>838</v>
      </c>
      <c r="AO32" s="38" t="s">
        <v>517</v>
      </c>
      <c r="AP32" s="38">
        <f>VLOOKUP(Пластики_Acryline[[#This Row],[Ценовая группа]],Цены_по_категориям_Acryline[],2,0)</f>
        <v>8520</v>
      </c>
      <c r="AQ32" s="38">
        <f>VLOOKUP(Пластики_Acryline[[#This Row],[Ценовая группа]],Цены_по_категориям_Acryline[],3,0)</f>
        <v>13501</v>
      </c>
      <c r="AR32" s="38" t="s">
        <v>521</v>
      </c>
      <c r="AS32" s="38" t="s">
        <v>71</v>
      </c>
      <c r="AT32" s="38" t="s">
        <v>10</v>
      </c>
      <c r="AU32" s="38">
        <v>90</v>
      </c>
      <c r="AV32" s="38">
        <v>2750</v>
      </c>
      <c r="AW32" s="38">
        <v>250</v>
      </c>
      <c r="AX32" s="38">
        <v>1200</v>
      </c>
      <c r="AY3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23">
        <v>47</v>
      </c>
      <c r="CC32" s="75"/>
      <c r="CF32" s="38" t="s">
        <v>546</v>
      </c>
      <c r="CG32" s="52" t="s">
        <v>548</v>
      </c>
      <c r="CH32" s="38" t="s">
        <v>513</v>
      </c>
      <c r="CI32" s="67" t="s">
        <v>611</v>
      </c>
      <c r="CJ32" s="83">
        <f>VLOOKUP(Ручки[[#This Row],[Категория]],Ценовые_категории_ручек[],2,0)</f>
        <v>257</v>
      </c>
      <c r="CZ32" s="123" t="s">
        <v>435</v>
      </c>
      <c r="DA32" s="106" t="s">
        <v>445</v>
      </c>
      <c r="DB32" s="106">
        <v>10</v>
      </c>
      <c r="DC32" s="106">
        <v>3600</v>
      </c>
      <c r="DD32" s="106">
        <v>600</v>
      </c>
      <c r="DE32" s="107">
        <v>2536</v>
      </c>
      <c r="DF32" s="107">
        <v>4278</v>
      </c>
      <c r="DG32" s="107">
        <v>6020</v>
      </c>
      <c r="DH32" s="27">
        <f>ROUND(3650/1000/3*Столешницы[[#This Row],[600 х 3000]],0)</f>
        <v>7324</v>
      </c>
    </row>
    <row r="33" spans="1:140" ht="30" customHeight="1" x14ac:dyDescent="0.25">
      <c r="C33" s="24"/>
      <c r="D33" s="24"/>
      <c r="E33" s="24"/>
      <c r="F33" s="24"/>
      <c r="S33" s="23" t="s">
        <v>202</v>
      </c>
      <c r="T33" s="23" t="s">
        <v>143</v>
      </c>
      <c r="U33" s="23">
        <v>3</v>
      </c>
      <c r="V3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8">
        <v>226</v>
      </c>
      <c r="AB33" s="21" t="s">
        <v>219</v>
      </c>
      <c r="AC33" s="21" t="s">
        <v>158</v>
      </c>
      <c r="AD33" s="21">
        <v>19</v>
      </c>
      <c r="AE33" s="21">
        <v>16</v>
      </c>
      <c r="AF33" s="121">
        <v>137</v>
      </c>
      <c r="AG33" s="121">
        <v>2550</v>
      </c>
      <c r="AH33" s="121">
        <v>290</v>
      </c>
      <c r="AI33" s="121">
        <v>950</v>
      </c>
      <c r="AJ33" s="21" t="s">
        <v>71</v>
      </c>
      <c r="AK33" s="21" t="s">
        <v>10</v>
      </c>
      <c r="AL33" s="21">
        <v>0</v>
      </c>
      <c r="CC33" s="75"/>
      <c r="CF33" s="58" t="s">
        <v>579</v>
      </c>
      <c r="CG33" s="52" t="s">
        <v>548</v>
      </c>
      <c r="CH33" s="55" t="s">
        <v>552</v>
      </c>
      <c r="CI33" s="67" t="s">
        <v>611</v>
      </c>
      <c r="CJ33" s="83">
        <f>VLOOKUP(Ручки[[#This Row],[Категория]],Ценовые_категории_ручек[],2,0)</f>
        <v>450</v>
      </c>
      <c r="CZ33" s="123" t="s">
        <v>436</v>
      </c>
      <c r="DA33" s="106" t="s">
        <v>445</v>
      </c>
      <c r="DB33" s="106">
        <v>10</v>
      </c>
      <c r="DC33" s="106">
        <v>3600</v>
      </c>
      <c r="DD33" s="106">
        <v>600</v>
      </c>
      <c r="DE33" s="107">
        <v>2536</v>
      </c>
      <c r="DF33" s="107">
        <v>4278</v>
      </c>
      <c r="DG33" s="107">
        <v>6020</v>
      </c>
      <c r="DH33" s="27">
        <f>ROUND(3650/1000/3*Столешницы[[#This Row],[600 х 3000]],0)</f>
        <v>7324</v>
      </c>
    </row>
    <row r="34" spans="1:140" ht="30" customHeight="1" x14ac:dyDescent="0.25">
      <c r="C34" s="24"/>
      <c r="D34" s="24"/>
      <c r="E34" s="24"/>
      <c r="S34" s="23" t="s">
        <v>204</v>
      </c>
      <c r="T34" s="23" t="s">
        <v>142</v>
      </c>
      <c r="U34" s="23">
        <v>1</v>
      </c>
      <c r="V3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8">
        <v>229</v>
      </c>
      <c r="AB34" s="21" t="s">
        <v>221</v>
      </c>
      <c r="AC34" s="21" t="s">
        <v>158</v>
      </c>
      <c r="AD34" s="21">
        <v>19</v>
      </c>
      <c r="AE34" s="21">
        <v>0</v>
      </c>
      <c r="AF34" s="121">
        <v>90</v>
      </c>
      <c r="AG34" s="121">
        <v>950</v>
      </c>
      <c r="AH34" s="121">
        <v>270</v>
      </c>
      <c r="AI34" s="121">
        <v>950</v>
      </c>
      <c r="AJ34" s="21" t="s">
        <v>71</v>
      </c>
      <c r="AK34" s="21" t="s">
        <v>10</v>
      </c>
      <c r="AL34" s="21">
        <v>0</v>
      </c>
      <c r="CC34" s="75"/>
      <c r="CF34" s="38" t="s">
        <v>545</v>
      </c>
      <c r="CG34" s="52" t="s">
        <v>548</v>
      </c>
      <c r="CH34" s="38" t="s">
        <v>513</v>
      </c>
      <c r="CI34" s="67" t="s">
        <v>611</v>
      </c>
      <c r="CJ34" s="83">
        <f>VLOOKUP(Ручки[[#This Row],[Категория]],Ценовые_категории_ручек[],2,0)</f>
        <v>257</v>
      </c>
      <c r="CZ34" s="123" t="s">
        <v>437</v>
      </c>
      <c r="DA34" s="106" t="s">
        <v>445</v>
      </c>
      <c r="DB34" s="106">
        <v>10</v>
      </c>
      <c r="DC34" s="106">
        <v>3600</v>
      </c>
      <c r="DD34" s="106">
        <v>600</v>
      </c>
      <c r="DE34" s="107">
        <v>2536</v>
      </c>
      <c r="DF34" s="107">
        <v>4278</v>
      </c>
      <c r="DG34" s="107">
        <v>6020</v>
      </c>
      <c r="DH34" s="27">
        <f>ROUND(3650/1000/3*Столешницы[[#This Row],[600 х 3000]],0)</f>
        <v>7324</v>
      </c>
    </row>
    <row r="35" spans="1:140" ht="30" customHeight="1" x14ac:dyDescent="0.25">
      <c r="S35" s="23" t="s">
        <v>206</v>
      </c>
      <c r="T35" s="23" t="s">
        <v>143</v>
      </c>
      <c r="U35" s="23">
        <v>2</v>
      </c>
      <c r="V3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8">
        <v>230</v>
      </c>
      <c r="AB35" s="21" t="s">
        <v>223</v>
      </c>
      <c r="AC35" s="21" t="s">
        <v>158</v>
      </c>
      <c r="AD35" s="21">
        <v>19</v>
      </c>
      <c r="AE35" s="21">
        <v>0</v>
      </c>
      <c r="AF35" s="121">
        <v>90</v>
      </c>
      <c r="AG35" s="121">
        <v>2400</v>
      </c>
      <c r="AH35" s="121">
        <v>270</v>
      </c>
      <c r="AI35" s="121">
        <v>950</v>
      </c>
      <c r="AJ35" s="21" t="s">
        <v>71</v>
      </c>
      <c r="AK35" s="21" t="s">
        <v>10</v>
      </c>
      <c r="AL35" s="21">
        <v>0</v>
      </c>
      <c r="CC35" s="75"/>
      <c r="CF35" s="58" t="s">
        <v>604</v>
      </c>
      <c r="CG35" s="50" t="s">
        <v>560</v>
      </c>
      <c r="CH35" s="64" t="s">
        <v>559</v>
      </c>
      <c r="CI35" s="67" t="s">
        <v>696</v>
      </c>
      <c r="CJ35" s="83">
        <f>VLOOKUP(Ручки[[#This Row],[Категория]],Ценовые_категории_ручек[],2,0)</f>
        <v>800</v>
      </c>
      <c r="CZ35" s="123" t="s">
        <v>438</v>
      </c>
      <c r="DA35" s="106" t="s">
        <v>445</v>
      </c>
      <c r="DB35" s="106">
        <v>10</v>
      </c>
      <c r="DC35" s="106">
        <v>3600</v>
      </c>
      <c r="DD35" s="106">
        <v>600</v>
      </c>
      <c r="DE35" s="107">
        <v>2536</v>
      </c>
      <c r="DF35" s="107">
        <v>4278</v>
      </c>
      <c r="DG35" s="107">
        <v>6020</v>
      </c>
      <c r="DH35" s="27">
        <f>ROUND(3650/1000/3*Столешницы[[#This Row],[600 х 3000]],0)</f>
        <v>7324</v>
      </c>
    </row>
    <row r="36" spans="1:140" ht="30" customHeight="1" x14ac:dyDescent="0.25">
      <c r="C36" s="24"/>
      <c r="D36" s="24"/>
      <c r="E36" s="24"/>
      <c r="F36" s="24"/>
      <c r="G36" s="25"/>
      <c r="S36" s="23" t="s">
        <v>208</v>
      </c>
      <c r="T36" s="23" t="s">
        <v>143</v>
      </c>
      <c r="U36" s="23">
        <v>1</v>
      </c>
      <c r="V3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8">
        <v>232</v>
      </c>
      <c r="AB36" s="21" t="s">
        <v>225</v>
      </c>
      <c r="AC36" s="21" t="s">
        <v>158</v>
      </c>
      <c r="AD36" s="21">
        <v>19</v>
      </c>
      <c r="AE36" s="21">
        <v>16</v>
      </c>
      <c r="AF36" s="121">
        <v>135</v>
      </c>
      <c r="AG36" s="121">
        <v>2550</v>
      </c>
      <c r="AH36" s="121">
        <v>240</v>
      </c>
      <c r="AI36" s="121">
        <v>950</v>
      </c>
      <c r="AJ36" s="21" t="s">
        <v>71</v>
      </c>
      <c r="AK36" s="21" t="s">
        <v>71</v>
      </c>
      <c r="AL36" s="21">
        <v>0</v>
      </c>
      <c r="CC36" s="75"/>
      <c r="CF36" s="58" t="s">
        <v>603</v>
      </c>
      <c r="CG36" s="50" t="s">
        <v>560</v>
      </c>
      <c r="CH36" s="64" t="s">
        <v>559</v>
      </c>
      <c r="CI36" s="67" t="s">
        <v>696</v>
      </c>
      <c r="CJ36" s="83">
        <f>VLOOKUP(Ручки[[#This Row],[Категория]],Ценовые_категории_ручек[],2,0)</f>
        <v>800</v>
      </c>
      <c r="CK36" s="54"/>
      <c r="CZ36" s="123" t="s">
        <v>439</v>
      </c>
      <c r="DA36" s="106" t="s">
        <v>445</v>
      </c>
      <c r="DB36" s="106">
        <v>10</v>
      </c>
      <c r="DC36" s="106">
        <v>3600</v>
      </c>
      <c r="DD36" s="106">
        <v>600</v>
      </c>
      <c r="DE36" s="107">
        <v>2536</v>
      </c>
      <c r="DF36" s="107">
        <v>4278</v>
      </c>
      <c r="DG36" s="107">
        <v>6020</v>
      </c>
      <c r="DH36" s="27">
        <f>ROUND(3650/1000/3*Столешницы[[#This Row],[600 х 3000]],0)</f>
        <v>7324</v>
      </c>
    </row>
    <row r="37" spans="1:140" ht="30" customHeight="1" x14ac:dyDescent="0.25">
      <c r="S37" s="23" t="s">
        <v>210</v>
      </c>
      <c r="T37" s="23" t="s">
        <v>143</v>
      </c>
      <c r="U37" s="23">
        <v>1</v>
      </c>
      <c r="V3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8">
        <v>233</v>
      </c>
      <c r="AB37" s="21" t="s">
        <v>227</v>
      </c>
      <c r="AC37" s="21" t="s">
        <v>158</v>
      </c>
      <c r="AD37" s="21">
        <v>19</v>
      </c>
      <c r="AE37" s="21">
        <v>16</v>
      </c>
      <c r="AF37" s="121">
        <v>135</v>
      </c>
      <c r="AG37" s="121">
        <v>2550</v>
      </c>
      <c r="AH37" s="121">
        <v>285</v>
      </c>
      <c r="AI37" s="121">
        <v>950</v>
      </c>
      <c r="AJ37" s="21" t="s">
        <v>71</v>
      </c>
      <c r="AK37" s="21" t="s">
        <v>10</v>
      </c>
      <c r="AL37" s="21">
        <v>0</v>
      </c>
      <c r="CC37" s="75"/>
      <c r="CF37" s="56" t="s">
        <v>602</v>
      </c>
      <c r="CG37" s="50" t="s">
        <v>560</v>
      </c>
      <c r="CH37" s="64" t="s">
        <v>559</v>
      </c>
      <c r="CI37" s="67" t="s">
        <v>696</v>
      </c>
      <c r="CJ37" s="83">
        <f>VLOOKUP(Ручки[[#This Row],[Категория]],Ценовые_категории_ручек[],2,0)</f>
        <v>800</v>
      </c>
      <c r="CK37" s="51"/>
      <c r="CZ37" s="123" t="s">
        <v>443</v>
      </c>
      <c r="DA37" s="106" t="s">
        <v>445</v>
      </c>
      <c r="DB37" s="106">
        <v>10</v>
      </c>
      <c r="DC37" s="106">
        <v>3600</v>
      </c>
      <c r="DD37" s="106">
        <v>600</v>
      </c>
      <c r="DE37" s="107">
        <v>2536</v>
      </c>
      <c r="DF37" s="107">
        <v>4278</v>
      </c>
      <c r="DG37" s="107">
        <v>6020</v>
      </c>
      <c r="DH37" s="27">
        <f>ROUND(3650/1000/3*Столешницы[[#This Row],[600 х 3000]],0)</f>
        <v>7324</v>
      </c>
    </row>
    <row r="38" spans="1:140" ht="30" customHeight="1" x14ac:dyDescent="0.25">
      <c r="C38" s="24"/>
      <c r="D38" s="24"/>
      <c r="E38" s="24"/>
      <c r="F38" s="24"/>
      <c r="S38" s="23" t="s">
        <v>212</v>
      </c>
      <c r="T38" s="23" t="s">
        <v>143</v>
      </c>
      <c r="U38" s="23">
        <v>1</v>
      </c>
      <c r="V3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8">
        <v>236</v>
      </c>
      <c r="AB38" s="21" t="s">
        <v>229</v>
      </c>
      <c r="AC38" s="21" t="s">
        <v>158</v>
      </c>
      <c r="AD38" s="21">
        <v>19</v>
      </c>
      <c r="AE38" s="21">
        <v>16</v>
      </c>
      <c r="AF38" s="121">
        <v>135</v>
      </c>
      <c r="AG38" s="121">
        <v>2550</v>
      </c>
      <c r="AH38" s="121">
        <v>228</v>
      </c>
      <c r="AI38" s="121">
        <v>950</v>
      </c>
      <c r="AJ38" s="21" t="s">
        <v>71</v>
      </c>
      <c r="AK38" s="21" t="s">
        <v>71</v>
      </c>
      <c r="AL38" s="21">
        <v>0</v>
      </c>
      <c r="CC38" s="75"/>
      <c r="CF38" s="57" t="s">
        <v>587</v>
      </c>
      <c r="CG38" s="50" t="s">
        <v>550</v>
      </c>
      <c r="CH38" s="55" t="s">
        <v>552</v>
      </c>
      <c r="CI38" s="67" t="s">
        <v>680</v>
      </c>
      <c r="CJ38" s="83">
        <f>VLOOKUP(Ручки[[#This Row],[Категория]],Ценовые_категории_ручек[],2,0)</f>
        <v>450</v>
      </c>
      <c r="CK38" s="51"/>
      <c r="CZ38" s="123" t="s">
        <v>444</v>
      </c>
      <c r="DA38" s="106" t="s">
        <v>445</v>
      </c>
      <c r="DB38" s="106">
        <v>10</v>
      </c>
      <c r="DC38" s="106">
        <v>3600</v>
      </c>
      <c r="DD38" s="106">
        <v>600</v>
      </c>
      <c r="DE38" s="107">
        <v>2536</v>
      </c>
      <c r="DF38" s="107">
        <v>4278</v>
      </c>
      <c r="DG38" s="107">
        <v>6020</v>
      </c>
      <c r="DH38" s="27">
        <f>ROUND(3650/1000/3*Столешницы[[#This Row],[600 х 3000]],0)</f>
        <v>7324</v>
      </c>
    </row>
    <row r="39" spans="1:140" ht="30" customHeight="1" x14ac:dyDescent="0.25">
      <c r="A39" s="45" t="s">
        <v>529</v>
      </c>
      <c r="B39" s="24"/>
      <c r="C39" s="24"/>
      <c r="D39" s="24"/>
      <c r="E39" s="24"/>
      <c r="F39" s="24"/>
      <c r="S39" s="23" t="s">
        <v>733</v>
      </c>
      <c r="T39" s="23" t="s">
        <v>142</v>
      </c>
      <c r="U39" s="23">
        <v>3</v>
      </c>
      <c r="V3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">
        <v>237</v>
      </c>
      <c r="AB39" s="21" t="s">
        <v>231</v>
      </c>
      <c r="AC39" s="21" t="s">
        <v>158</v>
      </c>
      <c r="AD39" s="21">
        <v>19</v>
      </c>
      <c r="AE39" s="21">
        <v>16</v>
      </c>
      <c r="AF39" s="121">
        <v>70</v>
      </c>
      <c r="AG39" s="121">
        <v>2550</v>
      </c>
      <c r="AH39" s="121">
        <v>278</v>
      </c>
      <c r="AI39" s="121">
        <v>950</v>
      </c>
      <c r="AJ39" s="21" t="s">
        <v>71</v>
      </c>
      <c r="AK39" s="21" t="s">
        <v>10</v>
      </c>
      <c r="AL39" s="21">
        <v>0</v>
      </c>
      <c r="CC39" s="75"/>
      <c r="CF39" s="57" t="s">
        <v>566</v>
      </c>
      <c r="CG39" s="52" t="s">
        <v>548</v>
      </c>
      <c r="CH39" s="38" t="s">
        <v>513</v>
      </c>
      <c r="CI39" s="67" t="s">
        <v>680</v>
      </c>
      <c r="CJ39" s="83">
        <f>VLOOKUP(Ручки[[#This Row],[Категория]],Ценовые_категории_ручек[],2,0)</f>
        <v>257</v>
      </c>
      <c r="CZ39" s="23" t="s">
        <v>449</v>
      </c>
      <c r="DA39" s="106" t="s">
        <v>445</v>
      </c>
      <c r="DB39" s="106">
        <v>10</v>
      </c>
      <c r="DC39" s="106">
        <v>3600</v>
      </c>
      <c r="DD39" s="106">
        <v>600</v>
      </c>
      <c r="DE39" s="107">
        <v>2536</v>
      </c>
      <c r="DF39" s="107">
        <v>4278</v>
      </c>
      <c r="DG39" s="107">
        <v>6020</v>
      </c>
      <c r="DH39" s="27">
        <f>ROUND(3650/1000/3*Столешницы[[#This Row],[600 х 3000]],0)</f>
        <v>7324</v>
      </c>
    </row>
    <row r="40" spans="1:140" ht="30" customHeight="1" x14ac:dyDescent="0.25">
      <c r="A40" s="46" t="s">
        <v>530</v>
      </c>
      <c r="S40" s="23" t="s">
        <v>214</v>
      </c>
      <c r="T40" s="23" t="s">
        <v>143</v>
      </c>
      <c r="U40" s="23">
        <v>2</v>
      </c>
      <c r="V4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8">
        <v>276</v>
      </c>
      <c r="AB40" s="21" t="s">
        <v>233</v>
      </c>
      <c r="AC40" s="21" t="s">
        <v>158</v>
      </c>
      <c r="AD40" s="21">
        <v>19</v>
      </c>
      <c r="AE40" s="21">
        <v>16</v>
      </c>
      <c r="AF40" s="121">
        <v>70</v>
      </c>
      <c r="AG40" s="121">
        <v>2550</v>
      </c>
      <c r="AH40" s="121">
        <v>205</v>
      </c>
      <c r="AI40" s="121">
        <v>950</v>
      </c>
      <c r="AJ40" s="21" t="s">
        <v>71</v>
      </c>
      <c r="AK40" s="21" t="s">
        <v>71</v>
      </c>
      <c r="AL40" s="21">
        <v>0</v>
      </c>
      <c r="CF40" s="57" t="s">
        <v>596</v>
      </c>
      <c r="CG40" s="50" t="s">
        <v>550</v>
      </c>
      <c r="CH40" s="58" t="s">
        <v>554</v>
      </c>
      <c r="CI40" s="67" t="s">
        <v>684</v>
      </c>
      <c r="CJ40" s="83">
        <f>VLOOKUP(Ручки[[#This Row],[Категория]],Ценовые_категории_ручек[],2,0)</f>
        <v>800</v>
      </c>
      <c r="CZ40" s="23" t="s">
        <v>450</v>
      </c>
      <c r="DA40" s="106" t="s">
        <v>445</v>
      </c>
      <c r="DB40" s="106">
        <v>10</v>
      </c>
      <c r="DC40" s="106">
        <v>3600</v>
      </c>
      <c r="DD40" s="106">
        <v>600</v>
      </c>
      <c r="DE40" s="107">
        <v>2536</v>
      </c>
      <c r="DF40" s="107">
        <v>4278</v>
      </c>
      <c r="DG40" s="107">
        <v>6020</v>
      </c>
      <c r="DH40" s="27">
        <f>ROUND(3650/1000/3*Столешницы[[#This Row],[600 х 3000]],0)</f>
        <v>7324</v>
      </c>
    </row>
    <row r="41" spans="1:140" ht="30" customHeight="1" x14ac:dyDescent="0.25">
      <c r="A41" s="21" t="s">
        <v>496</v>
      </c>
      <c r="B41" s="21" t="s">
        <v>122</v>
      </c>
      <c r="C41" s="128" t="s">
        <v>732</v>
      </c>
      <c r="D41" s="26"/>
      <c r="E41" s="26"/>
      <c r="S41" s="23" t="s">
        <v>216</v>
      </c>
      <c r="T41" s="23" t="s">
        <v>143</v>
      </c>
      <c r="U41" s="23">
        <v>2</v>
      </c>
      <c r="V4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8">
        <v>277</v>
      </c>
      <c r="AB41" s="21" t="s">
        <v>235</v>
      </c>
      <c r="AC41" s="21" t="s">
        <v>156</v>
      </c>
      <c r="AD41" s="21">
        <v>19</v>
      </c>
      <c r="AE41" s="21">
        <v>0</v>
      </c>
      <c r="AF41" s="121">
        <v>250</v>
      </c>
      <c r="AG41" s="121">
        <v>2550</v>
      </c>
      <c r="AH41" s="121">
        <v>250</v>
      </c>
      <c r="AI41" s="121">
        <v>950</v>
      </c>
      <c r="AJ41" s="21" t="s">
        <v>71</v>
      </c>
      <c r="AK41" s="21" t="s">
        <v>71</v>
      </c>
      <c r="AL41" s="21">
        <v>0</v>
      </c>
      <c r="CF41" s="38" t="s">
        <v>569</v>
      </c>
      <c r="CG41" s="52" t="s">
        <v>548</v>
      </c>
      <c r="CH41" s="38" t="s">
        <v>513</v>
      </c>
      <c r="CI41" s="67" t="s">
        <v>684</v>
      </c>
      <c r="CJ41" s="83">
        <f>VLOOKUP(Ручки[[#This Row],[Категория]],Ценовые_категории_ручек[],2,0)</f>
        <v>257</v>
      </c>
      <c r="CZ41" s="23" t="s">
        <v>451</v>
      </c>
      <c r="DA41" s="106" t="s">
        <v>445</v>
      </c>
      <c r="DB41" s="106">
        <v>10</v>
      </c>
      <c r="DC41" s="106">
        <v>3600</v>
      </c>
      <c r="DD41" s="106">
        <v>600</v>
      </c>
      <c r="DE41" s="107">
        <v>2536</v>
      </c>
      <c r="DF41" s="107">
        <v>4278</v>
      </c>
      <c r="DG41" s="107">
        <v>6020</v>
      </c>
      <c r="DH41" s="27">
        <f>ROUND(3650/1000/3*Столешницы[[#This Row],[600 х 3000]],0)</f>
        <v>7324</v>
      </c>
    </row>
    <row r="42" spans="1:140" ht="30" customHeight="1" x14ac:dyDescent="0.25">
      <c r="A42" s="129" t="s">
        <v>482</v>
      </c>
      <c r="B42" s="26">
        <v>1179</v>
      </c>
      <c r="C42" s="26"/>
      <c r="D42" s="29"/>
      <c r="E42" s="26"/>
      <c r="S42" s="23" t="s">
        <v>218</v>
      </c>
      <c r="T42" s="23" t="s">
        <v>143</v>
      </c>
      <c r="U42" s="23">
        <v>2</v>
      </c>
      <c r="V4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28">
        <v>278</v>
      </c>
      <c r="AB42" s="21" t="s">
        <v>237</v>
      </c>
      <c r="AC42" s="21" t="s">
        <v>156</v>
      </c>
      <c r="AD42" s="21">
        <v>19</v>
      </c>
      <c r="AE42" s="21">
        <v>0</v>
      </c>
      <c r="AF42" s="121">
        <v>186</v>
      </c>
      <c r="AG42" s="121">
        <v>2550</v>
      </c>
      <c r="AH42" s="121">
        <v>254</v>
      </c>
      <c r="AI42" s="121">
        <v>950</v>
      </c>
      <c r="AJ42" s="21" t="s">
        <v>71</v>
      </c>
      <c r="AK42" s="21" t="s">
        <v>71</v>
      </c>
      <c r="AL42" s="21">
        <v>0</v>
      </c>
      <c r="CF42" s="57" t="s">
        <v>609</v>
      </c>
      <c r="CG42" s="50" t="s">
        <v>543</v>
      </c>
      <c r="CH42" s="64" t="s">
        <v>559</v>
      </c>
      <c r="CI42" s="67" t="s">
        <v>699</v>
      </c>
      <c r="CJ42" s="83">
        <f>VLOOKUP(Ручки[[#This Row],[Категория]],Ценовые_категории_ручек[],2,0)</f>
        <v>800</v>
      </c>
      <c r="CZ42" s="123" t="s">
        <v>452</v>
      </c>
      <c r="DA42" s="106" t="s">
        <v>459</v>
      </c>
      <c r="DB42" s="106">
        <v>10</v>
      </c>
      <c r="DC42" s="106">
        <v>4200</v>
      </c>
      <c r="DD42" s="106">
        <v>600</v>
      </c>
      <c r="DE42" s="107">
        <v>5477</v>
      </c>
      <c r="DF42" s="107">
        <v>9240</v>
      </c>
      <c r="DG42" s="107">
        <v>13003</v>
      </c>
      <c r="DH42" s="27">
        <v>18022</v>
      </c>
    </row>
    <row r="43" spans="1:140" ht="30" customHeight="1" x14ac:dyDescent="0.25">
      <c r="A43" s="47" t="s">
        <v>483</v>
      </c>
      <c r="B43" s="26">
        <v>2024</v>
      </c>
      <c r="C43" s="26"/>
      <c r="D43" s="29"/>
      <c r="E43" s="26"/>
      <c r="S43" s="23" t="s">
        <v>220</v>
      </c>
      <c r="T43" s="23" t="s">
        <v>143</v>
      </c>
      <c r="U43" s="23">
        <v>1</v>
      </c>
      <c r="V4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28">
        <v>281</v>
      </c>
      <c r="AB43" s="21" t="s">
        <v>239</v>
      </c>
      <c r="AC43" s="21" t="s">
        <v>156</v>
      </c>
      <c r="AD43" s="21">
        <v>19</v>
      </c>
      <c r="AE43" s="21">
        <v>0</v>
      </c>
      <c r="AF43" s="121">
        <v>70</v>
      </c>
      <c r="AG43" s="121">
        <v>2550</v>
      </c>
      <c r="AH43" s="121">
        <v>70</v>
      </c>
      <c r="AI43" s="121">
        <v>2550</v>
      </c>
      <c r="AJ43" s="21" t="s">
        <v>71</v>
      </c>
      <c r="AK43" s="21" t="s">
        <v>10</v>
      </c>
      <c r="AL43" s="21">
        <v>0</v>
      </c>
      <c r="CF43" s="56" t="s">
        <v>599</v>
      </c>
      <c r="CG43" s="50" t="s">
        <v>556</v>
      </c>
      <c r="CH43" s="64" t="s">
        <v>558</v>
      </c>
      <c r="CI43" s="67" t="s">
        <v>694</v>
      </c>
      <c r="CJ43" s="83">
        <f>VLOOKUP(Ручки[[#This Row],[Категория]],Ценовые_категории_ручек[],2,0)</f>
        <v>625</v>
      </c>
      <c r="CZ43" s="123" t="s">
        <v>453</v>
      </c>
      <c r="DA43" s="106" t="s">
        <v>459</v>
      </c>
      <c r="DB43" s="106">
        <v>10</v>
      </c>
      <c r="DC43" s="106">
        <v>4200</v>
      </c>
      <c r="DD43" s="106">
        <v>600</v>
      </c>
      <c r="DE43" s="107">
        <v>5477</v>
      </c>
      <c r="DF43" s="107">
        <v>9240</v>
      </c>
      <c r="DG43" s="107">
        <v>13003</v>
      </c>
      <c r="DH43" s="27">
        <v>18022</v>
      </c>
    </row>
    <row r="44" spans="1:140" ht="30" customHeight="1" x14ac:dyDescent="0.25">
      <c r="A44" s="47" t="s">
        <v>484</v>
      </c>
      <c r="B44" s="26">
        <v>2024</v>
      </c>
      <c r="C44" s="26"/>
      <c r="D44" s="29"/>
      <c r="E44" s="26"/>
      <c r="S44" s="23" t="s">
        <v>222</v>
      </c>
      <c r="T44" s="23" t="s">
        <v>143</v>
      </c>
      <c r="U44" s="23">
        <v>4</v>
      </c>
      <c r="V4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8">
        <v>283</v>
      </c>
      <c r="CF44" s="56" t="s">
        <v>601</v>
      </c>
      <c r="CG44" s="50" t="s">
        <v>556</v>
      </c>
      <c r="CH44" s="64" t="s">
        <v>558</v>
      </c>
      <c r="CI44" s="67" t="s">
        <v>694</v>
      </c>
      <c r="CJ44" s="83">
        <f>VLOOKUP(Ручки[[#This Row],[Категория]],Ценовые_категории_ручек[],2,0)</f>
        <v>625</v>
      </c>
      <c r="CZ44" s="123" t="s">
        <v>454</v>
      </c>
      <c r="DA44" s="106" t="s">
        <v>459</v>
      </c>
      <c r="DB44" s="106">
        <v>10</v>
      </c>
      <c r="DC44" s="106">
        <v>4200</v>
      </c>
      <c r="DD44" s="106">
        <v>600</v>
      </c>
      <c r="DE44" s="107">
        <v>5477</v>
      </c>
      <c r="DF44" s="107">
        <v>9240</v>
      </c>
      <c r="DG44" s="107">
        <v>13003</v>
      </c>
      <c r="DH44" s="27">
        <v>18022</v>
      </c>
      <c r="DX44" s="74"/>
      <c r="DY44" s="74"/>
      <c r="DZ44" s="74"/>
      <c r="EA44" s="74"/>
      <c r="EB44" s="74"/>
      <c r="EC44" s="74"/>
      <c r="ED44" s="74"/>
      <c r="EE44" s="74"/>
      <c r="EF44" s="74"/>
      <c r="EG44" s="74"/>
      <c r="EH44" s="74"/>
      <c r="EI44" s="74"/>
      <c r="EJ44" s="74"/>
    </row>
    <row r="45" spans="1:140" ht="30" customHeight="1" x14ac:dyDescent="0.25">
      <c r="A45" s="47" t="s">
        <v>485</v>
      </c>
      <c r="B45" s="26">
        <v>2024</v>
      </c>
      <c r="C45" s="130"/>
      <c r="D45" s="29"/>
      <c r="E45" s="26"/>
      <c r="S45" s="23" t="s">
        <v>224</v>
      </c>
      <c r="T45" s="23" t="s">
        <v>143</v>
      </c>
      <c r="U45" s="23">
        <v>4</v>
      </c>
      <c r="V4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28">
        <v>284</v>
      </c>
      <c r="CF45" s="57" t="s">
        <v>598</v>
      </c>
      <c r="CG45" s="50" t="s">
        <v>550</v>
      </c>
      <c r="CH45" s="64" t="s">
        <v>555</v>
      </c>
      <c r="CI45" s="67" t="s">
        <v>693</v>
      </c>
      <c r="CJ45" s="83">
        <f>VLOOKUP(Ручки[[#This Row],[Категория]],Ценовые_категории_ручек[],2,0)</f>
        <v>450</v>
      </c>
      <c r="CZ45" s="123" t="s">
        <v>455</v>
      </c>
      <c r="DA45" s="106" t="s">
        <v>459</v>
      </c>
      <c r="DB45" s="106">
        <v>10</v>
      </c>
      <c r="DC45" s="106">
        <v>4200</v>
      </c>
      <c r="DD45" s="106">
        <v>600</v>
      </c>
      <c r="DE45" s="107">
        <v>5477</v>
      </c>
      <c r="DF45" s="107">
        <v>9240</v>
      </c>
      <c r="DG45" s="107">
        <v>13003</v>
      </c>
      <c r="DH45" s="27">
        <v>18022</v>
      </c>
      <c r="DX45" s="74"/>
      <c r="DY45" s="74"/>
      <c r="DZ45" s="74"/>
      <c r="EA45" s="74"/>
      <c r="EB45" s="74"/>
      <c r="EC45" s="74"/>
      <c r="ED45" s="74"/>
      <c r="EE45" s="74"/>
      <c r="EF45" s="74"/>
      <c r="EG45" s="74"/>
      <c r="EH45" s="74"/>
      <c r="EI45" s="74"/>
      <c r="EJ45" s="74"/>
    </row>
    <row r="46" spans="1:140" ht="30" customHeight="1" x14ac:dyDescent="0.25">
      <c r="A46" s="131" t="s">
        <v>486</v>
      </c>
      <c r="B46" s="130">
        <v>2931</v>
      </c>
      <c r="C46" s="26"/>
      <c r="D46" s="29"/>
      <c r="E46" s="26"/>
      <c r="S46" s="23" t="s">
        <v>226</v>
      </c>
      <c r="T46" s="23" t="s">
        <v>143</v>
      </c>
      <c r="U46" s="23">
        <v>1</v>
      </c>
      <c r="V4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28">
        <v>285</v>
      </c>
      <c r="CF46" s="57" t="s">
        <v>586</v>
      </c>
      <c r="CG46" s="50" t="s">
        <v>550</v>
      </c>
      <c r="CH46" s="56" t="s">
        <v>552</v>
      </c>
      <c r="CI46" s="67" t="s">
        <v>690</v>
      </c>
      <c r="CJ46" s="83">
        <f>VLOOKUP(Ручки[[#This Row],[Категория]],Ценовые_категории_ручек[],2,0)</f>
        <v>450</v>
      </c>
      <c r="CZ46" s="123" t="s">
        <v>456</v>
      </c>
      <c r="DA46" s="106" t="s">
        <v>459</v>
      </c>
      <c r="DB46" s="106">
        <v>10</v>
      </c>
      <c r="DC46" s="106">
        <v>4200</v>
      </c>
      <c r="DD46" s="106">
        <v>600</v>
      </c>
      <c r="DE46" s="107">
        <v>5477</v>
      </c>
      <c r="DF46" s="107">
        <v>9240</v>
      </c>
      <c r="DG46" s="107">
        <v>13003</v>
      </c>
      <c r="DH46" s="27">
        <v>18022</v>
      </c>
      <c r="DX46" s="74"/>
      <c r="DY46" s="74"/>
      <c r="DZ46" s="74"/>
      <c r="EA46" s="74"/>
      <c r="EB46" s="74"/>
      <c r="EC46" s="74"/>
      <c r="ED46" s="74"/>
      <c r="EE46" s="74"/>
      <c r="EF46" s="74"/>
      <c r="EG46" s="74"/>
      <c r="EH46" s="74"/>
      <c r="EI46" s="74"/>
      <c r="EJ46" s="74"/>
    </row>
    <row r="47" spans="1:140" ht="30" customHeight="1" x14ac:dyDescent="0.25">
      <c r="A47" s="131" t="s">
        <v>487</v>
      </c>
      <c r="B47" s="26">
        <v>4373</v>
      </c>
      <c r="C47" s="26"/>
      <c r="D47" s="29"/>
      <c r="E47" s="26"/>
      <c r="S47" s="23" t="s">
        <v>228</v>
      </c>
      <c r="T47" s="23" t="s">
        <v>143</v>
      </c>
      <c r="U47" s="23">
        <v>3</v>
      </c>
      <c r="V4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8">
        <v>286</v>
      </c>
      <c r="CF47" s="38" t="s">
        <v>567</v>
      </c>
      <c r="CG47" s="50" t="s">
        <v>550</v>
      </c>
      <c r="CH47" s="38" t="s">
        <v>513</v>
      </c>
      <c r="CI47" s="67" t="s">
        <v>682</v>
      </c>
      <c r="CJ47" s="83">
        <f>VLOOKUP(Ручки[[#This Row],[Категория]],Ценовые_категории_ручек[],2,0)</f>
        <v>257</v>
      </c>
      <c r="CZ47" s="123" t="s">
        <v>457</v>
      </c>
      <c r="DA47" s="106" t="s">
        <v>459</v>
      </c>
      <c r="DB47" s="106">
        <v>10</v>
      </c>
      <c r="DC47" s="106">
        <v>4200</v>
      </c>
      <c r="DD47" s="106">
        <v>600</v>
      </c>
      <c r="DE47" s="107">
        <v>5477</v>
      </c>
      <c r="DF47" s="107">
        <v>9240</v>
      </c>
      <c r="DG47" s="107">
        <v>13003</v>
      </c>
      <c r="DH47" s="27">
        <v>18022</v>
      </c>
      <c r="DX47" s="74"/>
      <c r="DY47" s="74"/>
      <c r="DZ47" s="74"/>
      <c r="EA47" s="74"/>
      <c r="EB47" s="74"/>
      <c r="EC47" s="74"/>
      <c r="ED47" s="74"/>
      <c r="EE47" s="74"/>
      <c r="EF47" s="74"/>
      <c r="EG47" s="74"/>
      <c r="EH47" s="74"/>
      <c r="EI47" s="74"/>
      <c r="EJ47" s="74"/>
    </row>
    <row r="48" spans="1:140" ht="30" customHeight="1" x14ac:dyDescent="0.25">
      <c r="A48" s="131" t="s">
        <v>488</v>
      </c>
      <c r="B48" s="26">
        <v>4373</v>
      </c>
      <c r="C48" s="26"/>
      <c r="D48" s="29"/>
      <c r="E48" s="26"/>
      <c r="S48" s="23" t="s">
        <v>230</v>
      </c>
      <c r="T48" s="23" t="s">
        <v>143</v>
      </c>
      <c r="U48" s="23">
        <v>3</v>
      </c>
      <c r="V4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8">
        <v>296</v>
      </c>
      <c r="CF48" s="57" t="s">
        <v>608</v>
      </c>
      <c r="CG48" s="50" t="s">
        <v>550</v>
      </c>
      <c r="CH48" s="64" t="s">
        <v>559</v>
      </c>
      <c r="CI48" s="67" t="s">
        <v>698</v>
      </c>
      <c r="CJ48" s="83">
        <f>VLOOKUP(Ручки[[#This Row],[Категория]],Ценовые_категории_ручек[],2,0)</f>
        <v>800</v>
      </c>
      <c r="CZ48" s="123" t="s">
        <v>458</v>
      </c>
      <c r="DA48" s="106" t="s">
        <v>459</v>
      </c>
      <c r="DB48" s="106">
        <v>10</v>
      </c>
      <c r="DC48" s="106">
        <v>4200</v>
      </c>
      <c r="DD48" s="106">
        <v>600</v>
      </c>
      <c r="DE48" s="107">
        <v>5477</v>
      </c>
      <c r="DF48" s="107">
        <v>9240</v>
      </c>
      <c r="DG48" s="107">
        <v>13003</v>
      </c>
      <c r="DH48" s="27">
        <v>18022</v>
      </c>
    </row>
    <row r="49" spans="1:112" ht="30" customHeight="1" x14ac:dyDescent="0.25">
      <c r="A49" s="131" t="s">
        <v>489</v>
      </c>
      <c r="B49" s="26">
        <v>4033</v>
      </c>
      <c r="C49" s="26"/>
      <c r="D49" s="29"/>
      <c r="E49" s="26"/>
      <c r="S49" s="23" t="s">
        <v>232</v>
      </c>
      <c r="T49" s="23" t="s">
        <v>143</v>
      </c>
      <c r="U49" s="23">
        <v>3</v>
      </c>
      <c r="V4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8">
        <v>300</v>
      </c>
      <c r="CF49" s="56" t="s">
        <v>607</v>
      </c>
      <c r="CG49" s="50" t="s">
        <v>550</v>
      </c>
      <c r="CH49" s="64" t="s">
        <v>559</v>
      </c>
      <c r="CI49" s="67" t="s">
        <v>698</v>
      </c>
      <c r="CJ49" s="83">
        <f>VLOOKUP(Ручки[[#This Row],[Категория]],Ценовые_категории_ручек[],2,0)</f>
        <v>800</v>
      </c>
      <c r="CZ49" s="23" t="s">
        <v>460</v>
      </c>
      <c r="DA49" s="106" t="s">
        <v>459</v>
      </c>
      <c r="DB49" s="106">
        <v>10</v>
      </c>
      <c r="DC49" s="106">
        <v>4200</v>
      </c>
      <c r="DD49" s="106">
        <v>600</v>
      </c>
      <c r="DE49" s="107">
        <v>5477</v>
      </c>
      <c r="DF49" s="107">
        <v>9240</v>
      </c>
      <c r="DG49" s="107">
        <v>13003</v>
      </c>
      <c r="DH49" s="27">
        <v>18022</v>
      </c>
    </row>
    <row r="50" spans="1:112" ht="30" customHeight="1" x14ac:dyDescent="0.25">
      <c r="A50" s="131" t="s">
        <v>490</v>
      </c>
      <c r="B50" s="26">
        <v>4915</v>
      </c>
      <c r="C50" s="21"/>
      <c r="D50" s="29"/>
      <c r="E50" s="26"/>
      <c r="S50" s="23" t="s">
        <v>234</v>
      </c>
      <c r="T50" s="23" t="s">
        <v>143</v>
      </c>
      <c r="U50" s="23">
        <v>2</v>
      </c>
      <c r="V5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28">
        <v>301</v>
      </c>
      <c r="CF50" s="38" t="s">
        <v>549</v>
      </c>
      <c r="CG50" s="50" t="s">
        <v>550</v>
      </c>
      <c r="CH50" s="38" t="s">
        <v>513</v>
      </c>
      <c r="CI50" s="67" t="s">
        <v>681</v>
      </c>
      <c r="CJ50" s="83">
        <f>VLOOKUP(Ручки[[#This Row],[Категория]],Ценовые_категории_ручек[],2,0)</f>
        <v>257</v>
      </c>
    </row>
    <row r="51" spans="1:112" ht="30" customHeight="1" x14ac:dyDescent="0.25">
      <c r="A51" s="47" t="s">
        <v>491</v>
      </c>
      <c r="B51" s="26">
        <v>4660</v>
      </c>
      <c r="C51" s="26"/>
      <c r="D51" s="29"/>
      <c r="E51" s="26"/>
      <c r="S51" s="23" t="s">
        <v>236</v>
      </c>
      <c r="T51" s="23" t="s">
        <v>142</v>
      </c>
      <c r="U51" s="23">
        <v>1</v>
      </c>
      <c r="V5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8">
        <v>307</v>
      </c>
      <c r="CF51" s="57" t="s">
        <v>588</v>
      </c>
      <c r="CG51" s="50" t="s">
        <v>550</v>
      </c>
      <c r="CH51" s="56" t="s">
        <v>552</v>
      </c>
      <c r="CI51" s="67" t="s">
        <v>688</v>
      </c>
      <c r="CJ51" s="83">
        <f>VLOOKUP(Ручки[[#This Row],[Категория]],Ценовые_категории_ручек[],2,0)</f>
        <v>450</v>
      </c>
    </row>
    <row r="52" spans="1:112" ht="30" customHeight="1" x14ac:dyDescent="0.25">
      <c r="A52" s="47" t="s">
        <v>492</v>
      </c>
      <c r="B52" s="26">
        <v>4660</v>
      </c>
      <c r="C52" s="130"/>
      <c r="D52" s="29"/>
      <c r="E52" s="26"/>
      <c r="S52" s="23" t="s">
        <v>238</v>
      </c>
      <c r="T52" s="23" t="s">
        <v>142</v>
      </c>
      <c r="U52" s="23">
        <v>1</v>
      </c>
      <c r="V5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28">
        <v>308</v>
      </c>
      <c r="CF52" s="58" t="s">
        <v>583</v>
      </c>
      <c r="CG52" s="50" t="s">
        <v>550</v>
      </c>
      <c r="CH52" s="55" t="s">
        <v>552</v>
      </c>
      <c r="CI52" s="67" t="s">
        <v>688</v>
      </c>
      <c r="CJ52" s="83">
        <f>VLOOKUP(Ручки[[#This Row],[Категория]],Ценовые_категории_ручек[],2,0)</f>
        <v>450</v>
      </c>
    </row>
    <row r="53" spans="1:112" ht="30" customHeight="1" x14ac:dyDescent="0.25">
      <c r="A53" s="131" t="s">
        <v>493</v>
      </c>
      <c r="B53" s="130">
        <v>5423</v>
      </c>
      <c r="C53" s="26"/>
      <c r="D53" s="29"/>
      <c r="E53" s="26"/>
      <c r="S53" s="23" t="s">
        <v>240</v>
      </c>
      <c r="T53" s="23" t="s">
        <v>143</v>
      </c>
      <c r="U53" s="23">
        <v>4</v>
      </c>
      <c r="V5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28">
        <v>384</v>
      </c>
      <c r="CF53" s="57" t="s">
        <v>593</v>
      </c>
      <c r="CG53" s="50" t="s">
        <v>550</v>
      </c>
      <c r="CH53" s="58" t="s">
        <v>553</v>
      </c>
      <c r="CI53" s="67" t="s">
        <v>677</v>
      </c>
      <c r="CJ53" s="83">
        <f>VLOOKUP(Ручки[[#This Row],[Категория]],Ценовые_категории_ручек[],2,0)</f>
        <v>625</v>
      </c>
    </row>
    <row r="54" spans="1:112" ht="30" customHeight="1" x14ac:dyDescent="0.25">
      <c r="A54" s="47" t="s">
        <v>494</v>
      </c>
      <c r="B54" s="26">
        <v>9200</v>
      </c>
      <c r="C54" s="21"/>
      <c r="S54" s="23" t="s">
        <v>242</v>
      </c>
      <c r="T54" s="23" t="s">
        <v>143</v>
      </c>
      <c r="U54" s="23">
        <v>1</v>
      </c>
      <c r="V5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28">
        <v>419</v>
      </c>
      <c r="CF54" s="57" t="s">
        <v>563</v>
      </c>
      <c r="CG54" s="52" t="s">
        <v>548</v>
      </c>
      <c r="CH54" s="38" t="s">
        <v>513</v>
      </c>
      <c r="CI54" s="67" t="s">
        <v>677</v>
      </c>
      <c r="CJ54" s="83">
        <f>VLOOKUP(Ручки[[#This Row],[Категория]],Ценовые_категории_ручек[],2,0)</f>
        <v>257</v>
      </c>
    </row>
    <row r="55" spans="1:112" ht="30" customHeight="1" x14ac:dyDescent="0.25">
      <c r="S55" s="23" t="s">
        <v>244</v>
      </c>
      <c r="T55" s="23" t="s">
        <v>142</v>
      </c>
      <c r="U55" s="23">
        <v>3</v>
      </c>
      <c r="V5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8">
        <v>500</v>
      </c>
      <c r="CF55" s="57" t="s">
        <v>610</v>
      </c>
      <c r="CG55" s="50" t="s">
        <v>550</v>
      </c>
      <c r="CH55" s="64" t="s">
        <v>559</v>
      </c>
      <c r="CI55" s="67" t="s">
        <v>700</v>
      </c>
      <c r="CJ55" s="83">
        <f>VLOOKUP(Ручки[[#This Row],[Категория]],Ценовые_категории_ручек[],2,0)</f>
        <v>800</v>
      </c>
    </row>
    <row r="56" spans="1:112" ht="30" customHeight="1" x14ac:dyDescent="0.25">
      <c r="S56" s="23" t="s">
        <v>245</v>
      </c>
      <c r="T56" s="23" t="s">
        <v>142</v>
      </c>
      <c r="U56" s="23">
        <v>3</v>
      </c>
      <c r="V5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8">
        <v>501</v>
      </c>
      <c r="CF56" s="58" t="s">
        <v>595</v>
      </c>
      <c r="CG56" s="50" t="s">
        <v>550</v>
      </c>
      <c r="CH56" s="58" t="s">
        <v>554</v>
      </c>
      <c r="CI56" s="67" t="s">
        <v>689</v>
      </c>
      <c r="CJ56" s="83">
        <f>VLOOKUP(Ручки[[#This Row],[Категория]],Ценовые_категории_ручек[],2,0)</f>
        <v>800</v>
      </c>
    </row>
    <row r="57" spans="1:112" ht="30" customHeight="1" x14ac:dyDescent="0.25">
      <c r="S57" s="23" t="s">
        <v>246</v>
      </c>
      <c r="T57" s="23" t="s">
        <v>142</v>
      </c>
      <c r="U57" s="23">
        <v>3</v>
      </c>
      <c r="V5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8">
        <v>503</v>
      </c>
      <c r="CF57" s="57" t="s">
        <v>585</v>
      </c>
      <c r="CG57" s="52" t="s">
        <v>548</v>
      </c>
      <c r="CH57" s="55" t="s">
        <v>552</v>
      </c>
      <c r="CI57" s="67" t="s">
        <v>689</v>
      </c>
      <c r="CJ57" s="83">
        <f>VLOOKUP(Ручки[[#This Row],[Категория]],Ценовые_категории_ручек[],2,0)</f>
        <v>450</v>
      </c>
    </row>
    <row r="58" spans="1:112" ht="30" customHeight="1" x14ac:dyDescent="0.25">
      <c r="S58" s="23" t="s">
        <v>247</v>
      </c>
      <c r="T58" s="23" t="s">
        <v>142</v>
      </c>
      <c r="U58" s="23">
        <v>3</v>
      </c>
      <c r="V5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8">
        <v>504</v>
      </c>
      <c r="CF58" s="56" t="s">
        <v>600</v>
      </c>
      <c r="CG58" s="50" t="s">
        <v>557</v>
      </c>
      <c r="CH58" s="64" t="s">
        <v>558</v>
      </c>
      <c r="CI58" s="67" t="s">
        <v>695</v>
      </c>
      <c r="CJ58" s="83">
        <f>VLOOKUP(Ручки[[#This Row],[Категория]],Ценовые_категории_ручек[],2,0)</f>
        <v>625</v>
      </c>
    </row>
    <row r="59" spans="1:112" ht="30" customHeight="1" x14ac:dyDescent="0.25">
      <c r="S59" s="23" t="s">
        <v>248</v>
      </c>
      <c r="T59" s="23" t="s">
        <v>142</v>
      </c>
      <c r="U59" s="23">
        <v>3</v>
      </c>
      <c r="V5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8">
        <v>505</v>
      </c>
      <c r="CF59" s="38" t="s">
        <v>542</v>
      </c>
      <c r="CG59" s="50" t="s">
        <v>543</v>
      </c>
      <c r="CH59" s="67" t="s">
        <v>544</v>
      </c>
      <c r="CI59" s="67" t="s">
        <v>612</v>
      </c>
      <c r="CJ59" s="83">
        <f>VLOOKUP(Ручки[[#This Row],[Категория]],Ценовые_категории_ручек[],2,0)</f>
        <v>50</v>
      </c>
    </row>
    <row r="60" spans="1:112" ht="30" customHeight="1" x14ac:dyDescent="0.25">
      <c r="S60" s="23" t="s">
        <v>249</v>
      </c>
      <c r="T60" s="23" t="s">
        <v>142</v>
      </c>
      <c r="U60" s="23">
        <v>3</v>
      </c>
      <c r="V6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8">
        <v>506</v>
      </c>
    </row>
    <row r="61" spans="1:112" ht="30" customHeight="1" x14ac:dyDescent="0.25">
      <c r="S61" s="23" t="s">
        <v>250</v>
      </c>
      <c r="T61" s="23" t="s">
        <v>142</v>
      </c>
      <c r="U61" s="23">
        <v>3</v>
      </c>
      <c r="V6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8">
        <v>507</v>
      </c>
    </row>
    <row r="62" spans="1:112" ht="30" customHeight="1" x14ac:dyDescent="0.25">
      <c r="S62" s="23" t="s">
        <v>251</v>
      </c>
      <c r="T62" s="23" t="s">
        <v>142</v>
      </c>
      <c r="U62" s="23">
        <v>3</v>
      </c>
      <c r="V6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8">
        <v>508</v>
      </c>
    </row>
    <row r="63" spans="1:112" ht="30" customHeight="1" x14ac:dyDescent="0.25">
      <c r="S63" s="23" t="s">
        <v>252</v>
      </c>
      <c r="T63" s="23" t="s">
        <v>142</v>
      </c>
      <c r="U63" s="23">
        <v>3</v>
      </c>
      <c r="V6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8">
        <v>509</v>
      </c>
    </row>
    <row r="64" spans="1:112" ht="30" customHeight="1" x14ac:dyDescent="0.25">
      <c r="S64" s="23" t="s">
        <v>253</v>
      </c>
      <c r="T64" s="23" t="s">
        <v>142</v>
      </c>
      <c r="U64" s="23">
        <v>3</v>
      </c>
      <c r="V6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8">
        <v>510</v>
      </c>
    </row>
    <row r="65" spans="19:26" ht="30" customHeight="1" x14ac:dyDescent="0.25">
      <c r="S65" s="23" t="s">
        <v>254</v>
      </c>
      <c r="T65" s="23" t="s">
        <v>142</v>
      </c>
      <c r="U65" s="23">
        <v>2</v>
      </c>
      <c r="V6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8">
        <v>511</v>
      </c>
    </row>
    <row r="66" spans="19:26" ht="30" customHeight="1" x14ac:dyDescent="0.25">
      <c r="S66" s="23" t="s">
        <v>255</v>
      </c>
      <c r="T66" s="23" t="s">
        <v>142</v>
      </c>
      <c r="U66" s="23">
        <v>3</v>
      </c>
      <c r="V6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8">
        <v>513</v>
      </c>
    </row>
    <row r="67" spans="19:26" ht="30" customHeight="1" x14ac:dyDescent="0.25">
      <c r="S67" s="23" t="s">
        <v>256</v>
      </c>
      <c r="T67" s="23" t="s">
        <v>142</v>
      </c>
      <c r="U67" s="23">
        <v>2</v>
      </c>
      <c r="V6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8">
        <v>514</v>
      </c>
    </row>
    <row r="68" spans="19:26" ht="30" customHeight="1" x14ac:dyDescent="0.25">
      <c r="S68" s="23" t="s">
        <v>257</v>
      </c>
      <c r="T68" s="23" t="s">
        <v>142</v>
      </c>
      <c r="U68" s="23">
        <v>3</v>
      </c>
      <c r="V6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8">
        <v>515</v>
      </c>
    </row>
    <row r="69" spans="19:26" ht="30" customHeight="1" x14ac:dyDescent="0.25">
      <c r="S69" s="23" t="s">
        <v>258</v>
      </c>
      <c r="T69" s="23" t="s">
        <v>142</v>
      </c>
      <c r="U69" s="23">
        <v>2</v>
      </c>
      <c r="V6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28">
        <v>516</v>
      </c>
    </row>
    <row r="70" spans="19:26" ht="30" customHeight="1" x14ac:dyDescent="0.25">
      <c r="S70" s="23" t="s">
        <v>259</v>
      </c>
      <c r="T70" s="23" t="s">
        <v>142</v>
      </c>
      <c r="U70" s="23">
        <v>1</v>
      </c>
      <c r="V7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28">
        <v>518</v>
      </c>
    </row>
    <row r="71" spans="19:26" ht="30" customHeight="1" x14ac:dyDescent="0.25">
      <c r="S71" s="23" t="s">
        <v>260</v>
      </c>
      <c r="T71" s="23" t="s">
        <v>142</v>
      </c>
      <c r="U71" s="23">
        <v>2</v>
      </c>
      <c r="V7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8">
        <v>519</v>
      </c>
    </row>
    <row r="72" spans="19:26" ht="30" customHeight="1" x14ac:dyDescent="0.25">
      <c r="S72" s="23" t="s">
        <v>261</v>
      </c>
      <c r="T72" s="23" t="s">
        <v>142</v>
      </c>
      <c r="U72" s="23">
        <v>2</v>
      </c>
      <c r="V7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8">
        <v>520</v>
      </c>
    </row>
    <row r="73" spans="19:26" ht="30" customHeight="1" x14ac:dyDescent="0.25">
      <c r="S73" s="23" t="s">
        <v>263</v>
      </c>
      <c r="T73" s="23" t="s">
        <v>142</v>
      </c>
      <c r="U73" s="23">
        <v>2</v>
      </c>
      <c r="V7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8">
        <v>522</v>
      </c>
    </row>
    <row r="74" spans="19:26" ht="30" customHeight="1" x14ac:dyDescent="0.25">
      <c r="S74" s="23" t="s">
        <v>264</v>
      </c>
      <c r="T74" s="23" t="s">
        <v>142</v>
      </c>
      <c r="U74" s="23">
        <v>3</v>
      </c>
      <c r="V7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8">
        <v>524</v>
      </c>
    </row>
    <row r="75" spans="19:26" ht="30" customHeight="1" x14ac:dyDescent="0.25">
      <c r="S75" s="23" t="s">
        <v>265</v>
      </c>
      <c r="T75" s="23" t="s">
        <v>142</v>
      </c>
      <c r="U75" s="23">
        <v>3</v>
      </c>
      <c r="V7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8">
        <v>525</v>
      </c>
    </row>
    <row r="76" spans="19:26" ht="30" customHeight="1" x14ac:dyDescent="0.25">
      <c r="S76" s="23" t="s">
        <v>266</v>
      </c>
      <c r="T76" s="23" t="s">
        <v>142</v>
      </c>
      <c r="U76" s="23">
        <v>3</v>
      </c>
      <c r="V7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8">
        <v>526</v>
      </c>
    </row>
    <row r="77" spans="19:26" ht="30" customHeight="1" x14ac:dyDescent="0.25">
      <c r="S77" s="23" t="s">
        <v>267</v>
      </c>
      <c r="T77" s="23" t="s">
        <v>142</v>
      </c>
      <c r="U77" s="23">
        <v>3</v>
      </c>
      <c r="V7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8">
        <v>528</v>
      </c>
    </row>
    <row r="78" spans="19:26" ht="30" customHeight="1" x14ac:dyDescent="0.25">
      <c r="S78" s="23" t="s">
        <v>268</v>
      </c>
      <c r="T78" s="23" t="s">
        <v>142</v>
      </c>
      <c r="U78" s="23">
        <v>3</v>
      </c>
      <c r="V7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8">
        <v>529</v>
      </c>
    </row>
    <row r="79" spans="19:26" ht="30" customHeight="1" x14ac:dyDescent="0.25">
      <c r="S79" s="23" t="s">
        <v>269</v>
      </c>
      <c r="T79" s="23" t="s">
        <v>143</v>
      </c>
      <c r="U79" s="23">
        <v>4</v>
      </c>
      <c r="V7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8">
        <v>530</v>
      </c>
    </row>
    <row r="80" spans="19:26" ht="30" customHeight="1" x14ac:dyDescent="0.25">
      <c r="S80" s="23" t="s">
        <v>270</v>
      </c>
      <c r="T80" s="23" t="s">
        <v>143</v>
      </c>
      <c r="U80" s="23">
        <v>3</v>
      </c>
      <c r="V8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8">
        <v>533</v>
      </c>
    </row>
    <row r="81" spans="1:26" ht="30" customHeight="1" x14ac:dyDescent="0.25">
      <c r="S81" s="23" t="s">
        <v>271</v>
      </c>
      <c r="T81" s="23" t="s">
        <v>143</v>
      </c>
      <c r="U81" s="23">
        <v>2</v>
      </c>
      <c r="V8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8">
        <v>534</v>
      </c>
    </row>
    <row r="82" spans="1:26" ht="30" customHeight="1" x14ac:dyDescent="0.25">
      <c r="S82" s="23" t="s">
        <v>272</v>
      </c>
      <c r="T82" s="23" t="s">
        <v>143</v>
      </c>
      <c r="U82" s="23">
        <v>2</v>
      </c>
      <c r="V8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8">
        <v>535</v>
      </c>
    </row>
    <row r="83" spans="1:26" ht="30" customHeight="1" x14ac:dyDescent="0.25">
      <c r="S83" s="23" t="s">
        <v>273</v>
      </c>
      <c r="T83" s="23" t="s">
        <v>143</v>
      </c>
      <c r="U83" s="23">
        <v>4</v>
      </c>
      <c r="V8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8">
        <v>536</v>
      </c>
    </row>
    <row r="84" spans="1:26" ht="30" customHeight="1" x14ac:dyDescent="0.25">
      <c r="S84" s="23" t="s">
        <v>274</v>
      </c>
      <c r="T84" s="23" t="s">
        <v>143</v>
      </c>
      <c r="U84" s="23">
        <v>4</v>
      </c>
      <c r="V8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8">
        <v>537</v>
      </c>
    </row>
    <row r="85" spans="1:26" ht="30" customHeight="1" x14ac:dyDescent="0.25">
      <c r="S85" s="23" t="s">
        <v>275</v>
      </c>
      <c r="T85" s="23" t="s">
        <v>142</v>
      </c>
      <c r="U85" s="23">
        <v>2</v>
      </c>
      <c r="V8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8">
        <v>538</v>
      </c>
    </row>
    <row r="86" spans="1:26" ht="30" customHeight="1" x14ac:dyDescent="0.25">
      <c r="S86" s="23" t="s">
        <v>276</v>
      </c>
      <c r="T86" s="23" t="s">
        <v>142</v>
      </c>
      <c r="U86" s="23">
        <v>3</v>
      </c>
      <c r="V8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8">
        <v>539</v>
      </c>
    </row>
    <row r="87" spans="1:26" ht="30" customHeight="1" x14ac:dyDescent="0.25">
      <c r="S87" s="23" t="s">
        <v>277</v>
      </c>
      <c r="T87" s="23" t="s">
        <v>142</v>
      </c>
      <c r="U87" s="23">
        <v>3</v>
      </c>
      <c r="V8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8">
        <v>540</v>
      </c>
    </row>
    <row r="88" spans="1:26" ht="30" customHeight="1" x14ac:dyDescent="0.25">
      <c r="S88" s="23" t="s">
        <v>278</v>
      </c>
      <c r="T88" s="23" t="s">
        <v>142</v>
      </c>
      <c r="U88" s="23">
        <v>3</v>
      </c>
      <c r="V8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8">
        <v>541</v>
      </c>
    </row>
    <row r="89" spans="1:26" ht="30" customHeight="1" x14ac:dyDescent="0.25">
      <c r="C89" s="21"/>
      <c r="D89" s="21"/>
      <c r="S89" s="23" t="s">
        <v>279</v>
      </c>
      <c r="T89" s="23" t="s">
        <v>142</v>
      </c>
      <c r="U89" s="23">
        <v>3</v>
      </c>
      <c r="V8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8">
        <v>543</v>
      </c>
    </row>
    <row r="90" spans="1:26" ht="30" customHeight="1" x14ac:dyDescent="0.25">
      <c r="A90" s="21"/>
      <c r="B90" s="21"/>
      <c r="C90" s="21"/>
      <c r="D90" s="21"/>
      <c r="S90" s="23" t="s">
        <v>280</v>
      </c>
      <c r="T90" s="23" t="s">
        <v>142</v>
      </c>
      <c r="U90" s="23">
        <v>3</v>
      </c>
      <c r="V9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8">
        <v>544</v>
      </c>
    </row>
    <row r="91" spans="1:26" ht="30" customHeight="1" x14ac:dyDescent="0.25">
      <c r="A91" s="21"/>
      <c r="B91" s="21"/>
      <c r="C91" s="21"/>
      <c r="D91" s="21"/>
      <c r="S91" s="23" t="s">
        <v>281</v>
      </c>
      <c r="T91" s="23" t="s">
        <v>142</v>
      </c>
      <c r="U91" s="23">
        <v>2</v>
      </c>
      <c r="V9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8">
        <v>545</v>
      </c>
    </row>
    <row r="92" spans="1:26" ht="30" customHeight="1" x14ac:dyDescent="0.25">
      <c r="A92" s="21"/>
      <c r="B92" s="21"/>
      <c r="C92" s="21"/>
      <c r="D92" s="21"/>
      <c r="S92" s="23" t="s">
        <v>282</v>
      </c>
      <c r="T92" s="23" t="s">
        <v>142</v>
      </c>
      <c r="U92" s="23">
        <v>3</v>
      </c>
      <c r="V9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8">
        <v>546</v>
      </c>
    </row>
    <row r="93" spans="1:26" ht="30" customHeight="1" x14ac:dyDescent="0.25">
      <c r="A93" s="21"/>
      <c r="B93" s="21"/>
      <c r="C93" s="21"/>
      <c r="D93" s="21"/>
      <c r="S93" s="23" t="s">
        <v>283</v>
      </c>
      <c r="T93" s="23" t="s">
        <v>142</v>
      </c>
      <c r="U93" s="23">
        <v>3</v>
      </c>
      <c r="V9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8">
        <v>547</v>
      </c>
    </row>
    <row r="94" spans="1:26" ht="30" customHeight="1" x14ac:dyDescent="0.25">
      <c r="A94" s="21"/>
      <c r="B94" s="21"/>
      <c r="C94" s="21"/>
      <c r="D94" s="21"/>
      <c r="S94" s="23" t="s">
        <v>284</v>
      </c>
      <c r="T94" s="23" t="s">
        <v>143</v>
      </c>
      <c r="U94" s="23">
        <v>4</v>
      </c>
      <c r="V9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8">
        <v>548</v>
      </c>
    </row>
    <row r="95" spans="1:26" ht="30" customHeight="1" x14ac:dyDescent="0.25">
      <c r="A95" s="21"/>
      <c r="B95" s="21"/>
      <c r="C95" s="21"/>
      <c r="D95" s="21"/>
      <c r="S95" s="23" t="s">
        <v>285</v>
      </c>
      <c r="T95" s="23" t="s">
        <v>142</v>
      </c>
      <c r="U95" s="23">
        <v>3</v>
      </c>
      <c r="V9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8">
        <v>549</v>
      </c>
    </row>
    <row r="96" spans="1:26" ht="30" customHeight="1" x14ac:dyDescent="0.25">
      <c r="A96" s="21"/>
      <c r="B96" s="21"/>
      <c r="C96" s="21"/>
      <c r="D96" s="21"/>
      <c r="S96" s="23" t="s">
        <v>286</v>
      </c>
      <c r="T96" s="23" t="s">
        <v>142</v>
      </c>
      <c r="U96" s="23">
        <v>3</v>
      </c>
      <c r="V9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8">
        <v>550</v>
      </c>
    </row>
    <row r="97" spans="1:26" ht="30" customHeight="1" x14ac:dyDescent="0.25">
      <c r="A97" s="21"/>
      <c r="B97" s="21"/>
      <c r="C97" s="21"/>
      <c r="D97" s="21"/>
      <c r="S97" s="23" t="s">
        <v>287</v>
      </c>
      <c r="T97" s="23" t="s">
        <v>142</v>
      </c>
      <c r="U97" s="23">
        <v>3</v>
      </c>
      <c r="V9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8">
        <v>551</v>
      </c>
    </row>
    <row r="98" spans="1:26" ht="30" customHeight="1" x14ac:dyDescent="0.25">
      <c r="A98" s="21"/>
      <c r="B98" s="21"/>
      <c r="C98" s="21"/>
      <c r="D98" s="21"/>
      <c r="S98" s="23" t="s">
        <v>288</v>
      </c>
      <c r="T98" s="23" t="s">
        <v>142</v>
      </c>
      <c r="U98" s="23">
        <v>3</v>
      </c>
      <c r="V9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8">
        <v>552</v>
      </c>
    </row>
    <row r="99" spans="1:26" ht="30" customHeight="1" x14ac:dyDescent="0.25">
      <c r="A99" s="21"/>
      <c r="B99" s="21"/>
      <c r="C99" s="21"/>
      <c r="D99" s="21"/>
      <c r="S99" s="23" t="s">
        <v>289</v>
      </c>
      <c r="T99" s="23" t="s">
        <v>142</v>
      </c>
      <c r="U99" s="23">
        <v>3</v>
      </c>
      <c r="V9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8">
        <v>553</v>
      </c>
    </row>
    <row r="100" spans="1:26" ht="30" customHeight="1" x14ac:dyDescent="0.25">
      <c r="A100" s="21"/>
      <c r="B100" s="21"/>
      <c r="C100" s="21"/>
      <c r="D100" s="21"/>
      <c r="S100" s="23" t="s">
        <v>290</v>
      </c>
      <c r="T100" s="23" t="s">
        <v>142</v>
      </c>
      <c r="U100" s="23">
        <v>3</v>
      </c>
      <c r="V10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8">
        <v>554</v>
      </c>
    </row>
    <row r="101" spans="1:26" ht="30" customHeight="1" x14ac:dyDescent="0.25">
      <c r="A101" s="21"/>
      <c r="B101" s="21"/>
      <c r="C101" s="21"/>
      <c r="D101" s="21"/>
      <c r="S101" s="23" t="s">
        <v>291</v>
      </c>
      <c r="T101" s="23" t="s">
        <v>142</v>
      </c>
      <c r="U101" s="23">
        <v>3</v>
      </c>
      <c r="V10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8">
        <v>555</v>
      </c>
    </row>
    <row r="102" spans="1:26" ht="30" customHeight="1" x14ac:dyDescent="0.25">
      <c r="A102" s="21"/>
      <c r="B102" s="21"/>
      <c r="C102" s="21"/>
      <c r="D102" s="21"/>
      <c r="S102" s="23" t="s">
        <v>292</v>
      </c>
      <c r="T102" s="23" t="s">
        <v>142</v>
      </c>
      <c r="U102" s="23">
        <v>2</v>
      </c>
      <c r="V10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8">
        <v>556</v>
      </c>
    </row>
    <row r="103" spans="1:26" ht="30" customHeight="1" x14ac:dyDescent="0.25">
      <c r="A103" s="21"/>
      <c r="B103" s="21"/>
      <c r="C103" s="21"/>
      <c r="D103" s="21"/>
      <c r="S103" s="23" t="s">
        <v>293</v>
      </c>
      <c r="T103" s="23" t="s">
        <v>142</v>
      </c>
      <c r="U103" s="23">
        <v>3</v>
      </c>
      <c r="V10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8">
        <v>557</v>
      </c>
    </row>
    <row r="104" spans="1:26" ht="30" customHeight="1" x14ac:dyDescent="0.25">
      <c r="A104" s="21"/>
      <c r="B104" s="21"/>
      <c r="C104" s="21"/>
      <c r="D104" s="21"/>
      <c r="S104" s="23" t="s">
        <v>294</v>
      </c>
      <c r="T104" s="23" t="s">
        <v>142</v>
      </c>
      <c r="U104" s="23">
        <v>2</v>
      </c>
      <c r="V10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28">
        <v>558</v>
      </c>
    </row>
    <row r="105" spans="1:26" ht="30" customHeight="1" x14ac:dyDescent="0.25">
      <c r="A105" s="21"/>
      <c r="B105" s="21"/>
      <c r="C105" s="21"/>
      <c r="D105" s="21"/>
      <c r="S105" s="23" t="s">
        <v>297</v>
      </c>
      <c r="T105" s="23" t="s">
        <v>142</v>
      </c>
      <c r="U105" s="23">
        <v>1</v>
      </c>
      <c r="V10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28">
        <v>709</v>
      </c>
    </row>
    <row r="106" spans="1:26" ht="30" customHeight="1" x14ac:dyDescent="0.25">
      <c r="A106" s="21"/>
      <c r="B106" s="21"/>
      <c r="C106" s="21"/>
      <c r="D106" s="21"/>
      <c r="S106" s="23" t="s">
        <v>262</v>
      </c>
      <c r="T106" s="23" t="s">
        <v>142</v>
      </c>
      <c r="U106" s="23">
        <v>2</v>
      </c>
      <c r="V10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28">
        <v>5211</v>
      </c>
    </row>
    <row r="107" spans="1:26" ht="30" customHeight="1" x14ac:dyDescent="0.25">
      <c r="A107" s="21"/>
      <c r="B107" s="21"/>
      <c r="S107" s="158" t="s">
        <v>1138</v>
      </c>
      <c r="T107" s="158" t="s">
        <v>142</v>
      </c>
      <c r="U107" s="158">
        <v>3</v>
      </c>
      <c r="V107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7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7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7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7" s="28">
        <v>559</v>
      </c>
    </row>
    <row r="108" spans="1:26" ht="30" customHeight="1" x14ac:dyDescent="0.25">
      <c r="S108" s="158" t="s">
        <v>1131</v>
      </c>
      <c r="T108" s="158" t="s">
        <v>142</v>
      </c>
      <c r="U108" s="158">
        <v>3</v>
      </c>
      <c r="V108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8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8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8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8" s="158">
        <v>560</v>
      </c>
    </row>
    <row r="109" spans="1:26" ht="30" customHeight="1" x14ac:dyDescent="0.25">
      <c r="S109" s="158" t="s">
        <v>1132</v>
      </c>
      <c r="T109" s="158" t="s">
        <v>142</v>
      </c>
      <c r="U109" s="158">
        <v>3</v>
      </c>
      <c r="V109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9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9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9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9" s="158">
        <v>561</v>
      </c>
    </row>
    <row r="110" spans="1:26" ht="30" customHeight="1" x14ac:dyDescent="0.25">
      <c r="S110" s="158" t="s">
        <v>1133</v>
      </c>
      <c r="T110" s="158" t="s">
        <v>142</v>
      </c>
      <c r="U110" s="158">
        <v>3</v>
      </c>
      <c r="V110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0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0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0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0" s="158">
        <v>562</v>
      </c>
    </row>
    <row r="111" spans="1:26" ht="30" customHeight="1" x14ac:dyDescent="0.25">
      <c r="S111" s="158" t="s">
        <v>1134</v>
      </c>
      <c r="T111" s="158" t="s">
        <v>142</v>
      </c>
      <c r="U111" s="158">
        <v>3</v>
      </c>
      <c r="V111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1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1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1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1" s="158">
        <v>563</v>
      </c>
    </row>
    <row r="112" spans="1:26" ht="30" customHeight="1" x14ac:dyDescent="0.25">
      <c r="S112" s="158" t="s">
        <v>1135</v>
      </c>
      <c r="T112" s="158" t="s">
        <v>142</v>
      </c>
      <c r="U112" s="158">
        <v>3</v>
      </c>
      <c r="V112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2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2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2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2" s="158">
        <v>564</v>
      </c>
    </row>
    <row r="113" spans="19:26" ht="30" customHeight="1" x14ac:dyDescent="0.25">
      <c r="S113" s="158" t="s">
        <v>1136</v>
      </c>
      <c r="T113" s="158" t="s">
        <v>142</v>
      </c>
      <c r="U113" s="158">
        <v>3</v>
      </c>
      <c r="V113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3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3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3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3" s="158">
        <v>565</v>
      </c>
    </row>
    <row r="114" spans="19:26" ht="30" customHeight="1" x14ac:dyDescent="0.25">
      <c r="S114" s="158" t="s">
        <v>1137</v>
      </c>
      <c r="T114" s="158" t="s">
        <v>142</v>
      </c>
      <c r="U114" s="158">
        <v>2</v>
      </c>
      <c r="V114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14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14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14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4" s="158">
        <v>566</v>
      </c>
    </row>
    <row r="115" spans="19:26" ht="30" customHeight="1" x14ac:dyDescent="0.25"/>
    <row r="116" spans="19:26" ht="30" customHeight="1" x14ac:dyDescent="0.25"/>
    <row r="117" spans="19:26" ht="30" customHeight="1" x14ac:dyDescent="0.25"/>
    <row r="118" spans="19:26" ht="30" customHeight="1" x14ac:dyDescent="0.25"/>
    <row r="119" spans="19:26" ht="30" customHeight="1" x14ac:dyDescent="0.25"/>
    <row r="120" spans="19:26" ht="30" customHeight="1" x14ac:dyDescent="0.25"/>
    <row r="121" spans="19:26" ht="30" customHeight="1" x14ac:dyDescent="0.25"/>
    <row r="122" spans="19:26" ht="30" customHeight="1" x14ac:dyDescent="0.25"/>
    <row r="123" spans="19:26" ht="30" customHeight="1" x14ac:dyDescent="0.25"/>
    <row r="124" spans="19:26" ht="30" customHeight="1" x14ac:dyDescent="0.25"/>
    <row r="125" spans="19:26" ht="30" customHeight="1" x14ac:dyDescent="0.25"/>
    <row r="126" spans="19:26" ht="30" customHeight="1" x14ac:dyDescent="0.25"/>
    <row r="127" spans="19:26" ht="30" customHeight="1" x14ac:dyDescent="0.25"/>
    <row r="128" spans="19:26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M8Zn8V4LqUbX5/XXvOGa1MbUTTCvOVl08j0y1AnSxJeWzoMUxOUxeftk0YlF5BfpF1cX8HsIBBcgQqCZGHjaJQ==" saltValue="fGAhZ2QXJo9zW6iCoSj70A==" spinCount="100000" sheet="1" objects="1" scenarios="1"/>
  <mergeCells count="9">
    <mergeCell ref="K1:P1"/>
    <mergeCell ref="CF1:CJ1"/>
    <mergeCell ref="CN1:CO1"/>
    <mergeCell ref="CR1:CV1"/>
    <mergeCell ref="BB1:BE1"/>
    <mergeCell ref="BH2:BJ2"/>
    <mergeCell ref="BQ1:BR1"/>
    <mergeCell ref="BU1:BV1"/>
    <mergeCell ref="BX1:BY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1:E91"/>
  <sheetViews>
    <sheetView topLeftCell="A60" zoomScale="115" zoomScaleNormal="115" workbookViewId="0">
      <selection activeCell="C84" sqref="C84"/>
    </sheetView>
  </sheetViews>
  <sheetFormatPr defaultColWidth="9.140625" defaultRowHeight="12" x14ac:dyDescent="0.2"/>
  <cols>
    <col min="1" max="1" width="15.5703125" style="7" bestFit="1" customWidth="1"/>
    <col min="2" max="2" width="42.5703125" style="211" customWidth="1"/>
    <col min="3" max="4" width="15" style="7" customWidth="1"/>
    <col min="5" max="16384" width="9.140625" style="7"/>
  </cols>
  <sheetData>
    <row r="1" spans="2:5" ht="23.25" customHeight="1" x14ac:dyDescent="0.2">
      <c r="B1" s="290" t="s">
        <v>350</v>
      </c>
      <c r="C1" s="288" t="s">
        <v>351</v>
      </c>
      <c r="D1" s="288" t="s">
        <v>352</v>
      </c>
    </row>
    <row r="2" spans="2:5" ht="12" customHeight="1" x14ac:dyDescent="0.2">
      <c r="B2" s="290"/>
      <c r="C2" s="289"/>
      <c r="D2" s="289"/>
    </row>
    <row r="3" spans="2:5" ht="15" x14ac:dyDescent="0.25">
      <c r="B3" s="220" t="s">
        <v>1059</v>
      </c>
      <c r="C3" s="221">
        <v>550</v>
      </c>
      <c r="D3" s="221">
        <v>500</v>
      </c>
      <c r="E3" s="222">
        <f>VLOOKUP(B3,'Фурнитура 18_06_25'!$A$4:$B$87,2,0)</f>
        <v>550</v>
      </c>
    </row>
    <row r="4" spans="2:5" x14ac:dyDescent="0.2">
      <c r="B4" s="223" t="s">
        <v>306</v>
      </c>
      <c r="C4" s="221">
        <v>460</v>
      </c>
      <c r="D4" s="221">
        <v>420</v>
      </c>
      <c r="E4" s="222">
        <f>VLOOKUP(B4,'Фурнитура 18_06_25'!$A$4:$B$87,2,0)</f>
        <v>460</v>
      </c>
    </row>
    <row r="5" spans="2:5" x14ac:dyDescent="0.2">
      <c r="B5" s="223" t="s">
        <v>354</v>
      </c>
      <c r="C5" s="221">
        <v>560</v>
      </c>
      <c r="D5" s="221">
        <v>510</v>
      </c>
      <c r="E5" s="222">
        <f>VLOOKUP(B5,'Фурнитура 18_06_25'!$A$4:$B$87,2,0)</f>
        <v>560</v>
      </c>
    </row>
    <row r="6" spans="2:5" x14ac:dyDescent="0.2">
      <c r="B6" s="223" t="s">
        <v>307</v>
      </c>
      <c r="C6" s="221">
        <v>810</v>
      </c>
      <c r="D6" s="221">
        <v>740</v>
      </c>
      <c r="E6" s="222">
        <f>VLOOKUP(B6,'Фурнитура 18_06_25'!$A$4:$B$87,2,0)</f>
        <v>810</v>
      </c>
    </row>
    <row r="7" spans="2:5" x14ac:dyDescent="0.2">
      <c r="B7" s="223" t="s">
        <v>355</v>
      </c>
      <c r="C7" s="221">
        <v>700</v>
      </c>
      <c r="D7" s="221">
        <v>650</v>
      </c>
      <c r="E7" s="222">
        <f>VLOOKUP(B7,'Фурнитура 18_06_25'!$A$4:$B$87,2,0)</f>
        <v>700</v>
      </c>
    </row>
    <row r="8" spans="2:5" x14ac:dyDescent="0.2">
      <c r="B8" s="223" t="s">
        <v>310</v>
      </c>
      <c r="C8" s="221">
        <v>750</v>
      </c>
      <c r="D8" s="221">
        <v>690</v>
      </c>
      <c r="E8" s="222">
        <f>VLOOKUP(B8,'Фурнитура 18_06_25'!$A$4:$B$87,2,0)</f>
        <v>750</v>
      </c>
    </row>
    <row r="9" spans="2:5" x14ac:dyDescent="0.2">
      <c r="B9" s="223" t="s">
        <v>311</v>
      </c>
      <c r="C9" s="221">
        <v>950</v>
      </c>
      <c r="D9" s="221">
        <v>870</v>
      </c>
      <c r="E9" s="222">
        <f>VLOOKUP(B9,'Фурнитура 18_06_25'!$A$4:$B$87,2,0)</f>
        <v>950</v>
      </c>
    </row>
    <row r="10" spans="2:5" x14ac:dyDescent="0.2">
      <c r="B10" s="223" t="s">
        <v>356</v>
      </c>
      <c r="C10" s="221">
        <v>750</v>
      </c>
      <c r="D10" s="221">
        <v>690</v>
      </c>
      <c r="E10" s="222">
        <f>VLOOKUP(B10,'Фурнитура 18_06_25'!$A$4:$B$87,2,0)</f>
        <v>750</v>
      </c>
    </row>
    <row r="11" spans="2:5" x14ac:dyDescent="0.2">
      <c r="B11" s="223" t="s">
        <v>322</v>
      </c>
      <c r="C11" s="221">
        <v>650</v>
      </c>
      <c r="D11" s="221">
        <v>600</v>
      </c>
      <c r="E11" s="222">
        <f>VLOOKUP(B11,'Фурнитура 18_06_25'!$A$4:$B$87,2,0)</f>
        <v>650</v>
      </c>
    </row>
    <row r="12" spans="2:5" x14ac:dyDescent="0.2">
      <c r="B12" s="223" t="s">
        <v>344</v>
      </c>
      <c r="C12" s="221">
        <v>850</v>
      </c>
      <c r="D12" s="221">
        <v>780</v>
      </c>
      <c r="E12" s="222">
        <f>VLOOKUP(B12,'Фурнитура 18_06_25'!$A$4:$B$87,2,0)</f>
        <v>850</v>
      </c>
    </row>
    <row r="13" spans="2:5" x14ac:dyDescent="0.2">
      <c r="B13" s="223" t="s">
        <v>320</v>
      </c>
      <c r="C13" s="221">
        <v>740</v>
      </c>
      <c r="D13" s="221">
        <v>680</v>
      </c>
      <c r="E13" s="222">
        <f>VLOOKUP(B13,'Фурнитура 18_06_25'!$A$4:$B$87,2,0)</f>
        <v>740</v>
      </c>
    </row>
    <row r="14" spans="2:5" x14ac:dyDescent="0.2">
      <c r="B14" s="223" t="s">
        <v>1060</v>
      </c>
      <c r="C14" s="221">
        <v>940</v>
      </c>
      <c r="D14" s="221">
        <v>860</v>
      </c>
      <c r="E14" s="222">
        <f>VLOOKUP(B14,'Фурнитура 18_06_25'!$A$4:$B$87,2,0)</f>
        <v>940</v>
      </c>
    </row>
    <row r="15" spans="2:5" ht="15" x14ac:dyDescent="0.25">
      <c r="B15" s="220" t="s">
        <v>1061</v>
      </c>
      <c r="C15" s="221">
        <v>1130</v>
      </c>
      <c r="D15" s="221">
        <v>1040</v>
      </c>
      <c r="E15" s="222">
        <f>VLOOKUP(B15,'Фурнитура 18_06_25'!$A$4:$B$87,2,0)</f>
        <v>1130</v>
      </c>
    </row>
    <row r="16" spans="2:5" x14ac:dyDescent="0.2">
      <c r="B16" s="223" t="s">
        <v>357</v>
      </c>
      <c r="C16" s="221">
        <v>340</v>
      </c>
      <c r="D16" s="221">
        <v>310</v>
      </c>
      <c r="E16" s="222">
        <f>VLOOKUP(B16,'Фурнитура 18_06_25'!$A$4:$B$87,2,0)</f>
        <v>340</v>
      </c>
    </row>
    <row r="17" spans="1:5" x14ac:dyDescent="0.2">
      <c r="B17" s="223" t="s">
        <v>336</v>
      </c>
      <c r="C17" s="221">
        <v>760</v>
      </c>
      <c r="D17" s="221">
        <v>700</v>
      </c>
      <c r="E17" s="222">
        <f>VLOOKUP(B17,'Фурнитура 18_06_25'!$A$4:$B$87,2,0)</f>
        <v>760</v>
      </c>
    </row>
    <row r="18" spans="1:5" x14ac:dyDescent="0.2">
      <c r="B18" s="223" t="s">
        <v>326</v>
      </c>
      <c r="C18" s="221">
        <v>600</v>
      </c>
      <c r="D18" s="221">
        <v>550</v>
      </c>
      <c r="E18" s="222">
        <f>VLOOKUP(B18,'Фурнитура 18_06_25'!$A$4:$B$87,2,0)</f>
        <v>600</v>
      </c>
    </row>
    <row r="19" spans="1:5" x14ac:dyDescent="0.2">
      <c r="B19" s="223" t="s">
        <v>727</v>
      </c>
      <c r="C19" s="221">
        <v>540</v>
      </c>
      <c r="D19" s="221"/>
      <c r="E19" s="222" t="e">
        <f>VLOOKUP(B19,'Фурнитура 18_06_25'!$A$4:$B$87,2,0)</f>
        <v>#N/A</v>
      </c>
    </row>
    <row r="20" spans="1:5" x14ac:dyDescent="0.2">
      <c r="B20" s="223" t="s">
        <v>1129</v>
      </c>
      <c r="C20" s="221">
        <v>940</v>
      </c>
      <c r="D20" s="221">
        <v>940</v>
      </c>
      <c r="E20" s="222" t="e">
        <f>VLOOKUP(B20,'Фурнитура 18_06_25'!$A$4:$B$87,2,0)</f>
        <v>#N/A</v>
      </c>
    </row>
    <row r="21" spans="1:5" x14ac:dyDescent="0.2">
      <c r="B21" s="223" t="s">
        <v>1130</v>
      </c>
      <c r="C21" s="221">
        <v>1690</v>
      </c>
      <c r="D21" s="221">
        <v>1690</v>
      </c>
      <c r="E21" s="222" t="e">
        <f>VLOOKUP(B21,'Фурнитура 18_06_25'!$A$4:$B$87,2,0)</f>
        <v>#N/A</v>
      </c>
    </row>
    <row r="22" spans="1:5" x14ac:dyDescent="0.2">
      <c r="B22" s="223" t="s">
        <v>1140</v>
      </c>
      <c r="C22" s="221">
        <v>940</v>
      </c>
      <c r="D22" s="221">
        <v>940</v>
      </c>
      <c r="E22" s="222" t="e">
        <f>VLOOKUP(B22,'Фурнитура 18_06_25'!$A$4:$B$87,2,0)</f>
        <v>#N/A</v>
      </c>
    </row>
    <row r="23" spans="1:5" x14ac:dyDescent="0.2">
      <c r="B23" s="223" t="s">
        <v>1069</v>
      </c>
      <c r="C23" s="221">
        <v>280</v>
      </c>
      <c r="D23" s="221">
        <v>250</v>
      </c>
      <c r="E23" s="222">
        <f>VLOOKUP(B23,'Фурнитура 18_06_25'!$A$4:$B$87,2,0)</f>
        <v>280</v>
      </c>
    </row>
    <row r="24" spans="1:5" x14ac:dyDescent="0.2">
      <c r="B24" s="223" t="s">
        <v>1069</v>
      </c>
      <c r="C24" s="221">
        <v>280</v>
      </c>
      <c r="D24" s="221">
        <v>250</v>
      </c>
      <c r="E24" s="222">
        <f>VLOOKUP(B24,'Фурнитура 18_06_25'!$A$4:$B$87,2,0)</f>
        <v>280</v>
      </c>
    </row>
    <row r="25" spans="1:5" ht="24" x14ac:dyDescent="0.2">
      <c r="A25" s="9" t="s">
        <v>358</v>
      </c>
      <c r="B25" s="223" t="s">
        <v>509</v>
      </c>
      <c r="C25" s="221">
        <v>5100</v>
      </c>
      <c r="D25" s="221">
        <v>4390</v>
      </c>
      <c r="E25" s="222">
        <f>VLOOKUP(B25,'Фурнитура 18_06_25'!$A$4:$B$87,2,0)</f>
        <v>5100</v>
      </c>
    </row>
    <row r="26" spans="1:5" ht="24" x14ac:dyDescent="0.2">
      <c r="B26" s="223" t="s">
        <v>508</v>
      </c>
      <c r="C26" s="221">
        <v>6660</v>
      </c>
      <c r="D26" s="221">
        <v>6660</v>
      </c>
      <c r="E26" s="222">
        <f>VLOOKUP(B26,'Фурнитура 18_06_25'!$A$4:$B$87,2,0)</f>
        <v>6660</v>
      </c>
    </row>
    <row r="27" spans="1:5" x14ac:dyDescent="0.2">
      <c r="A27" s="207" t="s">
        <v>719</v>
      </c>
      <c r="B27" s="224" t="s">
        <v>509</v>
      </c>
      <c r="C27" s="225">
        <v>5100</v>
      </c>
      <c r="D27" s="221"/>
      <c r="E27" s="222">
        <f>VLOOKUP(B27,'Фурнитура 18_06_25'!$A$4:$B$87,2,0)</f>
        <v>5100</v>
      </c>
    </row>
    <row r="28" spans="1:5" x14ac:dyDescent="0.2">
      <c r="A28" s="207" t="s">
        <v>719</v>
      </c>
      <c r="B28" s="224" t="s">
        <v>508</v>
      </c>
      <c r="C28" s="225">
        <v>6660</v>
      </c>
      <c r="D28" s="221"/>
      <c r="E28" s="222">
        <f>VLOOKUP(B28,'Фурнитура 18_06_25'!$A$4:$B$87,2,0)</f>
        <v>6660</v>
      </c>
    </row>
    <row r="29" spans="1:5" x14ac:dyDescent="0.2">
      <c r="B29" s="223" t="s">
        <v>359</v>
      </c>
      <c r="C29" s="221">
        <v>5520</v>
      </c>
      <c r="D29" s="221">
        <v>4390</v>
      </c>
      <c r="E29" s="222">
        <f>VLOOKUP(B29,'Фурнитура 18_06_25'!$A$4:$B$87,2,0)</f>
        <v>5520</v>
      </c>
    </row>
    <row r="30" spans="1:5" x14ac:dyDescent="0.2">
      <c r="B30" s="223" t="s">
        <v>319</v>
      </c>
      <c r="C30" s="221">
        <v>480</v>
      </c>
      <c r="D30" s="221">
        <v>440</v>
      </c>
      <c r="E30" s="222">
        <f>VLOOKUP(B30,'Фурнитура 18_06_25'!$A$4:$B$87,2,0)</f>
        <v>480</v>
      </c>
    </row>
    <row r="31" spans="1:5" x14ac:dyDescent="0.2">
      <c r="A31" s="9" t="s">
        <v>360</v>
      </c>
      <c r="B31" s="223" t="s">
        <v>317</v>
      </c>
      <c r="C31" s="221">
        <v>950</v>
      </c>
      <c r="D31" s="221">
        <v>870</v>
      </c>
      <c r="E31" s="222">
        <f>VLOOKUP(B31,'Фурнитура 18_06_25'!$A$4:$B$87,2,0)</f>
        <v>950</v>
      </c>
    </row>
    <row r="32" spans="1:5" x14ac:dyDescent="0.2">
      <c r="B32" s="223" t="s">
        <v>313</v>
      </c>
      <c r="C32" s="221">
        <v>370</v>
      </c>
      <c r="D32" s="221">
        <v>340</v>
      </c>
      <c r="E32" s="222">
        <f>VLOOKUP(B32,'Фурнитура 18_06_25'!$A$4:$B$87,2,0)</f>
        <v>370</v>
      </c>
    </row>
    <row r="33" spans="1:5" x14ac:dyDescent="0.2">
      <c r="B33" s="223" t="s">
        <v>314</v>
      </c>
      <c r="C33" s="221">
        <v>170</v>
      </c>
      <c r="D33" s="221">
        <v>160</v>
      </c>
      <c r="E33" s="222">
        <f>VLOOKUP(B33,'Фурнитура 18_06_25'!$A$4:$B$87,2,0)</f>
        <v>170</v>
      </c>
    </row>
    <row r="34" spans="1:5" x14ac:dyDescent="0.2">
      <c r="A34" s="9" t="s">
        <v>361</v>
      </c>
      <c r="B34" s="223" t="s">
        <v>346</v>
      </c>
      <c r="C34" s="221">
        <v>5040</v>
      </c>
      <c r="D34" s="221">
        <v>4660</v>
      </c>
      <c r="E34" s="222">
        <f>VLOOKUP(B34,'Фурнитура 18_06_25'!$A$4:$B$87,2,0)</f>
        <v>5040</v>
      </c>
    </row>
    <row r="35" spans="1:5" x14ac:dyDescent="0.2">
      <c r="B35" s="223" t="s">
        <v>315</v>
      </c>
      <c r="C35" s="221">
        <v>4140</v>
      </c>
      <c r="D35" s="221">
        <v>3820</v>
      </c>
      <c r="E35" s="222">
        <f>VLOOKUP(B35,'Фурнитура 18_06_25'!$A$4:$B$87,2,0)</f>
        <v>4140</v>
      </c>
    </row>
    <row r="36" spans="1:5" ht="12.75" x14ac:dyDescent="0.2">
      <c r="B36" s="226" t="s">
        <v>316</v>
      </c>
      <c r="C36" s="221">
        <v>6440</v>
      </c>
      <c r="D36" s="221"/>
      <c r="E36" s="222" t="e">
        <f>VLOOKUP(B36,'Фурнитура 18_06_25'!$A$4:$B$87,2,0)</f>
        <v>#N/A</v>
      </c>
    </row>
    <row r="37" spans="1:5" ht="12.75" x14ac:dyDescent="0.2">
      <c r="B37" s="226" t="s">
        <v>318</v>
      </c>
      <c r="C37" s="221">
        <v>7970</v>
      </c>
      <c r="D37" s="221"/>
      <c r="E37" s="222" t="e">
        <f>VLOOKUP(B37,'Фурнитура 18_06_25'!$A$4:$B$87,2,0)</f>
        <v>#N/A</v>
      </c>
    </row>
    <row r="38" spans="1:5" x14ac:dyDescent="0.2">
      <c r="B38" s="223" t="s">
        <v>338</v>
      </c>
      <c r="C38" s="221">
        <v>4920</v>
      </c>
      <c r="D38" s="221">
        <v>2820</v>
      </c>
      <c r="E38" s="222">
        <f>VLOOKUP(B38,'Фурнитура 18_06_25'!$A$4:$B$87,2,0)</f>
        <v>4920</v>
      </c>
    </row>
    <row r="39" spans="1:5" x14ac:dyDescent="0.2">
      <c r="B39" s="223" t="s">
        <v>339</v>
      </c>
      <c r="C39" s="221">
        <v>5530</v>
      </c>
      <c r="D39" s="221">
        <v>3170</v>
      </c>
      <c r="E39" s="222">
        <f>VLOOKUP(B39,'Фурнитура 18_06_25'!$A$4:$B$87,2,0)</f>
        <v>5530</v>
      </c>
    </row>
    <row r="40" spans="1:5" x14ac:dyDescent="0.2">
      <c r="B40" s="223" t="s">
        <v>340</v>
      </c>
      <c r="C40" s="221">
        <v>6130</v>
      </c>
      <c r="D40" s="221">
        <v>4780</v>
      </c>
      <c r="E40" s="222">
        <f>VLOOKUP(B40,'Фурнитура 18_06_25'!$A$4:$B$87,2,0)</f>
        <v>6130</v>
      </c>
    </row>
    <row r="41" spans="1:5" ht="15" x14ac:dyDescent="0.25">
      <c r="B41" s="220" t="s">
        <v>1074</v>
      </c>
      <c r="C41" s="221">
        <v>1600</v>
      </c>
      <c r="D41" s="221">
        <v>5280</v>
      </c>
      <c r="E41" s="222">
        <f>VLOOKUP(B41,'Фурнитура 18_06_25'!$A$4:$B$87,2,0)</f>
        <v>1600</v>
      </c>
    </row>
    <row r="42" spans="1:5" ht="15" x14ac:dyDescent="0.25">
      <c r="B42" s="220" t="s">
        <v>1070</v>
      </c>
      <c r="C42" s="221">
        <v>6330</v>
      </c>
      <c r="D42" s="221">
        <v>5850</v>
      </c>
      <c r="E42" s="222">
        <f>VLOOKUP(B42,'Фурнитура 18_06_25'!$A$4:$B$87,2,0)</f>
        <v>6330</v>
      </c>
    </row>
    <row r="43" spans="1:5" ht="15" x14ac:dyDescent="0.25">
      <c r="B43" s="220" t="s">
        <v>1071</v>
      </c>
      <c r="C43" s="221">
        <v>7270</v>
      </c>
      <c r="D43" s="221">
        <v>6720</v>
      </c>
      <c r="E43" s="222">
        <f>VLOOKUP(B43,'Фурнитура 18_06_25'!$A$4:$B$87,2,0)</f>
        <v>7270</v>
      </c>
    </row>
    <row r="44" spans="1:5" ht="15" x14ac:dyDescent="0.25">
      <c r="B44" s="220" t="s">
        <v>1072</v>
      </c>
      <c r="C44" s="221">
        <v>7810</v>
      </c>
      <c r="D44" s="221">
        <v>7220</v>
      </c>
      <c r="E44" s="222">
        <f>VLOOKUP(B44,'Фурнитура 18_06_25'!$A$4:$B$87,2,0)</f>
        <v>7810</v>
      </c>
    </row>
    <row r="45" spans="1:5" ht="12" customHeight="1" x14ac:dyDescent="0.2">
      <c r="B45" s="223" t="s">
        <v>726</v>
      </c>
      <c r="C45" s="227">
        <v>8790</v>
      </c>
      <c r="D45" s="221"/>
      <c r="E45" s="222">
        <f>VLOOKUP(B45,'Фурнитура 18_06_25'!$A$4:$B$87,2,0)</f>
        <v>8790</v>
      </c>
    </row>
    <row r="46" spans="1:5" x14ac:dyDescent="0.2">
      <c r="B46" s="223" t="s">
        <v>363</v>
      </c>
      <c r="C46" s="221">
        <v>11560</v>
      </c>
      <c r="D46" s="221">
        <v>10690</v>
      </c>
      <c r="E46" s="222">
        <f>VLOOKUP(B46,'Фурнитура 18_06_25'!$A$4:$B$87,2,0)</f>
        <v>11560</v>
      </c>
    </row>
    <row r="47" spans="1:5" x14ac:dyDescent="0.2">
      <c r="B47" s="223" t="s">
        <v>303</v>
      </c>
      <c r="C47" s="221">
        <v>11370</v>
      </c>
      <c r="D47" s="221">
        <v>10520</v>
      </c>
      <c r="E47" s="222">
        <f>VLOOKUP(B47,'Фурнитура 18_06_25'!$A$4:$B$87,2,0)</f>
        <v>11370</v>
      </c>
    </row>
    <row r="48" spans="1:5" x14ac:dyDescent="0.2">
      <c r="B48" s="223" t="s">
        <v>304</v>
      </c>
      <c r="C48" s="225">
        <v>10520</v>
      </c>
      <c r="D48" s="221">
        <v>10520</v>
      </c>
      <c r="E48" s="222" t="e">
        <f>VLOOKUP(B48,'Фурнитура 18_06_25'!$A$4:$B$87,2,0)</f>
        <v>#N/A</v>
      </c>
    </row>
    <row r="49" spans="1:5" x14ac:dyDescent="0.2">
      <c r="B49" s="223" t="s">
        <v>341</v>
      </c>
      <c r="C49" s="221">
        <v>1000</v>
      </c>
      <c r="D49" s="221">
        <v>1000</v>
      </c>
      <c r="E49" s="222">
        <f>VLOOKUP(B49,'Фурнитура 18_06_25'!$A$4:$B$87,2,0)</f>
        <v>1000</v>
      </c>
    </row>
    <row r="50" spans="1:5" x14ac:dyDescent="0.2">
      <c r="B50" s="223" t="s">
        <v>342</v>
      </c>
      <c r="C50" s="221">
        <v>1000</v>
      </c>
      <c r="D50" s="221">
        <v>1000</v>
      </c>
      <c r="E50" s="222">
        <f>VLOOKUP(B50,'Фурнитура 18_06_25'!$A$4:$B$87,2,0)</f>
        <v>1000</v>
      </c>
    </row>
    <row r="51" spans="1:5" x14ac:dyDescent="0.2">
      <c r="B51" s="223" t="s">
        <v>364</v>
      </c>
      <c r="C51" s="221">
        <v>1000</v>
      </c>
      <c r="D51" s="221">
        <v>1000</v>
      </c>
      <c r="E51" s="222">
        <f>VLOOKUP(B51,'Фурнитура 18_06_25'!$A$4:$B$87,2,0)</f>
        <v>1000</v>
      </c>
    </row>
    <row r="52" spans="1:5" ht="24.75" thickBot="1" x14ac:dyDescent="0.25">
      <c r="B52" s="215" t="s">
        <v>1141</v>
      </c>
      <c r="C52" s="206">
        <v>1200</v>
      </c>
      <c r="D52" s="159"/>
      <c r="E52" s="7" t="e">
        <f>VLOOKUP(B52,'Фурнитура 18_06_25'!$A$4:$B$87,2,0)</f>
        <v>#N/A</v>
      </c>
    </row>
    <row r="53" spans="1:5" x14ac:dyDescent="0.2">
      <c r="A53" s="9" t="s">
        <v>365</v>
      </c>
      <c r="B53" s="216" t="s">
        <v>1062</v>
      </c>
      <c r="C53" s="11">
        <v>820</v>
      </c>
      <c r="D53" s="11">
        <v>760</v>
      </c>
      <c r="E53" s="7">
        <f>VLOOKUP(B53,'Фурнитура 18_06_25'!$A$4:$B$87,2,0)</f>
        <v>820</v>
      </c>
    </row>
    <row r="54" spans="1:5" x14ac:dyDescent="0.2">
      <c r="A54" s="9" t="s">
        <v>358</v>
      </c>
      <c r="B54" s="217" t="s">
        <v>321</v>
      </c>
      <c r="C54" s="12">
        <v>1560</v>
      </c>
      <c r="D54" s="12">
        <v>1440</v>
      </c>
      <c r="E54" s="7">
        <f>VLOOKUP(B54,'Фурнитура 18_06_25'!$A$4:$B$87,2,0)</f>
        <v>1560</v>
      </c>
    </row>
    <row r="55" spans="1:5" ht="12.75" thickBot="1" x14ac:dyDescent="0.25">
      <c r="A55" s="9" t="s">
        <v>366</v>
      </c>
      <c r="B55" s="218" t="s">
        <v>312</v>
      </c>
      <c r="C55" s="13">
        <v>190</v>
      </c>
      <c r="D55" s="13">
        <v>180</v>
      </c>
      <c r="E55" s="7">
        <f>VLOOKUP(B55,'Фурнитура 18_06_25'!$A$4:$B$87,2,0)</f>
        <v>190</v>
      </c>
    </row>
    <row r="56" spans="1:5" x14ac:dyDescent="0.2">
      <c r="A56" s="9" t="s">
        <v>365</v>
      </c>
      <c r="B56" s="216" t="s">
        <v>324</v>
      </c>
      <c r="C56" s="11">
        <v>1300</v>
      </c>
      <c r="D56" s="11">
        <v>1200</v>
      </c>
      <c r="E56" s="7">
        <f>VLOOKUP(B56,'Фурнитура 18_06_25'!$A$4:$B$87,2,0)</f>
        <v>1300</v>
      </c>
    </row>
    <row r="57" spans="1:5" x14ac:dyDescent="0.2">
      <c r="A57" s="9" t="s">
        <v>358</v>
      </c>
      <c r="B57" s="217" t="s">
        <v>367</v>
      </c>
      <c r="C57" s="12">
        <v>1300</v>
      </c>
      <c r="D57" s="12">
        <v>1410</v>
      </c>
      <c r="E57" s="7">
        <f>VLOOKUP(B57,'Фурнитура 18_06_25'!$A$4:$B$87,2,0)</f>
        <v>1300</v>
      </c>
    </row>
    <row r="58" spans="1:5" ht="12" customHeight="1" x14ac:dyDescent="0.2">
      <c r="A58" s="9" t="s">
        <v>366</v>
      </c>
      <c r="B58" s="217" t="s">
        <v>308</v>
      </c>
      <c r="C58" s="12">
        <v>480</v>
      </c>
      <c r="D58" s="12">
        <v>440</v>
      </c>
      <c r="E58" s="7">
        <f>VLOOKUP(B58,'Фурнитура 18_06_25'!$A$4:$B$87,2,0)</f>
        <v>480</v>
      </c>
    </row>
    <row r="59" spans="1:5" ht="12.75" thickBot="1" x14ac:dyDescent="0.25">
      <c r="A59" s="9" t="s">
        <v>366</v>
      </c>
      <c r="B59" s="218" t="s">
        <v>323</v>
      </c>
      <c r="C59" s="13">
        <v>200</v>
      </c>
      <c r="D59" s="13">
        <v>180</v>
      </c>
      <c r="E59" s="7">
        <f>VLOOKUP(B59,'Фурнитура 18_06_25'!$A$4:$B$87,2,0)</f>
        <v>200</v>
      </c>
    </row>
    <row r="60" spans="1:5" x14ac:dyDescent="0.2">
      <c r="A60" s="9" t="s">
        <v>365</v>
      </c>
      <c r="B60" s="216" t="s">
        <v>368</v>
      </c>
      <c r="C60" s="11">
        <v>450</v>
      </c>
      <c r="D60" s="11">
        <v>420</v>
      </c>
      <c r="E60" s="7">
        <f>VLOOKUP(B60,'Фурнитура 18_06_25'!$A$4:$B$87,2,0)</f>
        <v>450</v>
      </c>
    </row>
    <row r="61" spans="1:5" x14ac:dyDescent="0.2">
      <c r="A61" s="9" t="s">
        <v>358</v>
      </c>
      <c r="B61" s="217" t="s">
        <v>369</v>
      </c>
      <c r="C61" s="14">
        <v>660</v>
      </c>
      <c r="D61" s="14">
        <v>610</v>
      </c>
      <c r="E61" s="7">
        <f>VLOOKUP(B61,'Фурнитура 18_06_25'!$A$4:$B$87,2,0)</f>
        <v>620</v>
      </c>
    </row>
    <row r="62" spans="1:5" x14ac:dyDescent="0.2">
      <c r="A62" s="9" t="s">
        <v>358</v>
      </c>
      <c r="B62" s="217" t="s">
        <v>370</v>
      </c>
      <c r="C62" s="15">
        <v>620</v>
      </c>
      <c r="D62" s="14">
        <v>340</v>
      </c>
      <c r="E62" s="7">
        <f>VLOOKUP(B62,'Фурнитура 18_06_25'!$A$4:$B$87,2,0)</f>
        <v>620</v>
      </c>
    </row>
    <row r="63" spans="1:5" ht="12" customHeight="1" thickBot="1" x14ac:dyDescent="0.25">
      <c r="A63" s="9" t="s">
        <v>366</v>
      </c>
      <c r="B63" s="218" t="s">
        <v>302</v>
      </c>
      <c r="C63" s="13">
        <v>130</v>
      </c>
      <c r="D63" s="13">
        <v>120</v>
      </c>
      <c r="E63" s="7">
        <f>VLOOKUP(B63,'Фурнитура 18_06_25'!$A$4:$B$87,2,0)</f>
        <v>130</v>
      </c>
    </row>
    <row r="64" spans="1:5" x14ac:dyDescent="0.2">
      <c r="A64" s="9" t="s">
        <v>365</v>
      </c>
      <c r="B64" s="216" t="s">
        <v>371</v>
      </c>
      <c r="C64" s="16">
        <v>6080</v>
      </c>
      <c r="D64" s="11">
        <v>3470</v>
      </c>
      <c r="E64" s="7">
        <f>VLOOKUP(B64,'Фурнитура 18_06_25'!$A$4:$B$87,2,0)</f>
        <v>3740</v>
      </c>
    </row>
    <row r="65" spans="1:5" x14ac:dyDescent="0.2">
      <c r="A65" s="9" t="s">
        <v>365</v>
      </c>
      <c r="B65" s="217" t="s">
        <v>372</v>
      </c>
      <c r="C65" s="17">
        <v>6080</v>
      </c>
      <c r="D65" s="12">
        <v>3540</v>
      </c>
      <c r="E65" s="7">
        <f>VLOOKUP(B65,'Фурнитура 18_06_25'!$A$4:$B$87,2,0)</f>
        <v>3740</v>
      </c>
    </row>
    <row r="66" spans="1:5" ht="15" x14ac:dyDescent="0.25">
      <c r="A66" s="9" t="s">
        <v>365</v>
      </c>
      <c r="B66" s="193" t="s">
        <v>1064</v>
      </c>
      <c r="C66" s="12">
        <v>5160</v>
      </c>
      <c r="D66" s="12">
        <v>4770</v>
      </c>
      <c r="E66" s="7">
        <f>VLOOKUP(B66,'Фурнитура 18_06_25'!$A$4:$B$87,2,0)</f>
        <v>5160</v>
      </c>
    </row>
    <row r="67" spans="1:5" x14ac:dyDescent="0.2">
      <c r="A67" s="9" t="s">
        <v>358</v>
      </c>
      <c r="B67" s="217" t="s">
        <v>348</v>
      </c>
      <c r="C67" s="12">
        <v>6080</v>
      </c>
      <c r="D67" s="12">
        <v>3460</v>
      </c>
      <c r="E67" s="7">
        <f>VLOOKUP(B67,'Фурнитура 18_06_25'!$A$4:$B$87,2,0)</f>
        <v>6080</v>
      </c>
    </row>
    <row r="68" spans="1:5" ht="12" customHeight="1" x14ac:dyDescent="0.2">
      <c r="A68" s="9" t="s">
        <v>358</v>
      </c>
      <c r="B68" s="217" t="s">
        <v>373</v>
      </c>
      <c r="C68" s="12">
        <v>6940</v>
      </c>
      <c r="D68" s="12">
        <v>6410</v>
      </c>
      <c r="E68" s="7">
        <f>VLOOKUP(B68,'Фурнитура 18_06_25'!$A$4:$B$87,2,0)</f>
        <v>6940</v>
      </c>
    </row>
    <row r="69" spans="1:5" ht="12" customHeight="1" x14ac:dyDescent="0.25">
      <c r="A69" s="9" t="s">
        <v>366</v>
      </c>
      <c r="B69" s="193" t="s">
        <v>1058</v>
      </c>
      <c r="C69" s="12">
        <v>13990</v>
      </c>
      <c r="D69" s="12">
        <v>12930</v>
      </c>
      <c r="E69" s="7">
        <f>VLOOKUP(B69,'Фурнитура 18_06_25'!$A$4:$B$87,2,0)</f>
        <v>13990</v>
      </c>
    </row>
    <row r="70" spans="1:5" ht="12.75" thickBot="1" x14ac:dyDescent="0.25">
      <c r="A70" s="9" t="s">
        <v>366</v>
      </c>
      <c r="B70" s="218" t="s">
        <v>332</v>
      </c>
      <c r="C70" s="13">
        <v>2290</v>
      </c>
      <c r="D70" s="13">
        <v>2120</v>
      </c>
      <c r="E70" s="7">
        <f>VLOOKUP(B70,'Фурнитура 18_06_25'!$A$4:$B$87,2,0)</f>
        <v>2290</v>
      </c>
    </row>
    <row r="71" spans="1:5" x14ac:dyDescent="0.2">
      <c r="B71" s="240" t="s">
        <v>374</v>
      </c>
      <c r="C71" s="241">
        <v>590</v>
      </c>
      <c r="D71" s="241">
        <v>550</v>
      </c>
      <c r="E71" s="7">
        <f>VLOOKUP(B71,'Фурнитура 18_06_25'!$A$4:$B$87,2,0)</f>
        <v>590</v>
      </c>
    </row>
    <row r="72" spans="1:5" x14ac:dyDescent="0.2">
      <c r="B72" s="240" t="s">
        <v>327</v>
      </c>
      <c r="C72" s="241">
        <v>210</v>
      </c>
      <c r="D72" s="241">
        <v>190</v>
      </c>
      <c r="E72" s="7">
        <f>VLOOKUP(B72,'Фурнитура 18_06_25'!$A$4:$B$87,2,0)</f>
        <v>210</v>
      </c>
    </row>
    <row r="73" spans="1:5" x14ac:dyDescent="0.2">
      <c r="B73" s="240" t="s">
        <v>1073</v>
      </c>
      <c r="C73" s="241">
        <v>30</v>
      </c>
      <c r="D73" s="241">
        <v>20</v>
      </c>
      <c r="E73" s="7">
        <f>VLOOKUP(B73,'Фурнитура 18_06_25'!$A$4:$B$87,2,0)</f>
        <v>30</v>
      </c>
    </row>
    <row r="74" spans="1:5" ht="12.75" customHeight="1" x14ac:dyDescent="0.2">
      <c r="B74" s="240" t="s">
        <v>375</v>
      </c>
      <c r="C74" s="241">
        <v>0.01</v>
      </c>
      <c r="D74" s="241">
        <v>20</v>
      </c>
      <c r="E74" s="7">
        <f>VLOOKUP(B74,'Фурнитура 18_06_25'!$A$4:$B$87,2,0)</f>
        <v>0.01</v>
      </c>
    </row>
    <row r="75" spans="1:5" x14ac:dyDescent="0.2">
      <c r="B75" s="240" t="s">
        <v>376</v>
      </c>
      <c r="C75" s="241">
        <v>0.01</v>
      </c>
      <c r="D75" s="241">
        <v>20</v>
      </c>
      <c r="E75" s="7">
        <f>VLOOKUP(B75,'Фурнитура 18_06_25'!$A$4:$B$87,2,0)</f>
        <v>0.01</v>
      </c>
    </row>
    <row r="76" spans="1:5" x14ac:dyDescent="0.2">
      <c r="B76" s="240" t="s">
        <v>377</v>
      </c>
      <c r="C76" s="241">
        <v>0.01</v>
      </c>
      <c r="D76" s="241">
        <v>30</v>
      </c>
      <c r="E76" s="7">
        <f>VLOOKUP(B76,'Фурнитура 18_06_25'!$A$4:$B$87,2,0)</f>
        <v>0.01</v>
      </c>
    </row>
    <row r="77" spans="1:5" x14ac:dyDescent="0.2">
      <c r="B77" s="240" t="s">
        <v>378</v>
      </c>
      <c r="C77" s="241">
        <v>0.01</v>
      </c>
      <c r="D77" s="241">
        <v>30</v>
      </c>
      <c r="E77" s="7">
        <f>VLOOKUP(B77,'Фурнитура 18_06_25'!$A$4:$B$87,2,0)</f>
        <v>0.01</v>
      </c>
    </row>
    <row r="78" spans="1:5" x14ac:dyDescent="0.2">
      <c r="B78" s="240" t="s">
        <v>309</v>
      </c>
      <c r="C78" s="241">
        <v>30</v>
      </c>
      <c r="D78" s="241">
        <v>30</v>
      </c>
      <c r="E78" s="7">
        <f>VLOOKUP(B78,'Фурнитура 18_06_25'!$A$4:$B$87,2,0)</f>
        <v>30</v>
      </c>
    </row>
    <row r="79" spans="1:5" x14ac:dyDescent="0.2">
      <c r="B79" s="240" t="s">
        <v>343</v>
      </c>
      <c r="C79" s="241">
        <v>40</v>
      </c>
      <c r="D79" s="241">
        <v>40</v>
      </c>
      <c r="E79" s="7">
        <f>VLOOKUP(B79,'Фурнитура 18_06_25'!$A$4:$B$87,2,0)</f>
        <v>40</v>
      </c>
    </row>
    <row r="80" spans="1:5" x14ac:dyDescent="0.2">
      <c r="B80" s="214" t="s">
        <v>325</v>
      </c>
      <c r="C80" s="10">
        <v>390</v>
      </c>
      <c r="D80" s="10">
        <v>360</v>
      </c>
      <c r="E80" s="7">
        <f>VLOOKUP(B80,'Фурнитура 18_06_25'!$A$4:$B$87,2,0)</f>
        <v>390</v>
      </c>
    </row>
    <row r="81" spans="2:5" x14ac:dyDescent="0.2">
      <c r="B81" s="212" t="s">
        <v>379</v>
      </c>
      <c r="C81" s="8">
        <v>1110</v>
      </c>
      <c r="D81" s="8">
        <v>1030</v>
      </c>
      <c r="E81" s="7" t="e">
        <f>VLOOKUP(B81,'Фурнитура 18_06_25'!$A$4:$B$87,2,0)</f>
        <v>#N/A</v>
      </c>
    </row>
    <row r="82" spans="2:5" ht="12.75" x14ac:dyDescent="0.2">
      <c r="B82" s="213" t="s">
        <v>380</v>
      </c>
      <c r="C82" s="8">
        <v>8550</v>
      </c>
      <c r="D82" s="8">
        <v>7910</v>
      </c>
      <c r="E82" s="7" t="e">
        <f>VLOOKUP(B82,'Фурнитура 18_06_25'!$A$4:$B$87,2,0)</f>
        <v>#N/A</v>
      </c>
    </row>
    <row r="83" spans="2:5" ht="12.75" x14ac:dyDescent="0.2">
      <c r="B83" s="213" t="s">
        <v>381</v>
      </c>
      <c r="C83" s="8">
        <v>8200</v>
      </c>
      <c r="D83" s="8">
        <v>7580</v>
      </c>
      <c r="E83" s="7" t="e">
        <f>VLOOKUP(B83,'Фурнитура 18_06_25'!$A$4:$B$87,2,0)</f>
        <v>#N/A</v>
      </c>
    </row>
    <row r="84" spans="2:5" x14ac:dyDescent="0.2">
      <c r="B84" s="212" t="s">
        <v>305</v>
      </c>
      <c r="C84" s="8">
        <v>10</v>
      </c>
      <c r="D84" s="8">
        <v>10</v>
      </c>
      <c r="E84" s="7">
        <f>VLOOKUP(B84,'Фурнитура 18_06_25'!$A$4:$B$87,2,0)</f>
        <v>10</v>
      </c>
    </row>
    <row r="85" spans="2:5" x14ac:dyDescent="0.2">
      <c r="B85" s="212" t="s">
        <v>345</v>
      </c>
      <c r="C85" s="8">
        <v>290</v>
      </c>
      <c r="D85" s="8">
        <v>270</v>
      </c>
      <c r="E85" s="7">
        <f>VLOOKUP(B85,'Фурнитура 18_06_25'!$A$4:$B$87,2,0)</f>
        <v>290</v>
      </c>
    </row>
    <row r="86" spans="2:5" ht="12.75" x14ac:dyDescent="0.2">
      <c r="B86" s="213" t="s">
        <v>382</v>
      </c>
      <c r="C86" s="8">
        <v>550</v>
      </c>
      <c r="D86" s="8">
        <v>510</v>
      </c>
      <c r="E86" s="7" t="e">
        <f>VLOOKUP(B86,'Фурнитура 18_06_25'!$A$4:$B$87,2,0)</f>
        <v>#N/A</v>
      </c>
    </row>
    <row r="87" spans="2:5" ht="12.75" x14ac:dyDescent="0.2">
      <c r="B87" s="213" t="s">
        <v>383</v>
      </c>
      <c r="C87" s="8">
        <v>770</v>
      </c>
      <c r="D87" s="8">
        <v>710</v>
      </c>
      <c r="E87" s="7" t="e">
        <f>VLOOKUP(B87,'Фурнитура 18_06_25'!$A$4:$B$87,2,0)</f>
        <v>#N/A</v>
      </c>
    </row>
    <row r="88" spans="2:5" ht="12.75" x14ac:dyDescent="0.2">
      <c r="B88" s="213" t="s">
        <v>384</v>
      </c>
      <c r="C88" s="8">
        <v>300</v>
      </c>
      <c r="D88" s="8">
        <v>280</v>
      </c>
      <c r="E88" s="7" t="e">
        <f>VLOOKUP(B88,'Фурнитура 18_06_25'!$A$4:$B$87,2,0)</f>
        <v>#N/A</v>
      </c>
    </row>
    <row r="89" spans="2:5" ht="12.75" x14ac:dyDescent="0.2">
      <c r="B89" s="213" t="s">
        <v>385</v>
      </c>
      <c r="C89" s="8">
        <v>180.32</v>
      </c>
      <c r="D89" s="8">
        <v>180.32</v>
      </c>
      <c r="E89" s="7" t="e">
        <f>VLOOKUP(B89,'Фурнитура 18_06_25'!$A$4:$B$87,2,0)</f>
        <v>#N/A</v>
      </c>
    </row>
    <row r="90" spans="2:5" ht="12.75" x14ac:dyDescent="0.2">
      <c r="B90" s="213" t="s">
        <v>335</v>
      </c>
      <c r="C90" s="8">
        <v>20</v>
      </c>
      <c r="D90" s="8">
        <v>10</v>
      </c>
      <c r="E90" s="7" t="e">
        <f>VLOOKUP(B90,'Фурнитура 18_06_25'!$A$4:$B$87,2,0)</f>
        <v>#N/A</v>
      </c>
    </row>
    <row r="91" spans="2:5" x14ac:dyDescent="0.2">
      <c r="B91" s="219" t="s">
        <v>1117</v>
      </c>
      <c r="C91" s="210">
        <v>400</v>
      </c>
      <c r="D91" s="209"/>
      <c r="E91" s="7">
        <f>VLOOKUP(B91,'Фурнитура 18_06_25'!$A$4:$B$87,2,0)</f>
        <v>400</v>
      </c>
    </row>
  </sheetData>
  <sheetProtection algorithmName="SHA-512" hashValue="tr4Kqw8dinX8l5JXNyPu5wktP/bxV5/3+EGqZ8W3ML7umUgg5+26YJZ7wTtU/0ejvbpCWLUb0TnYnFeAi2+d3g==" saltValue="tUEIXyeXkhcvPmrM98+khg==" spinCount="100000" sheet="1" objects="1" scenarios="1"/>
  <mergeCells count="3">
    <mergeCell ref="C1:C2"/>
    <mergeCell ref="D1:D2"/>
    <mergeCell ref="B1:B2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A941-4146-467D-B3A9-42EF505AC3EA}">
  <sheetPr codeName="Лист9"/>
  <dimension ref="A1:B88"/>
  <sheetViews>
    <sheetView topLeftCell="A64" workbookViewId="0">
      <selection activeCell="A80" sqref="A80"/>
    </sheetView>
  </sheetViews>
  <sheetFormatPr defaultRowHeight="15" x14ac:dyDescent="0.25"/>
  <cols>
    <col min="1" max="1" width="65.5703125" bestFit="1" customWidth="1"/>
    <col min="2" max="2" width="29.140625" bestFit="1" customWidth="1"/>
  </cols>
  <sheetData>
    <row r="1" spans="1:2" x14ac:dyDescent="0.25">
      <c r="A1" s="192" t="s">
        <v>349</v>
      </c>
      <c r="B1" t="s">
        <v>1147</v>
      </c>
    </row>
    <row r="3" spans="1:2" x14ac:dyDescent="0.25">
      <c r="A3" s="192" t="s">
        <v>1123</v>
      </c>
      <c r="B3" t="s">
        <v>1124</v>
      </c>
    </row>
    <row r="4" spans="1:2" x14ac:dyDescent="0.25">
      <c r="A4" s="193" t="s">
        <v>359</v>
      </c>
      <c r="B4" s="194">
        <v>5520</v>
      </c>
    </row>
    <row r="5" spans="1:2" x14ac:dyDescent="0.25">
      <c r="A5" s="193" t="s">
        <v>317</v>
      </c>
      <c r="B5" s="194">
        <v>950</v>
      </c>
    </row>
    <row r="6" spans="1:2" x14ac:dyDescent="0.25">
      <c r="A6" s="193" t="s">
        <v>319</v>
      </c>
      <c r="B6" s="194">
        <v>480</v>
      </c>
    </row>
    <row r="7" spans="1:2" x14ac:dyDescent="0.25">
      <c r="A7" s="193" t="s">
        <v>313</v>
      </c>
      <c r="B7" s="194">
        <v>370</v>
      </c>
    </row>
    <row r="8" spans="1:2" x14ac:dyDescent="0.25">
      <c r="A8" s="193" t="s">
        <v>314</v>
      </c>
      <c r="B8" s="194">
        <v>170</v>
      </c>
    </row>
    <row r="9" spans="1:2" x14ac:dyDescent="0.25">
      <c r="A9" s="193" t="s">
        <v>327</v>
      </c>
      <c r="B9" s="194">
        <v>210</v>
      </c>
    </row>
    <row r="10" spans="1:2" x14ac:dyDescent="0.25">
      <c r="A10" s="193" t="s">
        <v>1068</v>
      </c>
      <c r="B10" s="194">
        <v>20</v>
      </c>
    </row>
    <row r="11" spans="1:2" x14ac:dyDescent="0.25">
      <c r="A11" s="193" t="s">
        <v>309</v>
      </c>
      <c r="B11" s="194">
        <v>30</v>
      </c>
    </row>
    <row r="12" spans="1:2" x14ac:dyDescent="0.25">
      <c r="A12" s="193" t="s">
        <v>343</v>
      </c>
      <c r="B12" s="194">
        <v>40</v>
      </c>
    </row>
    <row r="13" spans="1:2" x14ac:dyDescent="0.25">
      <c r="A13" s="193" t="s">
        <v>1065</v>
      </c>
      <c r="B13" s="194">
        <v>0.01</v>
      </c>
    </row>
    <row r="14" spans="1:2" x14ac:dyDescent="0.25">
      <c r="A14" s="193" t="s">
        <v>1067</v>
      </c>
      <c r="B14" s="194">
        <v>0.01</v>
      </c>
    </row>
    <row r="15" spans="1:2" x14ac:dyDescent="0.25">
      <c r="A15" s="193" t="s">
        <v>1066</v>
      </c>
      <c r="B15" s="194">
        <v>0.01</v>
      </c>
    </row>
    <row r="16" spans="1:2" x14ac:dyDescent="0.25">
      <c r="A16" s="193" t="s">
        <v>1073</v>
      </c>
      <c r="B16" s="194">
        <v>30</v>
      </c>
    </row>
    <row r="17" spans="1:2" x14ac:dyDescent="0.25">
      <c r="A17" s="193" t="s">
        <v>369</v>
      </c>
      <c r="B17" s="194">
        <v>620</v>
      </c>
    </row>
    <row r="18" spans="1:2" x14ac:dyDescent="0.25">
      <c r="A18" s="193" t="s">
        <v>1075</v>
      </c>
      <c r="B18" s="194">
        <v>620</v>
      </c>
    </row>
    <row r="19" spans="1:2" x14ac:dyDescent="0.25">
      <c r="A19" s="193" t="s">
        <v>321</v>
      </c>
      <c r="B19" s="194">
        <v>1560</v>
      </c>
    </row>
    <row r="20" spans="1:2" x14ac:dyDescent="0.25">
      <c r="A20" s="193" t="s">
        <v>367</v>
      </c>
      <c r="B20" s="194">
        <v>1300</v>
      </c>
    </row>
    <row r="21" spans="1:2" x14ac:dyDescent="0.25">
      <c r="A21" s="193" t="s">
        <v>302</v>
      </c>
      <c r="B21" s="194">
        <v>130</v>
      </c>
    </row>
    <row r="22" spans="1:2" x14ac:dyDescent="0.25">
      <c r="A22" s="193" t="s">
        <v>312</v>
      </c>
      <c r="B22" s="194">
        <v>190</v>
      </c>
    </row>
    <row r="23" spans="1:2" x14ac:dyDescent="0.25">
      <c r="A23" s="193" t="s">
        <v>323</v>
      </c>
      <c r="B23" s="194">
        <v>200</v>
      </c>
    </row>
    <row r="24" spans="1:2" x14ac:dyDescent="0.25">
      <c r="A24" s="193" t="s">
        <v>1058</v>
      </c>
      <c r="B24" s="194">
        <v>13990</v>
      </c>
    </row>
    <row r="25" spans="1:2" x14ac:dyDescent="0.25">
      <c r="A25" s="193" t="s">
        <v>308</v>
      </c>
      <c r="B25" s="194">
        <v>480</v>
      </c>
    </row>
    <row r="26" spans="1:2" x14ac:dyDescent="0.25">
      <c r="A26" s="193" t="s">
        <v>332</v>
      </c>
      <c r="B26" s="194">
        <v>2290</v>
      </c>
    </row>
    <row r="27" spans="1:2" x14ac:dyDescent="0.25">
      <c r="A27" s="193" t="s">
        <v>348</v>
      </c>
      <c r="B27" s="194">
        <v>6080</v>
      </c>
    </row>
    <row r="28" spans="1:2" x14ac:dyDescent="0.25">
      <c r="A28" s="193" t="s">
        <v>373</v>
      </c>
      <c r="B28" s="194">
        <v>6940</v>
      </c>
    </row>
    <row r="29" spans="1:2" x14ac:dyDescent="0.25">
      <c r="A29" s="193" t="s">
        <v>1074</v>
      </c>
      <c r="B29" s="194">
        <v>1600</v>
      </c>
    </row>
    <row r="30" spans="1:2" x14ac:dyDescent="0.25">
      <c r="A30" s="193" t="s">
        <v>1070</v>
      </c>
      <c r="B30" s="194">
        <v>6330</v>
      </c>
    </row>
    <row r="31" spans="1:2" x14ac:dyDescent="0.25">
      <c r="A31" s="193" t="s">
        <v>1071</v>
      </c>
      <c r="B31" s="194">
        <v>7270</v>
      </c>
    </row>
    <row r="32" spans="1:2" x14ac:dyDescent="0.25">
      <c r="A32" s="193" t="s">
        <v>1072</v>
      </c>
      <c r="B32" s="194">
        <v>7810</v>
      </c>
    </row>
    <row r="33" spans="1:2" x14ac:dyDescent="0.25">
      <c r="A33" s="193" t="s">
        <v>363</v>
      </c>
      <c r="B33" s="194">
        <v>11560</v>
      </c>
    </row>
    <row r="34" spans="1:2" x14ac:dyDescent="0.25">
      <c r="A34" s="193" t="s">
        <v>303</v>
      </c>
      <c r="B34" s="194">
        <v>11370</v>
      </c>
    </row>
    <row r="35" spans="1:2" x14ac:dyDescent="0.25">
      <c r="A35" s="193" t="s">
        <v>508</v>
      </c>
      <c r="B35" s="194">
        <v>6660</v>
      </c>
    </row>
    <row r="36" spans="1:2" x14ac:dyDescent="0.25">
      <c r="A36" s="193" t="s">
        <v>509</v>
      </c>
      <c r="B36" s="194">
        <v>5100</v>
      </c>
    </row>
    <row r="37" spans="1:2" x14ac:dyDescent="0.25">
      <c r="A37" s="193" t="s">
        <v>1077</v>
      </c>
      <c r="B37" s="194">
        <v>700</v>
      </c>
    </row>
    <row r="38" spans="1:2" x14ac:dyDescent="0.25">
      <c r="A38" s="193" t="s">
        <v>726</v>
      </c>
      <c r="B38" s="194">
        <v>8790</v>
      </c>
    </row>
    <row r="39" spans="1:2" x14ac:dyDescent="0.25">
      <c r="A39" s="193" t="s">
        <v>325</v>
      </c>
      <c r="B39" s="194">
        <v>390</v>
      </c>
    </row>
    <row r="40" spans="1:2" x14ac:dyDescent="0.25">
      <c r="A40" s="193" t="s">
        <v>1064</v>
      </c>
      <c r="B40" s="194">
        <v>5160</v>
      </c>
    </row>
    <row r="41" spans="1:2" x14ac:dyDescent="0.25">
      <c r="A41" s="193" t="s">
        <v>371</v>
      </c>
      <c r="B41" s="194">
        <v>3740</v>
      </c>
    </row>
    <row r="42" spans="1:2" x14ac:dyDescent="0.25">
      <c r="A42" s="193" t="s">
        <v>372</v>
      </c>
      <c r="B42" s="194">
        <v>3740</v>
      </c>
    </row>
    <row r="43" spans="1:2" x14ac:dyDescent="0.25">
      <c r="A43" s="193" t="s">
        <v>1085</v>
      </c>
      <c r="B43" s="194">
        <v>1690</v>
      </c>
    </row>
    <row r="44" spans="1:2" x14ac:dyDescent="0.25">
      <c r="A44" s="193" t="s">
        <v>345</v>
      </c>
      <c r="B44" s="194">
        <v>290</v>
      </c>
    </row>
    <row r="45" spans="1:2" x14ac:dyDescent="0.25">
      <c r="A45" s="193" t="s">
        <v>375</v>
      </c>
      <c r="B45" s="194">
        <v>0.01</v>
      </c>
    </row>
    <row r="46" spans="1:2" x14ac:dyDescent="0.25">
      <c r="A46" s="193" t="s">
        <v>376</v>
      </c>
      <c r="B46" s="194">
        <v>0.01</v>
      </c>
    </row>
    <row r="47" spans="1:2" x14ac:dyDescent="0.25">
      <c r="A47" s="193" t="s">
        <v>377</v>
      </c>
      <c r="B47" s="194">
        <v>0.01</v>
      </c>
    </row>
    <row r="48" spans="1:2" x14ac:dyDescent="0.25">
      <c r="A48" s="193" t="s">
        <v>378</v>
      </c>
      <c r="B48" s="194">
        <v>0.01</v>
      </c>
    </row>
    <row r="49" spans="1:2" x14ac:dyDescent="0.25">
      <c r="A49" s="193" t="s">
        <v>305</v>
      </c>
      <c r="B49" s="194">
        <v>10</v>
      </c>
    </row>
    <row r="50" spans="1:2" x14ac:dyDescent="0.25">
      <c r="A50" s="193" t="s">
        <v>1059</v>
      </c>
      <c r="B50" s="194">
        <v>550</v>
      </c>
    </row>
    <row r="51" spans="1:2" x14ac:dyDescent="0.25">
      <c r="A51" s="193" t="s">
        <v>344</v>
      </c>
      <c r="B51" s="194">
        <v>850</v>
      </c>
    </row>
    <row r="52" spans="1:2" x14ac:dyDescent="0.25">
      <c r="A52" s="193" t="s">
        <v>320</v>
      </c>
      <c r="B52" s="194">
        <v>740</v>
      </c>
    </row>
    <row r="53" spans="1:2" x14ac:dyDescent="0.25">
      <c r="A53" s="193" t="s">
        <v>1060</v>
      </c>
      <c r="B53" s="194">
        <v>940</v>
      </c>
    </row>
    <row r="54" spans="1:2" x14ac:dyDescent="0.25">
      <c r="A54" s="193" t="s">
        <v>1061</v>
      </c>
      <c r="B54" s="194">
        <v>1130</v>
      </c>
    </row>
    <row r="55" spans="1:2" x14ac:dyDescent="0.25">
      <c r="A55" s="193" t="s">
        <v>357</v>
      </c>
      <c r="B55" s="194">
        <v>340</v>
      </c>
    </row>
    <row r="56" spans="1:2" x14ac:dyDescent="0.25">
      <c r="A56" s="193" t="s">
        <v>336</v>
      </c>
      <c r="B56" s="194">
        <v>760</v>
      </c>
    </row>
    <row r="57" spans="1:2" x14ac:dyDescent="0.25">
      <c r="A57" s="193" t="s">
        <v>326</v>
      </c>
      <c r="B57" s="194">
        <v>600</v>
      </c>
    </row>
    <row r="58" spans="1:2" x14ac:dyDescent="0.25">
      <c r="A58" s="193" t="s">
        <v>1083</v>
      </c>
      <c r="B58" s="194">
        <v>550</v>
      </c>
    </row>
    <row r="59" spans="1:2" x14ac:dyDescent="0.25">
      <c r="A59" s="193" t="s">
        <v>306</v>
      </c>
      <c r="B59" s="194">
        <v>460</v>
      </c>
    </row>
    <row r="60" spans="1:2" x14ac:dyDescent="0.25">
      <c r="A60" s="193" t="s">
        <v>354</v>
      </c>
      <c r="B60" s="194">
        <v>560</v>
      </c>
    </row>
    <row r="61" spans="1:2" x14ac:dyDescent="0.25">
      <c r="A61" s="193" t="s">
        <v>307</v>
      </c>
      <c r="B61" s="194">
        <v>810</v>
      </c>
    </row>
    <row r="62" spans="1:2" x14ac:dyDescent="0.25">
      <c r="A62" s="193" t="s">
        <v>355</v>
      </c>
      <c r="B62" s="194">
        <v>700</v>
      </c>
    </row>
    <row r="63" spans="1:2" x14ac:dyDescent="0.25">
      <c r="A63" s="193" t="s">
        <v>310</v>
      </c>
      <c r="B63" s="194">
        <v>750</v>
      </c>
    </row>
    <row r="64" spans="1:2" x14ac:dyDescent="0.25">
      <c r="A64" s="193" t="s">
        <v>311</v>
      </c>
      <c r="B64" s="194">
        <v>950</v>
      </c>
    </row>
    <row r="65" spans="1:2" x14ac:dyDescent="0.25">
      <c r="A65" s="193" t="s">
        <v>356</v>
      </c>
      <c r="B65" s="194">
        <v>750</v>
      </c>
    </row>
    <row r="66" spans="1:2" x14ac:dyDescent="0.25">
      <c r="A66" s="193" t="s">
        <v>322</v>
      </c>
      <c r="B66" s="194">
        <v>650</v>
      </c>
    </row>
    <row r="67" spans="1:2" x14ac:dyDescent="0.25">
      <c r="A67" s="193" t="s">
        <v>1082</v>
      </c>
      <c r="B67" s="194">
        <v>0.01</v>
      </c>
    </row>
    <row r="68" spans="1:2" x14ac:dyDescent="0.25">
      <c r="A68" s="193" t="s">
        <v>374</v>
      </c>
      <c r="B68" s="194">
        <v>590</v>
      </c>
    </row>
    <row r="69" spans="1:2" x14ac:dyDescent="0.25">
      <c r="A69" s="193" t="s">
        <v>1069</v>
      </c>
      <c r="B69" s="194">
        <v>280</v>
      </c>
    </row>
    <row r="70" spans="1:2" x14ac:dyDescent="0.25">
      <c r="A70" s="193" t="s">
        <v>1076</v>
      </c>
      <c r="B70" s="194">
        <v>620</v>
      </c>
    </row>
    <row r="71" spans="1:2" x14ac:dyDescent="0.25">
      <c r="A71" s="193" t="s">
        <v>324</v>
      </c>
      <c r="B71" s="194">
        <v>1300</v>
      </c>
    </row>
    <row r="72" spans="1:2" x14ac:dyDescent="0.25">
      <c r="A72" s="193" t="s">
        <v>1063</v>
      </c>
      <c r="B72" s="194">
        <v>450</v>
      </c>
    </row>
    <row r="73" spans="1:2" x14ac:dyDescent="0.25">
      <c r="A73" s="193" t="s">
        <v>1084</v>
      </c>
      <c r="B73" s="194">
        <v>1200</v>
      </c>
    </row>
    <row r="74" spans="1:2" x14ac:dyDescent="0.25">
      <c r="A74" s="193" t="s">
        <v>1062</v>
      </c>
      <c r="B74" s="194">
        <v>820</v>
      </c>
    </row>
    <row r="75" spans="1:2" x14ac:dyDescent="0.25">
      <c r="A75" s="193" t="s">
        <v>1079</v>
      </c>
      <c r="B75" s="194">
        <v>1590</v>
      </c>
    </row>
    <row r="76" spans="1:2" x14ac:dyDescent="0.25">
      <c r="A76" s="193" t="s">
        <v>341</v>
      </c>
      <c r="B76" s="194">
        <v>1000</v>
      </c>
    </row>
    <row r="77" spans="1:2" x14ac:dyDescent="0.25">
      <c r="A77" s="193" t="s">
        <v>1080</v>
      </c>
      <c r="B77" s="194">
        <v>4920</v>
      </c>
    </row>
    <row r="78" spans="1:2" x14ac:dyDescent="0.25">
      <c r="A78" s="193" t="s">
        <v>342</v>
      </c>
      <c r="B78" s="194">
        <v>1000</v>
      </c>
    </row>
    <row r="79" spans="1:2" x14ac:dyDescent="0.25">
      <c r="A79" s="193" t="s">
        <v>1081</v>
      </c>
      <c r="B79" s="194">
        <v>5530</v>
      </c>
    </row>
    <row r="80" spans="1:2" x14ac:dyDescent="0.25">
      <c r="A80" s="193" t="s">
        <v>1078</v>
      </c>
      <c r="B80" s="194">
        <v>6130</v>
      </c>
    </row>
    <row r="81" spans="1:2" x14ac:dyDescent="0.25">
      <c r="A81" s="193" t="s">
        <v>364</v>
      </c>
      <c r="B81" s="194">
        <v>1000</v>
      </c>
    </row>
    <row r="82" spans="1:2" x14ac:dyDescent="0.25">
      <c r="A82" s="193" t="s">
        <v>338</v>
      </c>
      <c r="B82" s="194">
        <v>4920</v>
      </c>
    </row>
    <row r="83" spans="1:2" x14ac:dyDescent="0.25">
      <c r="A83" s="193" t="s">
        <v>339</v>
      </c>
      <c r="B83" s="194">
        <v>5530</v>
      </c>
    </row>
    <row r="84" spans="1:2" x14ac:dyDescent="0.25">
      <c r="A84" s="193" t="s">
        <v>340</v>
      </c>
      <c r="B84" s="194">
        <v>6130</v>
      </c>
    </row>
    <row r="85" spans="1:2" x14ac:dyDescent="0.25">
      <c r="A85" s="193" t="s">
        <v>346</v>
      </c>
      <c r="B85" s="194">
        <v>5040</v>
      </c>
    </row>
    <row r="86" spans="1:2" x14ac:dyDescent="0.25">
      <c r="A86" s="193" t="s">
        <v>315</v>
      </c>
      <c r="B86" s="194">
        <v>4140</v>
      </c>
    </row>
    <row r="87" spans="1:2" x14ac:dyDescent="0.25">
      <c r="A87" s="193" t="s">
        <v>1117</v>
      </c>
      <c r="B87" s="194">
        <v>400</v>
      </c>
    </row>
    <row r="88" spans="1:2" x14ac:dyDescent="0.25">
      <c r="A88" s="193" t="s">
        <v>1122</v>
      </c>
      <c r="B88" s="194">
        <v>189110.08</v>
      </c>
    </row>
  </sheetData>
  <sheetProtection algorithmName="SHA-512" hashValue="771luctje7ILpCC67R+WoL4FYJd1p5nBeGSfJlhru4a3F1tZE/QO5D8iw5h7d3lgZ6OGNqL6CvmsrdfrQB3qIQ==" saltValue="ZDMvcGmG4YlORQRTYdbLVg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29" zoomScale="85" zoomScaleNormal="85" workbookViewId="0">
      <selection activeCell="E12" sqref="E12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32" t="s">
        <v>3</v>
      </c>
    </row>
    <row r="2" spans="1:1" ht="170.1" customHeight="1" thickBot="1" x14ac:dyDescent="0.3">
      <c r="A2" s="133" t="s">
        <v>0</v>
      </c>
    </row>
    <row r="3" spans="1:1" ht="170.1" customHeight="1" thickBot="1" x14ac:dyDescent="0.3">
      <c r="A3" s="133" t="s">
        <v>11</v>
      </c>
    </row>
    <row r="4" spans="1:1" ht="170.1" customHeight="1" thickBot="1" x14ac:dyDescent="0.3">
      <c r="A4" s="133" t="s">
        <v>388</v>
      </c>
    </row>
    <row r="5" spans="1:1" ht="170.1" customHeight="1" thickBot="1" x14ac:dyDescent="0.3">
      <c r="A5" s="133" t="s">
        <v>389</v>
      </c>
    </row>
    <row r="6" spans="1:1" ht="170.1" customHeight="1" thickBot="1" x14ac:dyDescent="0.3">
      <c r="A6" s="133" t="s">
        <v>12</v>
      </c>
    </row>
    <row r="7" spans="1:1" ht="170.1" customHeight="1" thickBot="1" x14ac:dyDescent="0.3">
      <c r="A7" s="133" t="s">
        <v>13</v>
      </c>
    </row>
    <row r="8" spans="1:1" ht="170.1" customHeight="1" thickBot="1" x14ac:dyDescent="0.3">
      <c r="A8" s="133" t="s">
        <v>129</v>
      </c>
    </row>
    <row r="9" spans="1:1" ht="170.1" customHeight="1" thickBot="1" x14ac:dyDescent="0.3">
      <c r="A9" s="133" t="s">
        <v>128</v>
      </c>
    </row>
    <row r="10" spans="1:1" ht="170.1" customHeight="1" thickBot="1" x14ac:dyDescent="0.3">
      <c r="A10" s="133" t="s">
        <v>131</v>
      </c>
    </row>
    <row r="11" spans="1:1" ht="170.1" customHeight="1" thickBot="1" x14ac:dyDescent="0.3">
      <c r="A11" s="133" t="s">
        <v>130</v>
      </c>
    </row>
    <row r="12" spans="1:1" ht="170.1" customHeight="1" thickBot="1" x14ac:dyDescent="0.3">
      <c r="A12" s="133" t="s">
        <v>867</v>
      </c>
    </row>
    <row r="13" spans="1:1" ht="170.1" customHeight="1" thickBot="1" x14ac:dyDescent="0.3">
      <c r="A13" s="133" t="s">
        <v>869</v>
      </c>
    </row>
    <row r="14" spans="1:1" ht="170.1" customHeight="1" thickBot="1" x14ac:dyDescent="0.3">
      <c r="A14" s="133" t="s">
        <v>14</v>
      </c>
    </row>
    <row r="15" spans="1:1" ht="170.1" customHeight="1" x14ac:dyDescent="0.25">
      <c r="A15" s="133" t="s">
        <v>84</v>
      </c>
    </row>
    <row r="16" spans="1:1" ht="170.1" customHeight="1" x14ac:dyDescent="0.25">
      <c r="A16" s="134" t="s">
        <v>15</v>
      </c>
    </row>
    <row r="17" spans="1:1" ht="170.1" customHeight="1" x14ac:dyDescent="0.25">
      <c r="A17" s="134" t="s">
        <v>1</v>
      </c>
    </row>
    <row r="18" spans="1:1" ht="170.1" customHeight="1" x14ac:dyDescent="0.25">
      <c r="A18" s="134" t="s">
        <v>16</v>
      </c>
    </row>
    <row r="19" spans="1:1" ht="170.1" customHeight="1" x14ac:dyDescent="0.25">
      <c r="A19" s="134" t="s">
        <v>17</v>
      </c>
    </row>
    <row r="20" spans="1:1" ht="170.1" customHeight="1" thickBot="1" x14ac:dyDescent="0.3">
      <c r="A20" s="134" t="s">
        <v>18</v>
      </c>
    </row>
    <row r="21" spans="1:1" ht="170.1" customHeight="1" thickBot="1" x14ac:dyDescent="0.3">
      <c r="A21" s="133" t="s">
        <v>19</v>
      </c>
    </row>
    <row r="22" spans="1:1" ht="170.1" customHeight="1" thickBot="1" x14ac:dyDescent="0.3">
      <c r="A22" s="133" t="s">
        <v>20</v>
      </c>
    </row>
    <row r="23" spans="1:1" ht="170.1" customHeight="1" thickBot="1" x14ac:dyDescent="0.3">
      <c r="A23" s="133" t="s">
        <v>21</v>
      </c>
    </row>
    <row r="24" spans="1:1" ht="170.1" customHeight="1" x14ac:dyDescent="0.25">
      <c r="A24" s="133" t="s">
        <v>22</v>
      </c>
    </row>
    <row r="25" spans="1:1" ht="170.1" customHeight="1" x14ac:dyDescent="0.25">
      <c r="A25" s="135" t="s">
        <v>23</v>
      </c>
    </row>
    <row r="26" spans="1:1" ht="170.1" customHeight="1" x14ac:dyDescent="0.25">
      <c r="A26" s="135" t="s">
        <v>24</v>
      </c>
    </row>
    <row r="27" spans="1:1" ht="170.1" customHeight="1" thickBot="1" x14ac:dyDescent="0.3">
      <c r="A27" s="136" t="s">
        <v>392</v>
      </c>
    </row>
    <row r="28" spans="1:1" ht="170.1" customHeight="1" thickBot="1" x14ac:dyDescent="0.3">
      <c r="A28" s="136" t="s">
        <v>393</v>
      </c>
    </row>
    <row r="29" spans="1:1" ht="170.1" customHeight="1" thickBot="1" x14ac:dyDescent="0.3">
      <c r="A29" s="137" t="s">
        <v>25</v>
      </c>
    </row>
    <row r="30" spans="1:1" ht="170.1" customHeight="1" thickBot="1" x14ac:dyDescent="0.3">
      <c r="A30" s="137" t="s">
        <v>26</v>
      </c>
    </row>
    <row r="31" spans="1:1" ht="170.1" customHeight="1" thickBot="1" x14ac:dyDescent="0.3">
      <c r="A31" s="137" t="s">
        <v>134</v>
      </c>
    </row>
    <row r="32" spans="1:1" ht="170.1" customHeight="1" thickBot="1" x14ac:dyDescent="0.3">
      <c r="A32" s="137" t="s">
        <v>133</v>
      </c>
    </row>
    <row r="33" spans="1:1" ht="170.1" customHeight="1" thickBot="1" x14ac:dyDescent="0.3">
      <c r="A33" s="137" t="s">
        <v>27</v>
      </c>
    </row>
    <row r="34" spans="1:1" ht="170.1" customHeight="1" thickBot="1" x14ac:dyDescent="0.3">
      <c r="A34" s="138" t="s">
        <v>2</v>
      </c>
    </row>
    <row r="35" spans="1:1" ht="170.1" customHeight="1" thickBot="1" x14ac:dyDescent="0.3">
      <c r="A35" s="139" t="s">
        <v>77</v>
      </c>
    </row>
    <row r="36" spans="1:1" ht="170.1" customHeight="1" thickBot="1" x14ac:dyDescent="0.3">
      <c r="A36" s="139" t="s">
        <v>78</v>
      </c>
    </row>
    <row r="37" spans="1:1" ht="170.1" customHeight="1" thickBot="1" x14ac:dyDescent="0.3">
      <c r="A37" s="139" t="s">
        <v>79</v>
      </c>
    </row>
    <row r="38" spans="1:1" ht="170.1" customHeight="1" x14ac:dyDescent="0.25">
      <c r="A38" s="139"/>
    </row>
    <row r="39" spans="1:1" ht="170.1" customHeight="1" thickBot="1" x14ac:dyDescent="0.3">
      <c r="A39" s="138" t="s">
        <v>80</v>
      </c>
    </row>
    <row r="40" spans="1:1" ht="170.1" customHeight="1" thickBot="1" x14ac:dyDescent="0.3">
      <c r="A40" s="139" t="s">
        <v>81</v>
      </c>
    </row>
    <row r="41" spans="1:1" ht="170.1" customHeight="1" thickBot="1" x14ac:dyDescent="0.3">
      <c r="A41" s="139" t="s">
        <v>28</v>
      </c>
    </row>
    <row r="42" spans="1:1" ht="170.1" customHeight="1" thickBot="1" x14ac:dyDescent="0.3">
      <c r="A42" s="139" t="s">
        <v>472</v>
      </c>
    </row>
    <row r="43" spans="1:1" ht="170.1" customHeight="1" thickBot="1" x14ac:dyDescent="0.3">
      <c r="A43" s="140" t="s">
        <v>29</v>
      </c>
    </row>
    <row r="44" spans="1:1" ht="170.1" customHeight="1" thickBot="1" x14ac:dyDescent="0.3">
      <c r="A44" s="140" t="s">
        <v>865</v>
      </c>
    </row>
    <row r="45" spans="1:1" ht="170.1" customHeight="1" thickBot="1" x14ac:dyDescent="0.3">
      <c r="A45" s="140" t="s">
        <v>30</v>
      </c>
    </row>
    <row r="46" spans="1:1" ht="170.1" customHeight="1" thickBot="1" x14ac:dyDescent="0.3">
      <c r="A46" s="140" t="s">
        <v>866</v>
      </c>
    </row>
    <row r="47" spans="1:1" ht="170.1" customHeight="1" thickBot="1" x14ac:dyDescent="0.3">
      <c r="A47" s="141" t="s">
        <v>31</v>
      </c>
    </row>
    <row r="48" spans="1:1" ht="170.1" customHeight="1" thickBot="1" x14ac:dyDescent="0.3">
      <c r="A48" s="139" t="s">
        <v>394</v>
      </c>
    </row>
    <row r="49" spans="1:1" ht="170.1" customHeight="1" thickBot="1" x14ac:dyDescent="0.3">
      <c r="A49" s="139" t="s">
        <v>395</v>
      </c>
    </row>
    <row r="50" spans="1:1" ht="170.1" customHeight="1" thickBot="1" x14ac:dyDescent="0.3">
      <c r="A50" s="139" t="s">
        <v>396</v>
      </c>
    </row>
    <row r="51" spans="1:1" ht="170.1" customHeight="1" thickBot="1" x14ac:dyDescent="0.3">
      <c r="A51" s="139" t="s">
        <v>397</v>
      </c>
    </row>
    <row r="52" spans="1:1" ht="170.1" customHeight="1" thickBot="1" x14ac:dyDescent="0.3">
      <c r="A52" s="139" t="s">
        <v>398</v>
      </c>
    </row>
    <row r="53" spans="1:1" ht="170.1" customHeight="1" thickBot="1" x14ac:dyDescent="0.3">
      <c r="A53" s="139" t="s">
        <v>399</v>
      </c>
    </row>
    <row r="54" spans="1:1" ht="170.1" customHeight="1" thickBot="1" x14ac:dyDescent="0.3">
      <c r="A54" s="139" t="s">
        <v>504</v>
      </c>
    </row>
    <row r="55" spans="1:1" ht="170.1" customHeight="1" thickBot="1" x14ac:dyDescent="0.3">
      <c r="A55" s="142" t="s">
        <v>400</v>
      </c>
    </row>
    <row r="56" spans="1:1" ht="170.1" customHeight="1" thickBot="1" x14ac:dyDescent="0.3">
      <c r="A56" s="142" t="s">
        <v>401</v>
      </c>
    </row>
    <row r="57" spans="1:1" ht="170.1" customHeight="1" thickBot="1" x14ac:dyDescent="0.3">
      <c r="A57" s="139" t="s">
        <v>32</v>
      </c>
    </row>
    <row r="58" spans="1:1" ht="170.1" customHeight="1" thickBot="1" x14ac:dyDescent="0.3">
      <c r="A58" s="139" t="s">
        <v>863</v>
      </c>
    </row>
    <row r="59" spans="1:1" ht="170.1" customHeight="1" thickBot="1" x14ac:dyDescent="0.3">
      <c r="A59" s="139" t="s">
        <v>864</v>
      </c>
    </row>
    <row r="60" spans="1:1" ht="170.1" customHeight="1" thickBot="1" x14ac:dyDescent="0.3">
      <c r="A60" s="139"/>
    </row>
    <row r="61" spans="1:1" ht="170.1" customHeight="1" thickBot="1" x14ac:dyDescent="0.3">
      <c r="A61" s="139" t="s">
        <v>82</v>
      </c>
    </row>
    <row r="62" spans="1:1" ht="170.1" customHeight="1" thickBot="1" x14ac:dyDescent="0.3">
      <c r="A62" s="139" t="s">
        <v>33</v>
      </c>
    </row>
    <row r="63" spans="1:1" ht="170.1" customHeight="1" thickBot="1" x14ac:dyDescent="0.3">
      <c r="A63" s="139" t="s">
        <v>34</v>
      </c>
    </row>
    <row r="64" spans="1:1" ht="170.1" customHeight="1" thickBot="1" x14ac:dyDescent="0.3">
      <c r="A64" s="143" t="s">
        <v>852</v>
      </c>
    </row>
    <row r="65" spans="1:1" ht="170.1" customHeight="1" thickBot="1" x14ac:dyDescent="0.3">
      <c r="A65" s="141" t="s">
        <v>505</v>
      </c>
    </row>
    <row r="66" spans="1:1" ht="170.1" customHeight="1" thickBot="1" x14ac:dyDescent="0.3">
      <c r="A66" s="144" t="s">
        <v>506</v>
      </c>
    </row>
    <row r="67" spans="1:1" ht="170.1" customHeight="1" thickBot="1" x14ac:dyDescent="0.3">
      <c r="A67" s="141" t="s">
        <v>36</v>
      </c>
    </row>
    <row r="68" spans="1:1" ht="170.1" customHeight="1" thickBot="1" x14ac:dyDescent="0.3">
      <c r="A68" s="141" t="s">
        <v>37</v>
      </c>
    </row>
    <row r="69" spans="1:1" ht="170.1" customHeight="1" thickBot="1" x14ac:dyDescent="0.3">
      <c r="A69" s="139" t="s">
        <v>502</v>
      </c>
    </row>
    <row r="70" spans="1:1" ht="170.1" customHeight="1" thickBot="1" x14ac:dyDescent="0.3">
      <c r="A70" s="139" t="s">
        <v>503</v>
      </c>
    </row>
    <row r="71" spans="1:1" ht="170.1" customHeight="1" thickBot="1" x14ac:dyDescent="0.3">
      <c r="A71" s="145" t="s">
        <v>38</v>
      </c>
    </row>
    <row r="72" spans="1:1" ht="170.1" customHeight="1" thickBot="1" x14ac:dyDescent="0.3">
      <c r="A72" s="145" t="s">
        <v>731</v>
      </c>
    </row>
    <row r="73" spans="1:1" ht="170.1" customHeight="1" thickBot="1" x14ac:dyDescent="0.3">
      <c r="A73" s="145"/>
    </row>
    <row r="74" spans="1:1" ht="170.1" customHeight="1" thickBot="1" x14ac:dyDescent="0.3">
      <c r="A74" s="139" t="s">
        <v>39</v>
      </c>
    </row>
    <row r="75" spans="1:1" ht="170.1" customHeight="1" thickBot="1" x14ac:dyDescent="0.3">
      <c r="A75" s="139" t="s">
        <v>83</v>
      </c>
    </row>
    <row r="76" spans="1:1" ht="170.1" customHeight="1" thickBot="1" x14ac:dyDescent="0.3">
      <c r="A76" s="139" t="s">
        <v>40</v>
      </c>
    </row>
    <row r="77" spans="1:1" ht="170.1" customHeight="1" thickBot="1" x14ac:dyDescent="0.3">
      <c r="A77" s="139" t="s">
        <v>41</v>
      </c>
    </row>
    <row r="78" spans="1:1" ht="170.1" customHeight="1" thickBot="1" x14ac:dyDescent="0.3">
      <c r="A78" s="146" t="s">
        <v>42</v>
      </c>
    </row>
    <row r="79" spans="1:1" ht="170.1" customHeight="1" thickBot="1" x14ac:dyDescent="0.3">
      <c r="A79" s="139" t="s">
        <v>43</v>
      </c>
    </row>
    <row r="80" spans="1:1" ht="170.1" customHeight="1" thickBot="1" x14ac:dyDescent="0.3">
      <c r="A80" s="139" t="s">
        <v>406</v>
      </c>
    </row>
    <row r="81" spans="1:1" ht="170.1" customHeight="1" thickBot="1" x14ac:dyDescent="0.3">
      <c r="A81" s="139" t="s">
        <v>407</v>
      </c>
    </row>
    <row r="82" spans="1:1" ht="170.1" customHeight="1" thickBot="1" x14ac:dyDescent="0.3">
      <c r="A82" s="139" t="s">
        <v>408</v>
      </c>
    </row>
    <row r="83" spans="1:1" ht="170.1" customHeight="1" thickBot="1" x14ac:dyDescent="0.3">
      <c r="A83" s="139" t="s">
        <v>409</v>
      </c>
    </row>
    <row r="84" spans="1:1" ht="170.1" customHeight="1" thickBot="1" x14ac:dyDescent="0.3">
      <c r="A84" s="139" t="s">
        <v>410</v>
      </c>
    </row>
    <row r="85" spans="1:1" ht="170.1" customHeight="1" thickBot="1" x14ac:dyDescent="0.3">
      <c r="A85" s="139" t="s">
        <v>411</v>
      </c>
    </row>
    <row r="86" spans="1:1" ht="170.1" customHeight="1" thickBot="1" x14ac:dyDescent="0.3">
      <c r="A86" s="139" t="s">
        <v>412</v>
      </c>
    </row>
    <row r="87" spans="1:1" ht="170.1" customHeight="1" thickBot="1" x14ac:dyDescent="0.3">
      <c r="A87" s="139" t="s">
        <v>729</v>
      </c>
    </row>
    <row r="88" spans="1:1" ht="170.1" customHeight="1" thickBot="1" x14ac:dyDescent="0.3">
      <c r="A88" s="139" t="s">
        <v>730</v>
      </c>
    </row>
    <row r="89" spans="1:1" ht="170.1" customHeight="1" x14ac:dyDescent="0.25">
      <c r="A89" s="139" t="s">
        <v>728</v>
      </c>
    </row>
    <row r="90" spans="1:1" ht="170.1" customHeight="1" x14ac:dyDescent="0.25">
      <c r="A90" s="147" t="s">
        <v>44</v>
      </c>
    </row>
  </sheetData>
  <sheetProtection algorithmName="SHA-512" hashValue="wsmpyZeOWUF8Yrep2wLB1i1KU2Js9PrJyOanAOjm5ze2ntnndccMSkbsCN/0LgFPmYy+s07IdokQWAuux5GPkQ==" saltValue="gzzs0p/C8lwbLw2buIyOuA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61" r:id="rId4" name="EPN1B1D_380_1510">
          <controlPr defaultSize="0" autoLine="0" r:id="rId5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261" r:id="rId4" name="EPN1B1D_380_1510"/>
      </mc:Fallback>
    </mc:AlternateContent>
    <mc:AlternateContent xmlns:mc="http://schemas.openxmlformats.org/markup-compatibility/2006">
      <mc:Choice Requires="x14">
        <control shapeId="5260" r:id="rId6" name="EPN2D_380_1510">
          <controlPr defaultSize="0" autoLine="0" r:id="rId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260" r:id="rId6" name="EPN2D_380_1510"/>
      </mc:Fallback>
    </mc:AlternateContent>
    <mc:AlternateContent xmlns:mc="http://schemas.openxmlformats.org/markup-compatibility/2006">
      <mc:Choice Requires="x14">
        <control shapeId="5259" r:id="rId8" name="EMV2DL">
          <controlPr defaultSize="0" autoLine="0" r:id="rId9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59" r:id="rId8" name="EMV2DL"/>
      </mc:Fallback>
    </mc:AlternateContent>
    <mc:AlternateContent xmlns:mc="http://schemas.openxmlformats.org/markup-compatibility/2006">
      <mc:Choice Requires="x14">
        <control shapeId="5258" r:id="rId10" name="EMV1DL">
          <controlPr defaultSize="0" autoLine="0" r:id="rId11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258" r:id="rId10" name="EMV1DL"/>
      </mc:Fallback>
    </mc:AlternateContent>
    <mc:AlternateContent xmlns:mc="http://schemas.openxmlformats.org/markup-compatibility/2006">
      <mc:Choice Requires="x14">
        <control shapeId="5257" r:id="rId12" name="EHV1D_312">
          <controlPr defaultSize="0" autoLine="0" autoPict="0" r:id="rId13">
            <anchor moveWithCells="1">
              <from>
                <xdr:col>0</xdr:col>
                <xdr:colOff>1609725</xdr:colOff>
                <xdr:row>43</xdr:row>
                <xdr:rowOff>9525</xdr:rowOff>
              </from>
              <to>
                <xdr:col>1</xdr:col>
                <xdr:colOff>2028825</xdr:colOff>
                <xdr:row>43</xdr:row>
                <xdr:rowOff>2143125</xdr:rowOff>
              </to>
            </anchor>
          </controlPr>
        </control>
      </mc:Choice>
      <mc:Fallback>
        <control shapeId="5257" r:id="rId12" name="EHV1D_312"/>
      </mc:Fallback>
    </mc:AlternateContent>
    <mc:AlternateContent xmlns:mc="http://schemas.openxmlformats.org/markup-compatibility/2006">
      <mc:Choice Requires="x14">
        <control shapeId="5255" r:id="rId14" name="EHV2D_312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55" r:id="rId14" name="EHV2D_312"/>
      </mc:Fallback>
    </mc:AlternateContent>
    <mc:AlternateContent xmlns:mc="http://schemas.openxmlformats.org/markup-compatibility/2006">
      <mc:Choice Requires="x14">
        <control shapeId="5254" r:id="rId16" name="Image3">
          <controlPr defaultSize="0" autoLine="0" autoPict="0" r:id="rId17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" name="Image3"/>
      </mc:Fallback>
    </mc:AlternateContent>
    <mc:AlternateContent xmlns:mc="http://schemas.openxmlformats.org/markup-compatibility/2006">
      <mc:Choice Requires="x14">
        <control shapeId="5238" r:id="rId18" name="Image14">
          <controlPr defaultSize="0" autoLine="0" autoPict="0" r:id="rId19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8" name="Image14"/>
      </mc:Fallback>
    </mc:AlternateContent>
    <mc:AlternateContent xmlns:mc="http://schemas.openxmlformats.org/markup-compatibility/2006">
      <mc:Choice Requires="x14">
        <control shapeId="5237" r:id="rId20" name="Image13">
          <controlPr defaultSize="0" autoLine="0" autoPict="0" r:id="rId21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20" name="Image13"/>
      </mc:Fallback>
    </mc:AlternateContent>
    <mc:AlternateContent xmlns:mc="http://schemas.openxmlformats.org/markup-compatibility/2006">
      <mc:Choice Requires="x14">
        <control shapeId="5236" r:id="rId22" name="Image12">
          <controlPr defaultSize="0" autoLine="0" autoPict="0" r:id="rId23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22" name="Image12"/>
      </mc:Fallback>
    </mc:AlternateContent>
    <mc:AlternateContent xmlns:mc="http://schemas.openxmlformats.org/markup-compatibility/2006">
      <mc:Choice Requires="x14">
        <control shapeId="5224" r:id="rId24" name="Image10">
          <controlPr defaultSize="0" autoLine="0" r:id="rId25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24" name="Image10"/>
      </mc:Fallback>
    </mc:AlternateContent>
    <mc:AlternateContent xmlns:mc="http://schemas.openxmlformats.org/markup-compatibility/2006">
      <mc:Choice Requires="x14">
        <control shapeId="5223" r:id="rId26" name="Image9">
          <controlPr defaultSize="0" autoLine="0" autoPict="0" r:id="rId2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26" name="Image9"/>
      </mc:Fallback>
    </mc:AlternateContent>
    <mc:AlternateContent xmlns:mc="http://schemas.openxmlformats.org/markup-compatibility/2006">
      <mc:Choice Requires="x14">
        <control shapeId="5221" r:id="rId28" name="Image7">
          <controlPr defaultSize="0" autoLine="0" r:id="rId29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28" name="Image7"/>
      </mc:Fallback>
    </mc:AlternateContent>
    <mc:AlternateContent xmlns:mc="http://schemas.openxmlformats.org/markup-compatibility/2006">
      <mc:Choice Requires="x14">
        <control shapeId="5218" r:id="rId30" name="Image4">
          <controlPr defaultSize="0" autoLine="0" autoPict="0" r:id="rId31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30" name="Image4"/>
      </mc:Fallback>
    </mc:AlternateContent>
    <mc:AlternateContent xmlns:mc="http://schemas.openxmlformats.org/markup-compatibility/2006">
      <mc:Choice Requires="x14">
        <control shapeId="5216" r:id="rId32" name="Image2">
          <controlPr defaultSize="0" autoLine="0" autoPict="0" r:id="rId33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32" name="Image2"/>
      </mc:Fallback>
    </mc:AlternateContent>
    <mc:AlternateContent xmlns:mc="http://schemas.openxmlformats.org/markup-compatibility/2006">
      <mc:Choice Requires="x14">
        <control shapeId="5215" r:id="rId34" name="Image1">
          <controlPr defaultSize="0" autoLine="0" autoPict="0" r:id="rId35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34" name="Image1"/>
      </mc:Fallback>
    </mc:AlternateContent>
    <mc:AlternateContent xmlns:mc="http://schemas.openxmlformats.org/markup-compatibility/2006">
      <mc:Choice Requires="x14">
        <control shapeId="5200" r:id="rId36" name="EWV1V_600">
          <controlPr defaultSize="0" autoLine="0" autoPict="0" r:id="rId37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36" name="EWV1V_600"/>
      </mc:Fallback>
    </mc:AlternateContent>
    <mc:AlternateContent xmlns:mc="http://schemas.openxmlformats.org/markup-compatibility/2006">
      <mc:Choice Requires="x14">
        <control shapeId="5198" r:id="rId38" name="EWV2D_900">
          <controlPr defaultSize="0" autoLine="0" r:id="rId39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38" name="EWV2D_900"/>
      </mc:Fallback>
    </mc:AlternateContent>
    <mc:AlternateContent xmlns:mc="http://schemas.openxmlformats.org/markup-compatibility/2006">
      <mc:Choice Requires="x14">
        <control shapeId="5197" r:id="rId40" name="EWV2D_800">
          <controlPr defaultSize="0" autoLine="0" r:id="rId39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40" name="EWV2D_800"/>
      </mc:Fallback>
    </mc:AlternateContent>
    <mc:AlternateContent xmlns:mc="http://schemas.openxmlformats.org/markup-compatibility/2006">
      <mc:Choice Requires="x14">
        <control shapeId="5196" r:id="rId41" name="EWV1D_600">
          <controlPr defaultSize="0" autoLine="0" r:id="rId42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41" name="EWV1D_600"/>
      </mc:Fallback>
    </mc:AlternateContent>
    <mc:AlternateContent xmlns:mc="http://schemas.openxmlformats.org/markup-compatibility/2006">
      <mc:Choice Requires="x14">
        <control shapeId="5192" r:id="rId43" name="EUG1D_150">
          <controlPr defaultSize="0" autoLine="0" r:id="rId44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43" name="EUG1D_150"/>
      </mc:Fallback>
    </mc:AlternateContent>
    <mc:AlternateContent xmlns:mc="http://schemas.openxmlformats.org/markup-compatibility/2006">
      <mc:Choice Requires="x14">
        <control shapeId="5191" r:id="rId45" name="EWU1D_150">
          <controlPr defaultSize="0" autoLine="0" r:id="rId46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45" name="EWU1D_150"/>
      </mc:Fallback>
    </mc:AlternateContent>
    <mc:AlternateContent xmlns:mc="http://schemas.openxmlformats.org/markup-compatibility/2006">
      <mc:Choice Requires="x14">
        <control shapeId="5190" r:id="rId47" name="EUN1D_150">
          <controlPr defaultSize="0" autoLine="0" r:id="rId48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47" name="EUN1D_150"/>
      </mc:Fallback>
    </mc:AlternateContent>
    <mc:AlternateContent xmlns:mc="http://schemas.openxmlformats.org/markup-compatibility/2006">
      <mc:Choice Requires="x14">
        <control shapeId="5122" r:id="rId49" name="ENO">
          <controlPr defaultSize="0" autoLine="0" autoPict="0" r:id="rId50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49" name="ENO"/>
      </mc:Fallback>
    </mc:AlternateContent>
    <mc:AlternateContent xmlns:mc="http://schemas.openxmlformats.org/markup-compatibility/2006">
      <mc:Choice Requires="x14">
        <control shapeId="5123" r:id="rId51" name="EMN1D">
          <controlPr defaultSize="0" autoLine="0" autoPict="0" r:id="rId52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51" name="EMN1D"/>
      </mc:Fallback>
    </mc:AlternateContent>
    <mc:AlternateContent xmlns:mc="http://schemas.openxmlformats.org/markup-compatibility/2006">
      <mc:Choice Requires="x14">
        <control shapeId="5124" r:id="rId53" name="EMN2D">
          <controlPr defaultSize="0" autoLine="0" autoPict="0" r:id="rId5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53" name="EMN2D"/>
      </mc:Fallback>
    </mc:AlternateContent>
    <mc:AlternateContent xmlns:mc="http://schemas.openxmlformats.org/markup-compatibility/2006">
      <mc:Choice Requires="x14">
        <control shapeId="5125" r:id="rId55" name="EMN1K_150">
          <controlPr defaultSize="0" autoLine="0" autoPict="0" r:id="rId56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55" name="EMN1K_150"/>
      </mc:Fallback>
    </mc:AlternateContent>
    <mc:AlternateContent xmlns:mc="http://schemas.openxmlformats.org/markup-compatibility/2006">
      <mc:Choice Requires="x14">
        <control shapeId="5126" r:id="rId57" name="EWN1D">
          <controlPr defaultSize="0" autoLine="0" autoPict="0" r:id="rId58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57" name="EWN1D"/>
      </mc:Fallback>
    </mc:AlternateContent>
    <mc:AlternateContent xmlns:mc="http://schemas.openxmlformats.org/markup-compatibility/2006">
      <mc:Choice Requires="x14">
        <control shapeId="5127" r:id="rId59" name="EWN2D">
          <controlPr defaultSize="0" autoLine="0" autoPict="0" r:id="rId60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59" name="EWN2D"/>
      </mc:Fallback>
    </mc:AlternateContent>
    <mc:AlternateContent xmlns:mc="http://schemas.openxmlformats.org/markup-compatibility/2006">
      <mc:Choice Requires="x14">
        <control shapeId="5128" r:id="rId61" name="EUN1D">
          <controlPr defaultSize="0" autoLine="0" autoPict="0" r:id="rId48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61" name="EUN1D"/>
      </mc:Fallback>
    </mc:AlternateContent>
    <mc:AlternateContent xmlns:mc="http://schemas.openxmlformats.org/markup-compatibility/2006">
      <mc:Choice Requires="x14">
        <control shapeId="5129" r:id="rId62" name="EWU1D">
          <controlPr defaultSize="0" autoLine="0" autoPict="0" r:id="rId46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62" name="EWU1D"/>
      </mc:Fallback>
    </mc:AlternateContent>
    <mc:AlternateContent xmlns:mc="http://schemas.openxmlformats.org/markup-compatibility/2006">
      <mc:Choice Requires="x14">
        <control shapeId="5132" r:id="rId63" name="EMN1B1D">
          <controlPr defaultSize="0" autoLine="0" autoPict="0" r:id="rId6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63" name="EMN1B1D"/>
      </mc:Fallback>
    </mc:AlternateContent>
    <mc:AlternateContent xmlns:mc="http://schemas.openxmlformats.org/markup-compatibility/2006">
      <mc:Choice Requires="x14">
        <control shapeId="5133" r:id="rId65" name="EMN1B2D">
          <controlPr defaultSize="0" autoLine="0" autoPict="0" r:id="rId6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65" name="EMN1B2D"/>
      </mc:Fallback>
    </mc:AlternateContent>
    <mc:AlternateContent xmlns:mc="http://schemas.openxmlformats.org/markup-compatibility/2006">
      <mc:Choice Requires="x14">
        <control shapeId="5134" r:id="rId67" name="EMN4B">
          <controlPr defaultSize="0" autoLine="0" autoPict="0" r:id="rId68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67" name="EMN4B"/>
      </mc:Fallback>
    </mc:AlternateContent>
    <mc:AlternateContent xmlns:mc="http://schemas.openxmlformats.org/markup-compatibility/2006">
      <mc:Choice Requires="x14">
        <control shapeId="5135" r:id="rId69" name="EMN3B">
          <controlPr defaultSize="0" autoLine="0" autoPict="0" r:id="rId7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69" name="EMN3B"/>
      </mc:Fallback>
    </mc:AlternateContent>
    <mc:AlternateContent xmlns:mc="http://schemas.openxmlformats.org/markup-compatibility/2006">
      <mc:Choice Requires="x14">
        <control shapeId="5136" r:id="rId71" name="EMN2B">
          <controlPr defaultSize="0" autoLine="0" autoPict="0" r:id="rId72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71" name="EMN2B"/>
      </mc:Fallback>
    </mc:AlternateContent>
    <mc:AlternateContent xmlns:mc="http://schemas.openxmlformats.org/markup-compatibility/2006">
      <mc:Choice Requires="x14">
        <control shapeId="5137" r:id="rId73" name="ETN1B">
          <controlPr defaultSize="0" autoLine="0" autoPict="0" r:id="rId74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73" name="ETN1B"/>
      </mc:Fallback>
    </mc:AlternateContent>
    <mc:AlternateContent xmlns:mc="http://schemas.openxmlformats.org/markup-compatibility/2006">
      <mc:Choice Requires="x14">
        <control shapeId="5138" r:id="rId75" name="ESNX1D">
          <controlPr defaultSize="0" autoLine="0" autoPict="0" r:id="rId7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75" name="ESNX1D"/>
      </mc:Fallback>
    </mc:AlternateContent>
    <mc:AlternateContent xmlns:mc="http://schemas.openxmlformats.org/markup-compatibility/2006">
      <mc:Choice Requires="x14">
        <control shapeId="5139" r:id="rId77" name="ERN">
          <controlPr defaultSize="0" autoLine="0" r:id="rId78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77" name="ERN"/>
      </mc:Fallback>
    </mc:AlternateContent>
    <mc:AlternateContent xmlns:mc="http://schemas.openxmlformats.org/markup-compatibility/2006">
      <mc:Choice Requires="x14">
        <control shapeId="5140" r:id="rId79" name="ERN1D">
          <controlPr defaultSize="0" autoLine="0" autoPict="0" r:id="rId8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79" name="ERN1D"/>
      </mc:Fallback>
    </mc:AlternateContent>
    <mc:AlternateContent xmlns:mc="http://schemas.openxmlformats.org/markup-compatibility/2006">
      <mc:Choice Requires="x14">
        <control shapeId="5141" r:id="rId81" name="ENG1D">
          <controlPr defaultSize="0" autoLine="0" autoPict="0" r:id="rId82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81" name="ENG1D"/>
      </mc:Fallback>
    </mc:AlternateContent>
    <mc:AlternateContent xmlns:mc="http://schemas.openxmlformats.org/markup-compatibility/2006">
      <mc:Choice Requires="x14">
        <control shapeId="5142" r:id="rId83" name="ENG2D">
          <controlPr defaultSize="0" autoLine="0" autoPict="0" r:id="rId8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83" name="ENG2D"/>
      </mc:Fallback>
    </mc:AlternateContent>
    <mc:AlternateContent xmlns:mc="http://schemas.openxmlformats.org/markup-compatibility/2006">
      <mc:Choice Requires="x14">
        <control shapeId="5143" r:id="rId85" name="ENG2B">
          <controlPr defaultSize="0" autoLine="0" autoPict="0" r:id="rId8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85" name="ENG2B"/>
      </mc:Fallback>
    </mc:AlternateContent>
    <mc:AlternateContent xmlns:mc="http://schemas.openxmlformats.org/markup-compatibility/2006">
      <mc:Choice Requires="x14">
        <control shapeId="5144" r:id="rId87" name="ENG3B">
          <controlPr defaultSize="0" autoLine="0" autoPict="0" r:id="rId88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87" name="ENG3B"/>
      </mc:Fallback>
    </mc:AlternateContent>
    <mc:AlternateContent xmlns:mc="http://schemas.openxmlformats.org/markup-compatibility/2006">
      <mc:Choice Requires="x14">
        <control shapeId="5145" r:id="rId89" name="ENG1K_150">
          <controlPr defaultSize="0" autoLine="0" autoPict="0" r:id="rId90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89" name="ENG1K_150"/>
      </mc:Fallback>
    </mc:AlternateContent>
    <mc:AlternateContent xmlns:mc="http://schemas.openxmlformats.org/markup-compatibility/2006">
      <mc:Choice Requires="x14">
        <control shapeId="5146" r:id="rId91" name="EWG1D">
          <controlPr defaultSize="0" autoLine="0" autoPict="0" r:id="rId92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1" name="EWG1D"/>
      </mc:Fallback>
    </mc:AlternateContent>
    <mc:AlternateContent xmlns:mc="http://schemas.openxmlformats.org/markup-compatibility/2006">
      <mc:Choice Requires="x14">
        <control shapeId="5147" r:id="rId93" name="EWG2D">
          <controlPr defaultSize="0" autoLine="0" autoPict="0" r:id="rId94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3" name="EWG2D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44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9" r:id="rId96" name="EZ1F">
          <controlPr defaultSize="0" autoLine="0" autoPict="0" r:id="rId97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6" name="EZ1F"/>
      </mc:Fallback>
    </mc:AlternateContent>
    <mc:AlternateContent xmlns:mc="http://schemas.openxmlformats.org/markup-compatibility/2006">
      <mc:Choice Requires="x14">
        <control shapeId="5150" r:id="rId98" name="EVO">
          <controlPr defaultSize="0" autoLine="0" autoPict="0" r:id="rId99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8" name="EVO"/>
      </mc:Fallback>
    </mc:AlternateContent>
    <mc:AlternateContent xmlns:mc="http://schemas.openxmlformats.org/markup-compatibility/2006">
      <mc:Choice Requires="x14">
        <control shapeId="5151" r:id="rId100" name="EMV1D">
          <controlPr defaultSize="0" autoLine="0" autoPict="0" r:id="rId10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100" name="EMV1D"/>
      </mc:Fallback>
    </mc:AlternateContent>
    <mc:AlternateContent xmlns:mc="http://schemas.openxmlformats.org/markup-compatibility/2006">
      <mc:Choice Requires="x14">
        <control shapeId="5152" r:id="rId102" name="EMV1DN">
          <controlPr defaultSize="0" autoLine="0" autoPict="0" r:id="rId103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102" name="EMV1DN"/>
      </mc:Fallback>
    </mc:AlternateContent>
    <mc:AlternateContent xmlns:mc="http://schemas.openxmlformats.org/markup-compatibility/2006">
      <mc:Choice Requires="x14">
        <control shapeId="5153" r:id="rId104" name="EMV1V">
          <controlPr defaultSize="0" autoLine="0" autoPict="0" r:id="rId10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104" name="EMV1V"/>
      </mc:Fallback>
    </mc:AlternateContent>
    <mc:AlternateContent xmlns:mc="http://schemas.openxmlformats.org/markup-compatibility/2006">
      <mc:Choice Requires="x14">
        <control shapeId="5154" r:id="rId106" name="EMV1VN">
          <controlPr defaultSize="0" autoLine="0" autoPict="0" r:id="rId107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106" name="EMV1VN"/>
      </mc:Fallback>
    </mc:AlternateContent>
    <mc:AlternateContent xmlns:mc="http://schemas.openxmlformats.org/markup-compatibility/2006">
      <mc:Choice Requires="x14">
        <control shapeId="5155" r:id="rId108" name="EMV2D">
          <controlPr defaultSize="0" autoLine="0" autoPict="0" r:id="rId109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108" name="EMV2D"/>
      </mc:Fallback>
    </mc:AlternateContent>
    <mc:AlternateContent xmlns:mc="http://schemas.openxmlformats.org/markup-compatibility/2006">
      <mc:Choice Requires="x14">
        <control shapeId="5156" r:id="rId110" name="EMV2V">
          <controlPr defaultSize="0" autoLine="0" autoPict="0" r:id="rId11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110" name="EMV2V"/>
      </mc:Fallback>
    </mc:AlternateContent>
    <mc:AlternateContent xmlns:mc="http://schemas.openxmlformats.org/markup-compatibility/2006">
      <mc:Choice Requires="x14">
        <control shapeId="5157" r:id="rId112" name="EVU1D">
          <controlPr defaultSize="0" autoLine="0" autoPict="0" r:id="rId113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12" name="EVU1D"/>
      </mc:Fallback>
    </mc:AlternateContent>
    <mc:AlternateContent xmlns:mc="http://schemas.openxmlformats.org/markup-compatibility/2006">
      <mc:Choice Requires="x14">
        <control shapeId="5158" r:id="rId114" name="EHV1D">
          <controlPr defaultSize="0" autoLine="0" autoPict="0" r:id="rId11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14" name="EHV1D"/>
      </mc:Fallback>
    </mc:AlternateContent>
    <mc:AlternateContent xmlns:mc="http://schemas.openxmlformats.org/markup-compatibility/2006">
      <mc:Choice Requires="x14">
        <control shapeId="5159" r:id="rId116" name="EHV2D">
          <controlPr defaultSize="0" autoLine="0" autoPict="0" r:id="rId117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16" name="EHV2D"/>
      </mc:Fallback>
    </mc:AlternateContent>
    <mc:AlternateContent xmlns:mc="http://schemas.openxmlformats.org/markup-compatibility/2006">
      <mc:Choice Requires="x14">
        <control shapeId="5160" r:id="rId118" name="EDV1D">
          <controlPr defaultSize="0" autoLine="0" autoPict="0" r:id="rId119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18" name="EDV1D"/>
      </mc:Fallback>
    </mc:AlternateContent>
    <mc:AlternateContent xmlns:mc="http://schemas.openxmlformats.org/markup-compatibility/2006">
      <mc:Choice Requires="x14">
        <control shapeId="5161" r:id="rId120" name="EWV1D_450">
          <controlPr defaultSize="0" autoLine="0" autoPict="0" r:id="rId42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20" name="EWV1D_450"/>
      </mc:Fallback>
    </mc:AlternateContent>
    <mc:AlternateContent xmlns:mc="http://schemas.openxmlformats.org/markup-compatibility/2006">
      <mc:Choice Requires="x14">
        <control shapeId="5162" r:id="rId121" name="EWV2D_600">
          <controlPr defaultSize="0" autoLine="0" autoPict="0" r:id="rId39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21" name="EWV2D_600"/>
      </mc:Fallback>
    </mc:AlternateContent>
    <mc:AlternateContent xmlns:mc="http://schemas.openxmlformats.org/markup-compatibility/2006">
      <mc:Choice Requires="x14">
        <control shapeId="5163" r:id="rId122" name="EWV2V_450">
          <controlPr defaultSize="0" autoLine="0" autoPict="0" r:id="rId12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22" name="EWV2V_450"/>
      </mc:Fallback>
    </mc:AlternateContent>
    <mc:AlternateContent xmlns:mc="http://schemas.openxmlformats.org/markup-compatibility/2006">
      <mc:Choice Requires="x14">
        <control shapeId="5164" r:id="rId124" name="EWV1V_450">
          <controlPr defaultSize="0" autoLine="0" autoPict="0" r:id="rId125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24" name="EWV1V_450"/>
      </mc:Fallback>
    </mc:AlternateContent>
    <mc:AlternateContent xmlns:mc="http://schemas.openxmlformats.org/markup-compatibility/2006">
      <mc:Choice Requires="x14">
        <control shapeId="5167" r:id="rId126" name="EVG1D">
          <controlPr defaultSize="0" autoLine="0" autoPict="0" r:id="rId127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26" name="EVG1D"/>
      </mc:Fallback>
    </mc:AlternateContent>
    <mc:AlternateContent xmlns:mc="http://schemas.openxmlformats.org/markup-compatibility/2006">
      <mc:Choice Requires="x14">
        <control shapeId="5168" r:id="rId128" name="EVG2D">
          <controlPr defaultSize="0" autoLine="0" autoPict="0" r:id="rId129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28" name="EVG2D"/>
      </mc:Fallback>
    </mc:AlternateContent>
    <mc:AlternateContent xmlns:mc="http://schemas.openxmlformats.org/markup-compatibility/2006">
      <mc:Choice Requires="x14">
        <control shapeId="5169" r:id="rId130" name="EVG2V">
          <controlPr defaultSize="0" autoLine="0" autoPict="0" r:id="rId131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30" name="EVG2V"/>
      </mc:Fallback>
    </mc:AlternateContent>
    <mc:AlternateContent xmlns:mc="http://schemas.openxmlformats.org/markup-compatibility/2006">
      <mc:Choice Requires="x14">
        <control shapeId="5170" r:id="rId132" name="EVUG1D">
          <controlPr defaultSize="0" autoLine="0" autoPict="0" r:id="rId133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32" name="EVUG1D"/>
      </mc:Fallback>
    </mc:AlternateContent>
    <mc:AlternateContent xmlns:mc="http://schemas.openxmlformats.org/markup-compatibility/2006">
      <mc:Choice Requires="x14">
        <control shapeId="5172" r:id="rId134" name="ESVX1D_960">
          <controlPr defaultSize="0" autoLine="0" autoPict="0" r:id="rId135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34" name="ESVX1D_960"/>
      </mc:Fallback>
    </mc:AlternateContent>
    <mc:AlternateContent xmlns:mc="http://schemas.openxmlformats.org/markup-compatibility/2006">
      <mc:Choice Requires="x14">
        <control shapeId="5173" r:id="rId136" name="EP1D">
          <controlPr defaultSize="0" autoLine="0" autoPict="0" r:id="rId13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36" name="EP1D"/>
      </mc:Fallback>
    </mc:AlternateContent>
    <mc:AlternateContent xmlns:mc="http://schemas.openxmlformats.org/markup-compatibility/2006">
      <mc:Choice Requires="x14">
        <control shapeId="5174" r:id="rId138" name="EPG1D">
          <controlPr defaultSize="0" autoLine="0" autoPict="0" r:id="rId139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38" name="EPG1D"/>
      </mc:Fallback>
    </mc:AlternateContent>
    <mc:AlternateContent xmlns:mc="http://schemas.openxmlformats.org/markup-compatibility/2006">
      <mc:Choice Requires="x14">
        <control shapeId="5175" r:id="rId140" name="EPT1D_455">
          <controlPr defaultSize="0" autoLine="0" autoPict="0" r:id="rId141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40" name="EPT1D_455"/>
      </mc:Fallback>
    </mc:AlternateContent>
    <mc:AlternateContent xmlns:mc="http://schemas.openxmlformats.org/markup-compatibility/2006">
      <mc:Choice Requires="x14">
        <control shapeId="5176" r:id="rId142" name="EPT1B">
          <controlPr defaultSize="0" autoLine="0" autoPict="0" r:id="rId143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42" name="EPT1B"/>
      </mc:Fallback>
    </mc:AlternateContent>
    <mc:AlternateContent xmlns:mc="http://schemas.openxmlformats.org/markup-compatibility/2006">
      <mc:Choice Requires="x14">
        <control shapeId="5177" r:id="rId144" name="EP2D">
          <controlPr defaultSize="0" autoLine="0" autoPict="0" r:id="rId145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44" name="EP2D"/>
      </mc:Fallback>
    </mc:AlternateContent>
    <mc:AlternateContent xmlns:mc="http://schemas.openxmlformats.org/markup-compatibility/2006">
      <mc:Choice Requires="x14">
        <control shapeId="5178" r:id="rId146" name="EPG2D_EPG2DM">
          <controlPr defaultSize="0" autoLine="0" autoPict="0" r:id="rId147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46" name="EPG2D_EPG2DM"/>
      </mc:Fallback>
    </mc:AlternateContent>
    <mc:AlternateContent xmlns:mc="http://schemas.openxmlformats.org/markup-compatibility/2006">
      <mc:Choice Requires="x14">
        <control shapeId="5179" r:id="rId148" name="EPS2D">
          <controlPr defaultSize="0" autoLine="0" autoPict="0" r:id="rId1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48" name="EPS2D"/>
      </mc:Fallback>
    </mc:AlternateContent>
    <mc:AlternateContent xmlns:mc="http://schemas.openxmlformats.org/markup-compatibility/2006">
      <mc:Choice Requires="x14">
        <control shapeId="5180" r:id="rId150" name="EPSG2D">
          <controlPr defaultSize="0" autoLine="0" autoPict="0" r:id="rId15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50" name="EPSG2D"/>
      </mc:Fallback>
    </mc:AlternateContent>
    <mc:AlternateContent xmlns:mc="http://schemas.openxmlformats.org/markup-compatibility/2006">
      <mc:Choice Requires="x14">
        <control shapeId="5181" r:id="rId152" name="EP3B1D">
          <controlPr defaultSize="0" autoLine="0" autoPict="0" r:id="rId15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52" name="EP3B1D"/>
      </mc:Fallback>
    </mc:AlternateContent>
    <mc:AlternateContent xmlns:mc="http://schemas.openxmlformats.org/markup-compatibility/2006">
      <mc:Choice Requires="x14">
        <control shapeId="5182" r:id="rId154" name="EP2B1D">
          <controlPr defaultSize="0" autoLine="0" autoPict="0" r:id="rId155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54" name="EP2B1D"/>
      </mc:Fallback>
    </mc:AlternateContent>
    <mc:AlternateContent xmlns:mc="http://schemas.openxmlformats.org/markup-compatibility/2006">
      <mc:Choice Requires="x14">
        <control shapeId="5183" r:id="rId156" name="EPT2D_455">
          <controlPr defaultSize="0" autoLine="0" autoPict="0" r:id="rId157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56" name="EPT2D_455"/>
      </mc:Fallback>
    </mc:AlternateContent>
    <mc:AlternateContent xmlns:mc="http://schemas.openxmlformats.org/markup-compatibility/2006">
      <mc:Choice Requires="x14">
        <control shapeId="5184" r:id="rId158" name="EPTG2D_455">
          <controlPr defaultSize="0" autoLine="0" autoPict="0" r:id="rId159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58" name="EPTG2D_455"/>
      </mc:Fallback>
    </mc:AlternateContent>
    <mc:AlternateContent xmlns:mc="http://schemas.openxmlformats.org/markup-compatibility/2006">
      <mc:Choice Requires="x14">
        <control shapeId="5185" r:id="rId160" name="EPT2B1D_382">
          <controlPr defaultSize="0" autoLine="0" autoPict="0" r:id="rId16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60" name="EPT2B1D_382"/>
      </mc:Fallback>
    </mc:AlternateContent>
    <mc:AlternateContent xmlns:mc="http://schemas.openxmlformats.org/markup-compatibility/2006">
      <mc:Choice Requires="x14">
        <control shapeId="5186" r:id="rId162" name="EPTP1D_595">
          <controlPr defaultSize="0" autoLine="0" autoPict="0" r:id="rId163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62" name="EPTP1D_595"/>
      </mc:Fallback>
    </mc:AlternateContent>
    <mc:AlternateContent xmlns:mc="http://schemas.openxmlformats.org/markup-compatibility/2006">
      <mc:Choice Requires="x14">
        <control shapeId="5187" r:id="rId164" name="EPT1B1D_595">
          <controlPr defaultSize="0" autoLine="0" autoPict="0" r:id="rId165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64" name="EPT1B1D_595"/>
      </mc:Fallback>
    </mc:AlternateContent>
    <mc:AlternateContent xmlns:mc="http://schemas.openxmlformats.org/markup-compatibility/2006">
      <mc:Choice Requires="x14">
        <control shapeId="5188" r:id="rId166" name="EPTG1B1D_595">
          <controlPr defaultSize="0" autoLine="0" autoPict="0" r:id="rId167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66" name="EPTG1B1D_595"/>
      </mc:Fallback>
    </mc:AlternateContent>
    <mc:AlternateContent xmlns:mc="http://schemas.openxmlformats.org/markup-compatibility/2006">
      <mc:Choice Requires="x14">
        <control shapeId="5189" r:id="rId168" name="EPSP2D">
          <controlPr defaultSize="0" autoLine="0" autoPict="0" r:id="rId169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68" name="EPSP2D"/>
      </mc:Fallback>
    </mc:AlternateContent>
    <mc:AlternateContent xmlns:mc="http://schemas.openxmlformats.org/markup-compatibility/2006">
      <mc:Choice Requires="x14">
        <control shapeId="5193" r:id="rId170" name="EMN1K_450">
          <controlPr defaultSize="0" autoLine="0" r:id="rId56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70" name="EMN1K_450"/>
      </mc:Fallback>
    </mc:AlternateContent>
    <mc:AlternateContent xmlns:mc="http://schemas.openxmlformats.org/markup-compatibility/2006">
      <mc:Choice Requires="x14">
        <control shapeId="5194" r:id="rId171" name="ENG1K_450">
          <controlPr defaultSize="0" autoLine="0" r:id="rId9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71" name="ENG1K_450"/>
      </mc:Fallback>
    </mc:AlternateContent>
    <mc:AlternateContent xmlns:mc="http://schemas.openxmlformats.org/markup-compatibility/2006">
      <mc:Choice Requires="x14">
        <control shapeId="5201" r:id="rId172" name="EPT2D_595">
          <controlPr defaultSize="0" autoLine="0" r:id="rId157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72" name="EPT2D_595"/>
      </mc:Fallback>
    </mc:AlternateContent>
    <mc:AlternateContent xmlns:mc="http://schemas.openxmlformats.org/markup-compatibility/2006">
      <mc:Choice Requires="x14">
        <control shapeId="5202" r:id="rId173" name="EPTG2D_595">
          <controlPr defaultSize="0" autoLine="0" r:id="rId159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3" name="EPTG2D_595"/>
      </mc:Fallback>
    </mc:AlternateContent>
    <mc:AlternateContent xmlns:mc="http://schemas.openxmlformats.org/markup-compatibility/2006">
      <mc:Choice Requires="x14">
        <control shapeId="5203" r:id="rId174" name="EPT2B1D_455">
          <controlPr defaultSize="0" autoLine="0" r:id="rId16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74" name="EPT2B1D_455"/>
      </mc:Fallback>
    </mc:AlternateContent>
    <mc:AlternateContent xmlns:mc="http://schemas.openxmlformats.org/markup-compatibility/2006">
      <mc:Choice Requires="x14">
        <control shapeId="5204" r:id="rId175" name="EPT2B1D_595">
          <controlPr defaultSize="0" autoLine="0" r:id="rId16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75" name="EPT2B1D_595"/>
      </mc:Fallback>
    </mc:AlternateContent>
    <mc:AlternateContent xmlns:mc="http://schemas.openxmlformats.org/markup-compatibility/2006">
      <mc:Choice Requires="x14">
        <control shapeId="5205" r:id="rId176" name="EPT1D_595">
          <controlPr defaultSize="0" autoLine="0" r:id="rId141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76" name="EPT1D_595"/>
      </mc:Fallback>
    </mc:AlternateContent>
    <mc:AlternateContent xmlns:mc="http://schemas.openxmlformats.org/markup-compatibility/2006">
      <mc:Choice Requires="x14">
        <control shapeId="5208" r:id="rId177" name="EWV1V_900">
          <controlPr defaultSize="0" autoLine="0" r:id="rId125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77" name="EWV1V_900"/>
      </mc:Fallback>
    </mc:AlternateContent>
    <mc:AlternateContent xmlns:mc="http://schemas.openxmlformats.org/markup-compatibility/2006">
      <mc:Choice Requires="x14">
        <control shapeId="5209" r:id="rId178" name="ERV1D">
          <controlPr defaultSize="0" autoLine="0" r:id="rId17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78" name="ERV1D"/>
      </mc:Fallback>
    </mc:AlternateContent>
    <mc:AlternateContent xmlns:mc="http://schemas.openxmlformats.org/markup-compatibility/2006">
      <mc:Choice Requires="x14">
        <control shapeId="5212" r:id="rId180" name="ESVX1D_720">
          <controlPr defaultSize="0" autoLine="0" r:id="rId13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80" name="ESVX1D_720"/>
      </mc:Fallback>
    </mc:AlternateContent>
    <mc:AlternateContent xmlns:mc="http://schemas.openxmlformats.org/markup-compatibility/2006">
      <mc:Choice Requires="x14">
        <control shapeId="5214" r:id="rId181" name="EMN1W1B">
          <controlPr defaultSize="0" autoLine="0" autoPict="0" r:id="rId18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81" name="EMN1W1B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02FE-3771-46E4-91F9-639E58603A4B}">
  <sheetPr codeName="Лист8"/>
  <dimension ref="A1:A5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1143</v>
      </c>
    </row>
    <row r="3" spans="1:1" x14ac:dyDescent="0.25">
      <c r="A3" t="s">
        <v>1144</v>
      </c>
    </row>
    <row r="4" spans="1:1" x14ac:dyDescent="0.25">
      <c r="A4" t="s">
        <v>1145</v>
      </c>
    </row>
    <row r="5" spans="1:1" x14ac:dyDescent="0.25">
      <c r="A5" t="s">
        <v>1146</v>
      </c>
    </row>
  </sheetData>
  <sheetProtection algorithmName="SHA-512" hashValue="S5euiksu8p506rtTcnMrN6FbJBydEU1j4hwVjkv9iFB5iGnO0eE9JfuDP8gVvVl92cSUd3Twi4xLjtOT0xJJsA==" saltValue="3duEvKH+/USBSbmyQGJe+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149D-8B86-4C6B-A06D-FF5E98F4E2AF}">
  <sheetPr codeName="Лист6">
    <outlinePr summaryBelow="0" summaryRight="0"/>
    <pageSetUpPr autoPageBreaks="0"/>
  </sheetPr>
  <dimension ref="A1:O336"/>
  <sheetViews>
    <sheetView workbookViewId="0">
      <selection activeCell="H2" sqref="H2"/>
    </sheetView>
  </sheetViews>
  <sheetFormatPr defaultColWidth="9" defaultRowHeight="11.45" customHeight="1" x14ac:dyDescent="0.2"/>
  <cols>
    <col min="1" max="1" width="26" style="191" customWidth="1"/>
    <col min="2" max="2" width="24" style="191" customWidth="1"/>
    <col min="3" max="3" width="15" style="191" customWidth="1"/>
    <col min="4" max="6" width="24" style="191" customWidth="1"/>
    <col min="7" max="7" width="28" style="191" customWidth="1"/>
    <col min="8" max="8" width="16" style="191" customWidth="1"/>
    <col min="9" max="9" width="17" style="191" customWidth="1"/>
    <col min="10" max="10" width="24" style="191" customWidth="1"/>
    <col min="11" max="11" width="60" style="191" customWidth="1"/>
    <col min="12" max="12" width="25" style="191" customWidth="1"/>
    <col min="13" max="13" width="21" style="191" customWidth="1"/>
    <col min="14" max="14" width="39" style="191" customWidth="1"/>
    <col min="15" max="15" width="17" style="191" customWidth="1"/>
    <col min="16" max="16384" width="9" style="185"/>
  </cols>
  <sheetData>
    <row r="1" spans="1:15" ht="12.95" customHeight="1" x14ac:dyDescent="0.2">
      <c r="A1" s="184" t="s">
        <v>883</v>
      </c>
      <c r="B1" s="184" t="s">
        <v>884</v>
      </c>
      <c r="C1" s="184" t="s">
        <v>885</v>
      </c>
      <c r="D1" s="184" t="s">
        <v>349</v>
      </c>
      <c r="E1" s="184" t="s">
        <v>886</v>
      </c>
      <c r="F1" s="184" t="s">
        <v>887</v>
      </c>
      <c r="G1" s="184" t="s">
        <v>888</v>
      </c>
      <c r="H1" s="184" t="s">
        <v>889</v>
      </c>
      <c r="I1" s="184" t="s">
        <v>890</v>
      </c>
      <c r="J1" s="184" t="s">
        <v>891</v>
      </c>
      <c r="K1" s="184" t="s">
        <v>892</v>
      </c>
      <c r="L1" s="184" t="s">
        <v>893</v>
      </c>
      <c r="M1" s="184" t="s">
        <v>894</v>
      </c>
      <c r="N1" s="184" t="s">
        <v>895</v>
      </c>
      <c r="O1" s="184" t="s">
        <v>896</v>
      </c>
    </row>
    <row r="2" spans="1:15" ht="11.1" customHeight="1" x14ac:dyDescent="0.2">
      <c r="A2" s="186" t="s">
        <v>897</v>
      </c>
      <c r="B2" s="186" t="s">
        <v>898</v>
      </c>
      <c r="C2" s="187">
        <v>3</v>
      </c>
      <c r="D2" s="186" t="s">
        <v>899</v>
      </c>
      <c r="E2" s="186"/>
      <c r="F2" s="186" t="s">
        <v>900</v>
      </c>
      <c r="G2" s="186"/>
      <c r="H2" s="188">
        <v>5819.1</v>
      </c>
      <c r="I2" s="189"/>
      <c r="J2" s="186" t="s">
        <v>901</v>
      </c>
      <c r="K2" s="186"/>
      <c r="L2" s="186" t="s">
        <v>10</v>
      </c>
      <c r="M2" s="186" t="s">
        <v>10</v>
      </c>
      <c r="N2" s="190">
        <v>1</v>
      </c>
      <c r="O2" s="189"/>
    </row>
    <row r="3" spans="1:15" ht="11.1" customHeight="1" x14ac:dyDescent="0.2">
      <c r="A3" s="186" t="s">
        <v>897</v>
      </c>
      <c r="B3" s="186" t="s">
        <v>898</v>
      </c>
      <c r="C3" s="187">
        <v>17</v>
      </c>
      <c r="D3" s="186" t="s">
        <v>899</v>
      </c>
      <c r="E3" s="186"/>
      <c r="F3" s="186" t="s">
        <v>902</v>
      </c>
      <c r="G3" s="186"/>
      <c r="H3" s="188">
        <v>7273.35</v>
      </c>
      <c r="I3" s="189"/>
      <c r="J3" s="186" t="s">
        <v>901</v>
      </c>
      <c r="K3" s="186"/>
      <c r="L3" s="186" t="s">
        <v>10</v>
      </c>
      <c r="M3" s="186" t="s">
        <v>10</v>
      </c>
      <c r="N3" s="190">
        <v>1</v>
      </c>
      <c r="O3" s="189"/>
    </row>
    <row r="4" spans="1:15" ht="11.1" customHeight="1" x14ac:dyDescent="0.2">
      <c r="A4" s="186" t="s">
        <v>897</v>
      </c>
      <c r="B4" s="186" t="s">
        <v>898</v>
      </c>
      <c r="C4" s="187">
        <v>1</v>
      </c>
      <c r="D4" s="186" t="s">
        <v>899</v>
      </c>
      <c r="E4" s="186"/>
      <c r="F4" s="186" t="s">
        <v>903</v>
      </c>
      <c r="G4" s="186"/>
      <c r="H4" s="188">
        <v>3394.65</v>
      </c>
      <c r="I4" s="189"/>
      <c r="J4" s="186" t="s">
        <v>901</v>
      </c>
      <c r="K4" s="186"/>
      <c r="L4" s="186" t="s">
        <v>10</v>
      </c>
      <c r="M4" s="186" t="s">
        <v>10</v>
      </c>
      <c r="N4" s="190">
        <v>1</v>
      </c>
      <c r="O4" s="189"/>
    </row>
    <row r="5" spans="1:15" ht="11.1" customHeight="1" x14ac:dyDescent="0.2">
      <c r="A5" s="186" t="s">
        <v>897</v>
      </c>
      <c r="B5" s="186" t="s">
        <v>898</v>
      </c>
      <c r="C5" s="187">
        <v>15</v>
      </c>
      <c r="D5" s="186" t="s">
        <v>899</v>
      </c>
      <c r="E5" s="186"/>
      <c r="F5" s="186" t="s">
        <v>904</v>
      </c>
      <c r="G5" s="186"/>
      <c r="H5" s="188">
        <v>4243.05</v>
      </c>
      <c r="I5" s="189"/>
      <c r="J5" s="186" t="s">
        <v>901</v>
      </c>
      <c r="K5" s="186"/>
      <c r="L5" s="186" t="s">
        <v>10</v>
      </c>
      <c r="M5" s="186" t="s">
        <v>10</v>
      </c>
      <c r="N5" s="190">
        <v>1</v>
      </c>
      <c r="O5" s="189"/>
    </row>
    <row r="6" spans="1:15" ht="11.1" customHeight="1" x14ac:dyDescent="0.2">
      <c r="A6" s="186" t="s">
        <v>897</v>
      </c>
      <c r="B6" s="186" t="s">
        <v>898</v>
      </c>
      <c r="C6" s="187">
        <v>2</v>
      </c>
      <c r="D6" s="186" t="s">
        <v>899</v>
      </c>
      <c r="E6" s="186"/>
      <c r="F6" s="186" t="s">
        <v>905</v>
      </c>
      <c r="G6" s="186"/>
      <c r="H6" s="188">
        <v>4881.45</v>
      </c>
      <c r="I6" s="189"/>
      <c r="J6" s="186" t="s">
        <v>901</v>
      </c>
      <c r="K6" s="186"/>
      <c r="L6" s="186" t="s">
        <v>10</v>
      </c>
      <c r="M6" s="186" t="s">
        <v>10</v>
      </c>
      <c r="N6" s="190">
        <v>1</v>
      </c>
      <c r="O6" s="189"/>
    </row>
    <row r="7" spans="1:15" ht="11.1" customHeight="1" x14ac:dyDescent="0.2">
      <c r="A7" s="186" t="s">
        <v>897</v>
      </c>
      <c r="B7" s="186" t="s">
        <v>898</v>
      </c>
      <c r="C7" s="187">
        <v>16</v>
      </c>
      <c r="D7" s="186" t="s">
        <v>899</v>
      </c>
      <c r="E7" s="186"/>
      <c r="F7" s="186" t="s">
        <v>906</v>
      </c>
      <c r="G7" s="186"/>
      <c r="H7" s="188">
        <v>6100.5</v>
      </c>
      <c r="I7" s="189"/>
      <c r="J7" s="186" t="s">
        <v>901</v>
      </c>
      <c r="K7" s="186"/>
      <c r="L7" s="186" t="s">
        <v>10</v>
      </c>
      <c r="M7" s="186" t="s">
        <v>10</v>
      </c>
      <c r="N7" s="190">
        <v>1</v>
      </c>
      <c r="O7" s="189"/>
    </row>
    <row r="8" spans="1:15" ht="11.1" customHeight="1" x14ac:dyDescent="0.2">
      <c r="A8" s="186" t="s">
        <v>897</v>
      </c>
      <c r="B8" s="186" t="s">
        <v>898</v>
      </c>
      <c r="C8" s="187">
        <v>4</v>
      </c>
      <c r="D8" s="186" t="s">
        <v>899</v>
      </c>
      <c r="E8" s="186"/>
      <c r="F8" s="186" t="s">
        <v>907</v>
      </c>
      <c r="G8" s="186"/>
      <c r="H8" s="188">
        <v>4117.05</v>
      </c>
      <c r="I8" s="189"/>
      <c r="J8" s="186" t="s">
        <v>901</v>
      </c>
      <c r="K8" s="186"/>
      <c r="L8" s="186" t="s">
        <v>10</v>
      </c>
      <c r="M8" s="186" t="s">
        <v>10</v>
      </c>
      <c r="N8" s="190">
        <v>1</v>
      </c>
      <c r="O8" s="189"/>
    </row>
    <row r="9" spans="1:15" ht="11.1" customHeight="1" x14ac:dyDescent="0.2">
      <c r="A9" s="186" t="s">
        <v>897</v>
      </c>
      <c r="B9" s="186" t="s">
        <v>898</v>
      </c>
      <c r="C9" s="187">
        <v>18</v>
      </c>
      <c r="D9" s="186" t="s">
        <v>899</v>
      </c>
      <c r="E9" s="186"/>
      <c r="F9" s="186" t="s">
        <v>908</v>
      </c>
      <c r="G9" s="186"/>
      <c r="H9" s="188">
        <v>5145</v>
      </c>
      <c r="I9" s="189"/>
      <c r="J9" s="186" t="s">
        <v>901</v>
      </c>
      <c r="K9" s="186"/>
      <c r="L9" s="186" t="s">
        <v>10</v>
      </c>
      <c r="M9" s="186" t="s">
        <v>10</v>
      </c>
      <c r="N9" s="190">
        <v>1</v>
      </c>
      <c r="O9" s="189"/>
    </row>
    <row r="10" spans="1:15" ht="11.1" customHeight="1" x14ac:dyDescent="0.2">
      <c r="A10" s="186" t="s">
        <v>897</v>
      </c>
      <c r="B10" s="186" t="s">
        <v>898</v>
      </c>
      <c r="C10" s="187">
        <v>5</v>
      </c>
      <c r="D10" s="186" t="s">
        <v>899</v>
      </c>
      <c r="E10" s="186"/>
      <c r="F10" s="186" t="s">
        <v>909</v>
      </c>
      <c r="G10" s="186"/>
      <c r="H10" s="188">
        <v>5819.1</v>
      </c>
      <c r="I10" s="189"/>
      <c r="J10" s="186" t="s">
        <v>901</v>
      </c>
      <c r="K10" s="186"/>
      <c r="L10" s="186" t="s">
        <v>10</v>
      </c>
      <c r="M10" s="186" t="s">
        <v>10</v>
      </c>
      <c r="N10" s="190">
        <v>1</v>
      </c>
      <c r="O10" s="189"/>
    </row>
    <row r="11" spans="1:15" ht="11.1" customHeight="1" x14ac:dyDescent="0.2">
      <c r="A11" s="186" t="s">
        <v>897</v>
      </c>
      <c r="B11" s="186" t="s">
        <v>898</v>
      </c>
      <c r="C11" s="187">
        <v>19</v>
      </c>
      <c r="D11" s="186" t="s">
        <v>899</v>
      </c>
      <c r="E11" s="186"/>
      <c r="F11" s="186" t="s">
        <v>910</v>
      </c>
      <c r="G11" s="186"/>
      <c r="H11" s="188">
        <v>7273.35</v>
      </c>
      <c r="I11" s="189"/>
      <c r="J11" s="186" t="s">
        <v>901</v>
      </c>
      <c r="K11" s="186"/>
      <c r="L11" s="186" t="s">
        <v>10</v>
      </c>
      <c r="M11" s="186" t="s">
        <v>10</v>
      </c>
      <c r="N11" s="190">
        <v>1</v>
      </c>
      <c r="O11" s="189"/>
    </row>
    <row r="12" spans="1:15" ht="11.1" customHeight="1" x14ac:dyDescent="0.2">
      <c r="A12" s="186" t="s">
        <v>897</v>
      </c>
      <c r="B12" s="186" t="s">
        <v>898</v>
      </c>
      <c r="C12" s="187">
        <v>6</v>
      </c>
      <c r="D12" s="186" t="s">
        <v>899</v>
      </c>
      <c r="E12" s="186"/>
      <c r="F12" s="186" t="s">
        <v>911</v>
      </c>
      <c r="G12" s="186"/>
      <c r="H12" s="188">
        <v>6754.65</v>
      </c>
      <c r="I12" s="189"/>
      <c r="J12" s="186" t="s">
        <v>901</v>
      </c>
      <c r="K12" s="186"/>
      <c r="L12" s="186" t="s">
        <v>10</v>
      </c>
      <c r="M12" s="186" t="s">
        <v>10</v>
      </c>
      <c r="N12" s="190">
        <v>1</v>
      </c>
      <c r="O12" s="189"/>
    </row>
    <row r="13" spans="1:15" ht="11.1" customHeight="1" x14ac:dyDescent="0.2">
      <c r="A13" s="186" t="s">
        <v>897</v>
      </c>
      <c r="B13" s="186" t="s">
        <v>898</v>
      </c>
      <c r="C13" s="187">
        <v>20</v>
      </c>
      <c r="D13" s="186" t="s">
        <v>899</v>
      </c>
      <c r="E13" s="186"/>
      <c r="F13" s="186" t="s">
        <v>912</v>
      </c>
      <c r="G13" s="186"/>
      <c r="H13" s="188">
        <v>8443.0499999999993</v>
      </c>
      <c r="I13" s="189"/>
      <c r="J13" s="186" t="s">
        <v>901</v>
      </c>
      <c r="K13" s="186"/>
      <c r="L13" s="186" t="s">
        <v>10</v>
      </c>
      <c r="M13" s="186" t="s">
        <v>10</v>
      </c>
      <c r="N13" s="190">
        <v>1</v>
      </c>
      <c r="O13" s="189"/>
    </row>
    <row r="14" spans="1:15" ht="11.1" customHeight="1" x14ac:dyDescent="0.2">
      <c r="A14" s="186" t="s">
        <v>897</v>
      </c>
      <c r="B14" s="186" t="s">
        <v>898</v>
      </c>
      <c r="C14" s="187">
        <v>7</v>
      </c>
      <c r="D14" s="186" t="s">
        <v>899</v>
      </c>
      <c r="E14" s="186"/>
      <c r="F14" s="186" t="s">
        <v>913</v>
      </c>
      <c r="G14" s="186"/>
      <c r="H14" s="188">
        <v>7693.35</v>
      </c>
      <c r="I14" s="189"/>
      <c r="J14" s="186" t="s">
        <v>901</v>
      </c>
      <c r="K14" s="186"/>
      <c r="L14" s="186" t="s">
        <v>10</v>
      </c>
      <c r="M14" s="186" t="s">
        <v>10</v>
      </c>
      <c r="N14" s="190">
        <v>1</v>
      </c>
      <c r="O14" s="189"/>
    </row>
    <row r="15" spans="1:15" ht="11.1" customHeight="1" x14ac:dyDescent="0.2">
      <c r="A15" s="186" t="s">
        <v>897</v>
      </c>
      <c r="B15" s="186" t="s">
        <v>898</v>
      </c>
      <c r="C15" s="187">
        <v>21</v>
      </c>
      <c r="D15" s="186" t="s">
        <v>899</v>
      </c>
      <c r="E15" s="186"/>
      <c r="F15" s="186" t="s">
        <v>914</v>
      </c>
      <c r="G15" s="186"/>
      <c r="H15" s="188">
        <v>9615.9</v>
      </c>
      <c r="I15" s="189"/>
      <c r="J15" s="186" t="s">
        <v>901</v>
      </c>
      <c r="K15" s="186"/>
      <c r="L15" s="186" t="s">
        <v>10</v>
      </c>
      <c r="M15" s="186" t="s">
        <v>10</v>
      </c>
      <c r="N15" s="190">
        <v>1</v>
      </c>
      <c r="O15" s="189"/>
    </row>
    <row r="16" spans="1:15" ht="11.1" customHeight="1" x14ac:dyDescent="0.2">
      <c r="A16" s="186" t="s">
        <v>897</v>
      </c>
      <c r="B16" s="186" t="s">
        <v>898</v>
      </c>
      <c r="C16" s="187">
        <v>8</v>
      </c>
      <c r="D16" s="186" t="s">
        <v>899</v>
      </c>
      <c r="E16" s="186"/>
      <c r="F16" s="186" t="s">
        <v>915</v>
      </c>
      <c r="G16" s="186"/>
      <c r="H16" s="188">
        <v>3734.85</v>
      </c>
      <c r="I16" s="189"/>
      <c r="J16" s="186" t="s">
        <v>901</v>
      </c>
      <c r="K16" s="186"/>
      <c r="L16" s="186" t="s">
        <v>10</v>
      </c>
      <c r="M16" s="186" t="s">
        <v>10</v>
      </c>
      <c r="N16" s="190">
        <v>1</v>
      </c>
      <c r="O16" s="189"/>
    </row>
    <row r="17" spans="1:15" ht="11.1" customHeight="1" x14ac:dyDescent="0.2">
      <c r="A17" s="186" t="s">
        <v>897</v>
      </c>
      <c r="B17" s="186" t="s">
        <v>898</v>
      </c>
      <c r="C17" s="187">
        <v>22</v>
      </c>
      <c r="D17" s="186" t="s">
        <v>899</v>
      </c>
      <c r="E17" s="186"/>
      <c r="F17" s="186" t="s">
        <v>916</v>
      </c>
      <c r="G17" s="186"/>
      <c r="H17" s="188">
        <v>4667.25</v>
      </c>
      <c r="I17" s="189"/>
      <c r="J17" s="186" t="s">
        <v>901</v>
      </c>
      <c r="K17" s="186"/>
      <c r="L17" s="186" t="s">
        <v>10</v>
      </c>
      <c r="M17" s="186" t="s">
        <v>10</v>
      </c>
      <c r="N17" s="190">
        <v>1</v>
      </c>
      <c r="O17" s="189"/>
    </row>
    <row r="18" spans="1:15" ht="11.1" customHeight="1" x14ac:dyDescent="0.2">
      <c r="A18" s="186" t="s">
        <v>897</v>
      </c>
      <c r="B18" s="186" t="s">
        <v>898</v>
      </c>
      <c r="C18" s="187">
        <v>9</v>
      </c>
      <c r="D18" s="186" t="s">
        <v>899</v>
      </c>
      <c r="E18" s="186"/>
      <c r="F18" s="186" t="s">
        <v>917</v>
      </c>
      <c r="G18" s="186"/>
      <c r="H18" s="188">
        <v>5368.65</v>
      </c>
      <c r="I18" s="189"/>
      <c r="J18" s="186" t="s">
        <v>901</v>
      </c>
      <c r="K18" s="186"/>
      <c r="L18" s="186" t="s">
        <v>10</v>
      </c>
      <c r="M18" s="186" t="s">
        <v>10</v>
      </c>
      <c r="N18" s="190">
        <v>1</v>
      </c>
      <c r="O18" s="189"/>
    </row>
    <row r="19" spans="1:15" ht="11.1" customHeight="1" x14ac:dyDescent="0.2">
      <c r="A19" s="186" t="s">
        <v>897</v>
      </c>
      <c r="B19" s="186" t="s">
        <v>898</v>
      </c>
      <c r="C19" s="187">
        <v>23</v>
      </c>
      <c r="D19" s="186" t="s">
        <v>899</v>
      </c>
      <c r="E19" s="186"/>
      <c r="F19" s="186" t="s">
        <v>918</v>
      </c>
      <c r="G19" s="186"/>
      <c r="H19" s="188">
        <v>6710.55</v>
      </c>
      <c r="I19" s="189"/>
      <c r="J19" s="186" t="s">
        <v>901</v>
      </c>
      <c r="K19" s="186"/>
      <c r="L19" s="186" t="s">
        <v>10</v>
      </c>
      <c r="M19" s="186" t="s">
        <v>10</v>
      </c>
      <c r="N19" s="190">
        <v>1</v>
      </c>
      <c r="O19" s="189"/>
    </row>
    <row r="20" spans="1:15" ht="11.1" customHeight="1" x14ac:dyDescent="0.2">
      <c r="A20" s="186" t="s">
        <v>897</v>
      </c>
      <c r="B20" s="186" t="s">
        <v>898</v>
      </c>
      <c r="C20" s="187">
        <v>10</v>
      </c>
      <c r="D20" s="186" t="s">
        <v>899</v>
      </c>
      <c r="E20" s="186"/>
      <c r="F20" s="186" t="s">
        <v>919</v>
      </c>
      <c r="G20" s="186"/>
      <c r="H20" s="188">
        <v>6400.8</v>
      </c>
      <c r="I20" s="189"/>
      <c r="J20" s="186" t="s">
        <v>901</v>
      </c>
      <c r="K20" s="186"/>
      <c r="L20" s="186" t="s">
        <v>10</v>
      </c>
      <c r="M20" s="186" t="s">
        <v>10</v>
      </c>
      <c r="N20" s="190">
        <v>1</v>
      </c>
      <c r="O20" s="189"/>
    </row>
    <row r="21" spans="1:15" ht="11.1" customHeight="1" x14ac:dyDescent="0.2">
      <c r="A21" s="186" t="s">
        <v>897</v>
      </c>
      <c r="B21" s="186" t="s">
        <v>898</v>
      </c>
      <c r="C21" s="187">
        <v>24</v>
      </c>
      <c r="D21" s="186" t="s">
        <v>899</v>
      </c>
      <c r="E21" s="186"/>
      <c r="F21" s="186" t="s">
        <v>920</v>
      </c>
      <c r="G21" s="186"/>
      <c r="H21" s="188">
        <v>8002.05</v>
      </c>
      <c r="I21" s="189"/>
      <c r="J21" s="186" t="s">
        <v>901</v>
      </c>
      <c r="K21" s="186"/>
      <c r="L21" s="186" t="s">
        <v>10</v>
      </c>
      <c r="M21" s="186" t="s">
        <v>10</v>
      </c>
      <c r="N21" s="190">
        <v>1</v>
      </c>
      <c r="O21" s="189"/>
    </row>
    <row r="22" spans="1:15" ht="11.1" customHeight="1" x14ac:dyDescent="0.2">
      <c r="A22" s="186" t="s">
        <v>897</v>
      </c>
      <c r="B22" s="186" t="s">
        <v>898</v>
      </c>
      <c r="C22" s="187">
        <v>11</v>
      </c>
      <c r="D22" s="186" t="s">
        <v>899</v>
      </c>
      <c r="E22" s="186"/>
      <c r="F22" s="186" t="s">
        <v>921</v>
      </c>
      <c r="G22" s="186"/>
      <c r="H22" s="188">
        <v>4525.5</v>
      </c>
      <c r="I22" s="189"/>
      <c r="J22" s="186" t="s">
        <v>901</v>
      </c>
      <c r="K22" s="186"/>
      <c r="L22" s="186" t="s">
        <v>10</v>
      </c>
      <c r="M22" s="186" t="s">
        <v>10</v>
      </c>
      <c r="N22" s="190">
        <v>1</v>
      </c>
      <c r="O22" s="189"/>
    </row>
    <row r="23" spans="1:15" ht="11.1" customHeight="1" x14ac:dyDescent="0.2">
      <c r="A23" s="186" t="s">
        <v>897</v>
      </c>
      <c r="B23" s="186" t="s">
        <v>898</v>
      </c>
      <c r="C23" s="187">
        <v>25</v>
      </c>
      <c r="D23" s="186" t="s">
        <v>899</v>
      </c>
      <c r="E23" s="186"/>
      <c r="F23" s="186" t="s">
        <v>922</v>
      </c>
      <c r="G23" s="186"/>
      <c r="H23" s="188">
        <v>5656.35</v>
      </c>
      <c r="I23" s="189"/>
      <c r="J23" s="186" t="s">
        <v>901</v>
      </c>
      <c r="K23" s="186"/>
      <c r="L23" s="186" t="s">
        <v>10</v>
      </c>
      <c r="M23" s="186" t="s">
        <v>10</v>
      </c>
      <c r="N23" s="190">
        <v>1</v>
      </c>
      <c r="O23" s="189"/>
    </row>
    <row r="24" spans="1:15" ht="11.1" customHeight="1" x14ac:dyDescent="0.2">
      <c r="A24" s="186" t="s">
        <v>897</v>
      </c>
      <c r="B24" s="186" t="s">
        <v>898</v>
      </c>
      <c r="C24" s="187">
        <v>12</v>
      </c>
      <c r="D24" s="186" t="s">
        <v>899</v>
      </c>
      <c r="E24" s="186"/>
      <c r="F24" s="186" t="s">
        <v>923</v>
      </c>
      <c r="G24" s="186"/>
      <c r="H24" s="188">
        <v>6400.8</v>
      </c>
      <c r="I24" s="189"/>
      <c r="J24" s="186" t="s">
        <v>901</v>
      </c>
      <c r="K24" s="186"/>
      <c r="L24" s="186" t="s">
        <v>10</v>
      </c>
      <c r="M24" s="186" t="s">
        <v>10</v>
      </c>
      <c r="N24" s="190">
        <v>1</v>
      </c>
      <c r="O24" s="189"/>
    </row>
    <row r="25" spans="1:15" ht="11.1" customHeight="1" x14ac:dyDescent="0.2">
      <c r="A25" s="186" t="s">
        <v>897</v>
      </c>
      <c r="B25" s="186" t="s">
        <v>898</v>
      </c>
      <c r="C25" s="187">
        <v>26</v>
      </c>
      <c r="D25" s="186" t="s">
        <v>899</v>
      </c>
      <c r="E25" s="186"/>
      <c r="F25" s="186" t="s">
        <v>924</v>
      </c>
      <c r="G25" s="186"/>
      <c r="H25" s="188">
        <v>8002.05</v>
      </c>
      <c r="I25" s="189"/>
      <c r="J25" s="186" t="s">
        <v>901</v>
      </c>
      <c r="K25" s="186"/>
      <c r="L25" s="186" t="s">
        <v>10</v>
      </c>
      <c r="M25" s="186" t="s">
        <v>10</v>
      </c>
      <c r="N25" s="190">
        <v>1</v>
      </c>
      <c r="O25" s="189"/>
    </row>
    <row r="26" spans="1:15" ht="11.1" customHeight="1" x14ac:dyDescent="0.2">
      <c r="A26" s="186" t="s">
        <v>897</v>
      </c>
      <c r="B26" s="186" t="s">
        <v>898</v>
      </c>
      <c r="C26" s="187">
        <v>13</v>
      </c>
      <c r="D26" s="186" t="s">
        <v>899</v>
      </c>
      <c r="E26" s="186"/>
      <c r="F26" s="186" t="s">
        <v>925</v>
      </c>
      <c r="G26" s="186"/>
      <c r="H26" s="188">
        <v>7431.9</v>
      </c>
      <c r="I26" s="189"/>
      <c r="J26" s="186" t="s">
        <v>901</v>
      </c>
      <c r="K26" s="186"/>
      <c r="L26" s="186" t="s">
        <v>10</v>
      </c>
      <c r="M26" s="186" t="s">
        <v>10</v>
      </c>
      <c r="N26" s="190">
        <v>1</v>
      </c>
      <c r="O26" s="189"/>
    </row>
    <row r="27" spans="1:15" ht="11.1" customHeight="1" x14ac:dyDescent="0.2">
      <c r="A27" s="186" t="s">
        <v>897</v>
      </c>
      <c r="B27" s="186" t="s">
        <v>898</v>
      </c>
      <c r="C27" s="187">
        <v>27</v>
      </c>
      <c r="D27" s="186" t="s">
        <v>899</v>
      </c>
      <c r="E27" s="186"/>
      <c r="F27" s="186" t="s">
        <v>926</v>
      </c>
      <c r="G27" s="186"/>
      <c r="H27" s="188">
        <v>9289.35</v>
      </c>
      <c r="I27" s="189"/>
      <c r="J27" s="186" t="s">
        <v>901</v>
      </c>
      <c r="K27" s="186"/>
      <c r="L27" s="186" t="s">
        <v>10</v>
      </c>
      <c r="M27" s="186" t="s">
        <v>10</v>
      </c>
      <c r="N27" s="190">
        <v>1</v>
      </c>
      <c r="O27" s="189"/>
    </row>
    <row r="28" spans="1:15" ht="11.1" customHeight="1" x14ac:dyDescent="0.2">
      <c r="A28" s="186" t="s">
        <v>897</v>
      </c>
      <c r="B28" s="186" t="s">
        <v>898</v>
      </c>
      <c r="C28" s="187">
        <v>14</v>
      </c>
      <c r="D28" s="186" t="s">
        <v>899</v>
      </c>
      <c r="E28" s="186"/>
      <c r="F28" s="186" t="s">
        <v>927</v>
      </c>
      <c r="G28" s="186"/>
      <c r="H28" s="188">
        <v>8463</v>
      </c>
      <c r="I28" s="189"/>
      <c r="J28" s="186" t="s">
        <v>901</v>
      </c>
      <c r="K28" s="186"/>
      <c r="L28" s="186" t="s">
        <v>10</v>
      </c>
      <c r="M28" s="186" t="s">
        <v>10</v>
      </c>
      <c r="N28" s="190">
        <v>1</v>
      </c>
      <c r="O28" s="189"/>
    </row>
    <row r="29" spans="1:15" ht="11.1" customHeight="1" x14ac:dyDescent="0.2">
      <c r="A29" s="186" t="s">
        <v>897</v>
      </c>
      <c r="B29" s="186" t="s">
        <v>898</v>
      </c>
      <c r="C29" s="187">
        <v>28</v>
      </c>
      <c r="D29" s="186" t="s">
        <v>899</v>
      </c>
      <c r="E29" s="186"/>
      <c r="F29" s="186" t="s">
        <v>928</v>
      </c>
      <c r="G29" s="186"/>
      <c r="H29" s="188">
        <v>10579.8</v>
      </c>
      <c r="I29" s="189"/>
      <c r="J29" s="186" t="s">
        <v>901</v>
      </c>
      <c r="K29" s="186"/>
      <c r="L29" s="186" t="s">
        <v>10</v>
      </c>
      <c r="M29" s="186" t="s">
        <v>10</v>
      </c>
      <c r="N29" s="190">
        <v>1</v>
      </c>
      <c r="O29" s="189"/>
    </row>
    <row r="30" spans="1:15" ht="11.1" customHeight="1" x14ac:dyDescent="0.2">
      <c r="A30" s="186" t="s">
        <v>897</v>
      </c>
      <c r="B30" s="186" t="s">
        <v>898</v>
      </c>
      <c r="C30" s="187">
        <v>31</v>
      </c>
      <c r="D30" s="186" t="s">
        <v>899</v>
      </c>
      <c r="E30" s="186"/>
      <c r="F30" s="186" t="s">
        <v>929</v>
      </c>
      <c r="G30" s="186"/>
      <c r="H30" s="188">
        <v>8085</v>
      </c>
      <c r="I30" s="189"/>
      <c r="J30" s="186" t="s">
        <v>901</v>
      </c>
      <c r="K30" s="186"/>
      <c r="L30" s="186" t="s">
        <v>10</v>
      </c>
      <c r="M30" s="186" t="s">
        <v>10</v>
      </c>
      <c r="N30" s="190">
        <v>1</v>
      </c>
      <c r="O30" s="189"/>
    </row>
    <row r="31" spans="1:15" ht="11.1" customHeight="1" x14ac:dyDescent="0.2">
      <c r="A31" s="186" t="s">
        <v>897</v>
      </c>
      <c r="B31" s="186" t="s">
        <v>898</v>
      </c>
      <c r="C31" s="187">
        <v>30</v>
      </c>
      <c r="D31" s="186" t="s">
        <v>899</v>
      </c>
      <c r="E31" s="186" t="s">
        <v>930</v>
      </c>
      <c r="F31" s="186" t="s">
        <v>919</v>
      </c>
      <c r="G31" s="186"/>
      <c r="H31" s="188">
        <v>5605.95</v>
      </c>
      <c r="I31" s="189"/>
      <c r="J31" s="186" t="s">
        <v>901</v>
      </c>
      <c r="K31" s="186"/>
      <c r="L31" s="186" t="s">
        <v>71</v>
      </c>
      <c r="M31" s="186" t="s">
        <v>10</v>
      </c>
      <c r="N31" s="190">
        <v>1</v>
      </c>
      <c r="O31" s="189"/>
    </row>
    <row r="32" spans="1:15" ht="11.1" customHeight="1" x14ac:dyDescent="0.2">
      <c r="A32" s="186" t="s">
        <v>897</v>
      </c>
      <c r="B32" s="186" t="s">
        <v>898</v>
      </c>
      <c r="C32" s="187">
        <v>29</v>
      </c>
      <c r="D32" s="186" t="s">
        <v>899</v>
      </c>
      <c r="E32" s="186" t="s">
        <v>930</v>
      </c>
      <c r="F32" s="186" t="s">
        <v>931</v>
      </c>
      <c r="G32" s="186"/>
      <c r="H32" s="188">
        <v>4916.1000000000004</v>
      </c>
      <c r="I32" s="189"/>
      <c r="J32" s="186" t="s">
        <v>901</v>
      </c>
      <c r="K32" s="186"/>
      <c r="L32" s="186" t="s">
        <v>71</v>
      </c>
      <c r="M32" s="186" t="s">
        <v>10</v>
      </c>
      <c r="N32" s="190">
        <v>1</v>
      </c>
      <c r="O32" s="189"/>
    </row>
    <row r="33" spans="1:15" ht="11.1" customHeight="1" x14ac:dyDescent="0.2">
      <c r="A33" s="186" t="s">
        <v>932</v>
      </c>
      <c r="B33" s="186" t="s">
        <v>933</v>
      </c>
      <c r="C33" s="187">
        <v>1</v>
      </c>
      <c r="D33" s="186" t="s">
        <v>934</v>
      </c>
      <c r="E33" s="186"/>
      <c r="F33" s="186" t="s">
        <v>935</v>
      </c>
      <c r="G33" s="186"/>
      <c r="H33" s="188">
        <v>28110.6</v>
      </c>
      <c r="I33" s="189"/>
      <c r="J33" s="186" t="s">
        <v>936</v>
      </c>
      <c r="K33" s="186" t="s">
        <v>937</v>
      </c>
      <c r="L33" s="186" t="s">
        <v>10</v>
      </c>
      <c r="M33" s="186" t="s">
        <v>10</v>
      </c>
      <c r="N33" s="190">
        <v>1</v>
      </c>
      <c r="O33" s="189"/>
    </row>
    <row r="34" spans="1:15" ht="11.1" customHeight="1" x14ac:dyDescent="0.2">
      <c r="A34" s="186" t="s">
        <v>932</v>
      </c>
      <c r="B34" s="186" t="s">
        <v>938</v>
      </c>
      <c r="C34" s="187">
        <v>1</v>
      </c>
      <c r="D34" s="186" t="s">
        <v>939</v>
      </c>
      <c r="E34" s="186"/>
      <c r="F34" s="186" t="s">
        <v>935</v>
      </c>
      <c r="G34" s="186"/>
      <c r="H34" s="188">
        <v>22818.5</v>
      </c>
      <c r="I34" s="189"/>
      <c r="J34" s="186" t="s">
        <v>936</v>
      </c>
      <c r="K34" s="186" t="s">
        <v>937</v>
      </c>
      <c r="L34" s="186" t="s">
        <v>10</v>
      </c>
      <c r="M34" s="186" t="s">
        <v>10</v>
      </c>
      <c r="N34" s="190">
        <v>1</v>
      </c>
      <c r="O34" s="189"/>
    </row>
    <row r="35" spans="1:15" ht="11.1" customHeight="1" x14ac:dyDescent="0.2">
      <c r="A35" s="186" t="s">
        <v>940</v>
      </c>
      <c r="B35" s="186" t="s">
        <v>941</v>
      </c>
      <c r="C35" s="187">
        <v>3</v>
      </c>
      <c r="D35" s="186" t="s">
        <v>942</v>
      </c>
      <c r="E35" s="186"/>
      <c r="F35" s="186" t="s">
        <v>900</v>
      </c>
      <c r="G35" s="186"/>
      <c r="H35" s="188">
        <v>5542</v>
      </c>
      <c r="I35" s="189"/>
      <c r="J35" s="186" t="s">
        <v>901</v>
      </c>
      <c r="K35" s="186"/>
      <c r="L35" s="186" t="s">
        <v>10</v>
      </c>
      <c r="M35" s="186" t="s">
        <v>10</v>
      </c>
      <c r="N35" s="190">
        <v>1</v>
      </c>
      <c r="O35" s="189"/>
    </row>
    <row r="36" spans="1:15" ht="11.1" customHeight="1" x14ac:dyDescent="0.2">
      <c r="A36" s="186" t="s">
        <v>940</v>
      </c>
      <c r="B36" s="186" t="s">
        <v>941</v>
      </c>
      <c r="C36" s="187">
        <v>17</v>
      </c>
      <c r="D36" s="186" t="s">
        <v>942</v>
      </c>
      <c r="E36" s="186"/>
      <c r="F36" s="186" t="s">
        <v>902</v>
      </c>
      <c r="G36" s="186"/>
      <c r="H36" s="188">
        <v>6927</v>
      </c>
      <c r="I36" s="189"/>
      <c r="J36" s="186" t="s">
        <v>901</v>
      </c>
      <c r="K36" s="186"/>
      <c r="L36" s="186" t="s">
        <v>10</v>
      </c>
      <c r="M36" s="186" t="s">
        <v>10</v>
      </c>
      <c r="N36" s="190">
        <v>1</v>
      </c>
      <c r="O36" s="189"/>
    </row>
    <row r="37" spans="1:15" ht="11.1" customHeight="1" x14ac:dyDescent="0.2">
      <c r="A37" s="186" t="s">
        <v>940</v>
      </c>
      <c r="B37" s="186" t="s">
        <v>941</v>
      </c>
      <c r="C37" s="187">
        <v>1</v>
      </c>
      <c r="D37" s="186" t="s">
        <v>942</v>
      </c>
      <c r="E37" s="186"/>
      <c r="F37" s="186" t="s">
        <v>903</v>
      </c>
      <c r="G37" s="186"/>
      <c r="H37" s="188">
        <v>3233</v>
      </c>
      <c r="I37" s="189"/>
      <c r="J37" s="186" t="s">
        <v>901</v>
      </c>
      <c r="K37" s="186"/>
      <c r="L37" s="186" t="s">
        <v>10</v>
      </c>
      <c r="M37" s="186" t="s">
        <v>10</v>
      </c>
      <c r="N37" s="190">
        <v>1</v>
      </c>
      <c r="O37" s="189"/>
    </row>
    <row r="38" spans="1:15" ht="11.1" customHeight="1" x14ac:dyDescent="0.2">
      <c r="A38" s="186" t="s">
        <v>940</v>
      </c>
      <c r="B38" s="186" t="s">
        <v>941</v>
      </c>
      <c r="C38" s="187">
        <v>15</v>
      </c>
      <c r="D38" s="186" t="s">
        <v>942</v>
      </c>
      <c r="E38" s="186"/>
      <c r="F38" s="186" t="s">
        <v>904</v>
      </c>
      <c r="G38" s="186"/>
      <c r="H38" s="188">
        <v>4041</v>
      </c>
      <c r="I38" s="189"/>
      <c r="J38" s="186" t="s">
        <v>901</v>
      </c>
      <c r="K38" s="186"/>
      <c r="L38" s="186" t="s">
        <v>10</v>
      </c>
      <c r="M38" s="186" t="s">
        <v>10</v>
      </c>
      <c r="N38" s="190">
        <v>1</v>
      </c>
      <c r="O38" s="189"/>
    </row>
    <row r="39" spans="1:15" ht="11.1" customHeight="1" x14ac:dyDescent="0.2">
      <c r="A39" s="186" t="s">
        <v>940</v>
      </c>
      <c r="B39" s="186" t="s">
        <v>941</v>
      </c>
      <c r="C39" s="187">
        <v>2</v>
      </c>
      <c r="D39" s="186" t="s">
        <v>942</v>
      </c>
      <c r="E39" s="186"/>
      <c r="F39" s="186" t="s">
        <v>905</v>
      </c>
      <c r="G39" s="186"/>
      <c r="H39" s="188">
        <v>4649</v>
      </c>
      <c r="I39" s="189"/>
      <c r="J39" s="186" t="s">
        <v>901</v>
      </c>
      <c r="K39" s="186"/>
      <c r="L39" s="186" t="s">
        <v>10</v>
      </c>
      <c r="M39" s="186" t="s">
        <v>10</v>
      </c>
      <c r="N39" s="190">
        <v>1</v>
      </c>
      <c r="O39" s="189"/>
    </row>
    <row r="40" spans="1:15" ht="11.1" customHeight="1" x14ac:dyDescent="0.2">
      <c r="A40" s="186" t="s">
        <v>940</v>
      </c>
      <c r="B40" s="186" t="s">
        <v>941</v>
      </c>
      <c r="C40" s="187">
        <v>16</v>
      </c>
      <c r="D40" s="186" t="s">
        <v>942</v>
      </c>
      <c r="E40" s="186"/>
      <c r="F40" s="186" t="s">
        <v>906</v>
      </c>
      <c r="G40" s="186"/>
      <c r="H40" s="188">
        <v>5810</v>
      </c>
      <c r="I40" s="189"/>
      <c r="J40" s="186" t="s">
        <v>901</v>
      </c>
      <c r="K40" s="186"/>
      <c r="L40" s="186" t="s">
        <v>10</v>
      </c>
      <c r="M40" s="186" t="s">
        <v>10</v>
      </c>
      <c r="N40" s="190">
        <v>1</v>
      </c>
      <c r="O40" s="189"/>
    </row>
    <row r="41" spans="1:15" ht="11.1" customHeight="1" x14ac:dyDescent="0.2">
      <c r="A41" s="186" t="s">
        <v>940</v>
      </c>
      <c r="B41" s="186" t="s">
        <v>941</v>
      </c>
      <c r="C41" s="187">
        <v>4</v>
      </c>
      <c r="D41" s="186" t="s">
        <v>942</v>
      </c>
      <c r="E41" s="186"/>
      <c r="F41" s="186" t="s">
        <v>907</v>
      </c>
      <c r="G41" s="186"/>
      <c r="H41" s="188">
        <v>3921</v>
      </c>
      <c r="I41" s="189"/>
      <c r="J41" s="186" t="s">
        <v>901</v>
      </c>
      <c r="K41" s="186"/>
      <c r="L41" s="186" t="s">
        <v>10</v>
      </c>
      <c r="M41" s="186" t="s">
        <v>10</v>
      </c>
      <c r="N41" s="190">
        <v>1</v>
      </c>
      <c r="O41" s="189"/>
    </row>
    <row r="42" spans="1:15" ht="11.1" customHeight="1" x14ac:dyDescent="0.2">
      <c r="A42" s="186" t="s">
        <v>940</v>
      </c>
      <c r="B42" s="186" t="s">
        <v>941</v>
      </c>
      <c r="C42" s="187">
        <v>18</v>
      </c>
      <c r="D42" s="186" t="s">
        <v>942</v>
      </c>
      <c r="E42" s="186"/>
      <c r="F42" s="186" t="s">
        <v>908</v>
      </c>
      <c r="G42" s="186"/>
      <c r="H42" s="188">
        <v>4900</v>
      </c>
      <c r="I42" s="189"/>
      <c r="J42" s="186" t="s">
        <v>901</v>
      </c>
      <c r="K42" s="186"/>
      <c r="L42" s="186" t="s">
        <v>10</v>
      </c>
      <c r="M42" s="186" t="s">
        <v>10</v>
      </c>
      <c r="N42" s="190">
        <v>1</v>
      </c>
      <c r="O42" s="189"/>
    </row>
    <row r="43" spans="1:15" ht="11.1" customHeight="1" x14ac:dyDescent="0.2">
      <c r="A43" s="186" t="s">
        <v>940</v>
      </c>
      <c r="B43" s="186" t="s">
        <v>941</v>
      </c>
      <c r="C43" s="187">
        <v>5</v>
      </c>
      <c r="D43" s="186" t="s">
        <v>942</v>
      </c>
      <c r="E43" s="186"/>
      <c r="F43" s="186" t="s">
        <v>909</v>
      </c>
      <c r="G43" s="186"/>
      <c r="H43" s="188">
        <v>5542</v>
      </c>
      <c r="I43" s="189"/>
      <c r="J43" s="186" t="s">
        <v>901</v>
      </c>
      <c r="K43" s="186"/>
      <c r="L43" s="186" t="s">
        <v>10</v>
      </c>
      <c r="M43" s="186" t="s">
        <v>10</v>
      </c>
      <c r="N43" s="190">
        <v>1</v>
      </c>
      <c r="O43" s="189"/>
    </row>
    <row r="44" spans="1:15" ht="11.1" customHeight="1" x14ac:dyDescent="0.2">
      <c r="A44" s="186" t="s">
        <v>940</v>
      </c>
      <c r="B44" s="186" t="s">
        <v>941</v>
      </c>
      <c r="C44" s="187">
        <v>19</v>
      </c>
      <c r="D44" s="186" t="s">
        <v>942</v>
      </c>
      <c r="E44" s="186"/>
      <c r="F44" s="186" t="s">
        <v>910</v>
      </c>
      <c r="G44" s="186"/>
      <c r="H44" s="188">
        <v>6927</v>
      </c>
      <c r="I44" s="189"/>
      <c r="J44" s="186" t="s">
        <v>901</v>
      </c>
      <c r="K44" s="186"/>
      <c r="L44" s="186" t="s">
        <v>10</v>
      </c>
      <c r="M44" s="186" t="s">
        <v>10</v>
      </c>
      <c r="N44" s="190">
        <v>1</v>
      </c>
      <c r="O44" s="189"/>
    </row>
    <row r="45" spans="1:15" ht="11.1" customHeight="1" x14ac:dyDescent="0.2">
      <c r="A45" s="186" t="s">
        <v>940</v>
      </c>
      <c r="B45" s="186" t="s">
        <v>941</v>
      </c>
      <c r="C45" s="187">
        <v>6</v>
      </c>
      <c r="D45" s="186" t="s">
        <v>942</v>
      </c>
      <c r="E45" s="186"/>
      <c r="F45" s="186" t="s">
        <v>911</v>
      </c>
      <c r="G45" s="186"/>
      <c r="H45" s="188">
        <v>6433</v>
      </c>
      <c r="I45" s="189"/>
      <c r="J45" s="186" t="s">
        <v>901</v>
      </c>
      <c r="K45" s="186"/>
      <c r="L45" s="186" t="s">
        <v>10</v>
      </c>
      <c r="M45" s="186" t="s">
        <v>10</v>
      </c>
      <c r="N45" s="190">
        <v>1</v>
      </c>
      <c r="O45" s="189"/>
    </row>
    <row r="46" spans="1:15" ht="11.1" customHeight="1" x14ac:dyDescent="0.2">
      <c r="A46" s="186" t="s">
        <v>940</v>
      </c>
      <c r="B46" s="186" t="s">
        <v>941</v>
      </c>
      <c r="C46" s="187">
        <v>20</v>
      </c>
      <c r="D46" s="186" t="s">
        <v>942</v>
      </c>
      <c r="E46" s="186"/>
      <c r="F46" s="186" t="s">
        <v>912</v>
      </c>
      <c r="G46" s="186"/>
      <c r="H46" s="188">
        <v>8041</v>
      </c>
      <c r="I46" s="189"/>
      <c r="J46" s="186" t="s">
        <v>901</v>
      </c>
      <c r="K46" s="186"/>
      <c r="L46" s="186" t="s">
        <v>10</v>
      </c>
      <c r="M46" s="186" t="s">
        <v>10</v>
      </c>
      <c r="N46" s="190">
        <v>1</v>
      </c>
      <c r="O46" s="189"/>
    </row>
    <row r="47" spans="1:15" ht="11.1" customHeight="1" x14ac:dyDescent="0.2">
      <c r="A47" s="186" t="s">
        <v>940</v>
      </c>
      <c r="B47" s="186" t="s">
        <v>941</v>
      </c>
      <c r="C47" s="187">
        <v>7</v>
      </c>
      <c r="D47" s="186" t="s">
        <v>942</v>
      </c>
      <c r="E47" s="186"/>
      <c r="F47" s="186" t="s">
        <v>913</v>
      </c>
      <c r="G47" s="186"/>
      <c r="H47" s="188">
        <v>7327</v>
      </c>
      <c r="I47" s="189"/>
      <c r="J47" s="186" t="s">
        <v>901</v>
      </c>
      <c r="K47" s="186"/>
      <c r="L47" s="186" t="s">
        <v>10</v>
      </c>
      <c r="M47" s="186" t="s">
        <v>10</v>
      </c>
      <c r="N47" s="190">
        <v>1</v>
      </c>
      <c r="O47" s="189"/>
    </row>
    <row r="48" spans="1:15" ht="11.1" customHeight="1" x14ac:dyDescent="0.2">
      <c r="A48" s="186" t="s">
        <v>940</v>
      </c>
      <c r="B48" s="186" t="s">
        <v>941</v>
      </c>
      <c r="C48" s="187">
        <v>21</v>
      </c>
      <c r="D48" s="186" t="s">
        <v>942</v>
      </c>
      <c r="E48" s="186"/>
      <c r="F48" s="186" t="s">
        <v>914</v>
      </c>
      <c r="G48" s="186"/>
      <c r="H48" s="188">
        <v>9158</v>
      </c>
      <c r="I48" s="189"/>
      <c r="J48" s="186" t="s">
        <v>901</v>
      </c>
      <c r="K48" s="186"/>
      <c r="L48" s="186" t="s">
        <v>10</v>
      </c>
      <c r="M48" s="186" t="s">
        <v>10</v>
      </c>
      <c r="N48" s="190">
        <v>1</v>
      </c>
      <c r="O48" s="189"/>
    </row>
    <row r="49" spans="1:15" ht="11.1" customHeight="1" x14ac:dyDescent="0.2">
      <c r="A49" s="186" t="s">
        <v>940</v>
      </c>
      <c r="B49" s="186" t="s">
        <v>941</v>
      </c>
      <c r="C49" s="187">
        <v>8</v>
      </c>
      <c r="D49" s="186" t="s">
        <v>942</v>
      </c>
      <c r="E49" s="186"/>
      <c r="F49" s="186" t="s">
        <v>915</v>
      </c>
      <c r="G49" s="186"/>
      <c r="H49" s="188">
        <v>3557</v>
      </c>
      <c r="I49" s="189"/>
      <c r="J49" s="186" t="s">
        <v>901</v>
      </c>
      <c r="K49" s="186"/>
      <c r="L49" s="186" t="s">
        <v>10</v>
      </c>
      <c r="M49" s="186" t="s">
        <v>10</v>
      </c>
      <c r="N49" s="190">
        <v>1</v>
      </c>
      <c r="O49" s="189"/>
    </row>
    <row r="50" spans="1:15" ht="11.1" customHeight="1" x14ac:dyDescent="0.2">
      <c r="A50" s="186" t="s">
        <v>940</v>
      </c>
      <c r="B50" s="186" t="s">
        <v>941</v>
      </c>
      <c r="C50" s="187">
        <v>22</v>
      </c>
      <c r="D50" s="186" t="s">
        <v>942</v>
      </c>
      <c r="E50" s="186"/>
      <c r="F50" s="186" t="s">
        <v>916</v>
      </c>
      <c r="G50" s="186"/>
      <c r="H50" s="188">
        <v>4445</v>
      </c>
      <c r="I50" s="189"/>
      <c r="J50" s="186" t="s">
        <v>901</v>
      </c>
      <c r="K50" s="186"/>
      <c r="L50" s="186" t="s">
        <v>10</v>
      </c>
      <c r="M50" s="186" t="s">
        <v>10</v>
      </c>
      <c r="N50" s="190">
        <v>1</v>
      </c>
      <c r="O50" s="189"/>
    </row>
    <row r="51" spans="1:15" ht="11.1" customHeight="1" x14ac:dyDescent="0.2">
      <c r="A51" s="186" t="s">
        <v>940</v>
      </c>
      <c r="B51" s="186" t="s">
        <v>941</v>
      </c>
      <c r="C51" s="187">
        <v>9</v>
      </c>
      <c r="D51" s="186" t="s">
        <v>942</v>
      </c>
      <c r="E51" s="186"/>
      <c r="F51" s="186" t="s">
        <v>917</v>
      </c>
      <c r="G51" s="186"/>
      <c r="H51" s="188">
        <v>5113</v>
      </c>
      <c r="I51" s="189"/>
      <c r="J51" s="186" t="s">
        <v>901</v>
      </c>
      <c r="K51" s="186"/>
      <c r="L51" s="186" t="s">
        <v>10</v>
      </c>
      <c r="M51" s="186" t="s">
        <v>10</v>
      </c>
      <c r="N51" s="190">
        <v>1</v>
      </c>
      <c r="O51" s="189"/>
    </row>
    <row r="52" spans="1:15" ht="11.1" customHeight="1" x14ac:dyDescent="0.2">
      <c r="A52" s="186" t="s">
        <v>940</v>
      </c>
      <c r="B52" s="186" t="s">
        <v>941</v>
      </c>
      <c r="C52" s="187">
        <v>23</v>
      </c>
      <c r="D52" s="186" t="s">
        <v>942</v>
      </c>
      <c r="E52" s="186"/>
      <c r="F52" s="186" t="s">
        <v>918</v>
      </c>
      <c r="G52" s="186"/>
      <c r="H52" s="188">
        <v>6391</v>
      </c>
      <c r="I52" s="189"/>
      <c r="J52" s="186" t="s">
        <v>901</v>
      </c>
      <c r="K52" s="186"/>
      <c r="L52" s="186" t="s">
        <v>10</v>
      </c>
      <c r="M52" s="186" t="s">
        <v>10</v>
      </c>
      <c r="N52" s="190">
        <v>1</v>
      </c>
      <c r="O52" s="189"/>
    </row>
    <row r="53" spans="1:15" ht="11.1" customHeight="1" x14ac:dyDescent="0.2">
      <c r="A53" s="186" t="s">
        <v>940</v>
      </c>
      <c r="B53" s="186" t="s">
        <v>941</v>
      </c>
      <c r="C53" s="187">
        <v>10</v>
      </c>
      <c r="D53" s="186" t="s">
        <v>942</v>
      </c>
      <c r="E53" s="186"/>
      <c r="F53" s="186" t="s">
        <v>919</v>
      </c>
      <c r="G53" s="186"/>
      <c r="H53" s="188">
        <v>6096</v>
      </c>
      <c r="I53" s="189"/>
      <c r="J53" s="186" t="s">
        <v>901</v>
      </c>
      <c r="K53" s="186"/>
      <c r="L53" s="186" t="s">
        <v>10</v>
      </c>
      <c r="M53" s="186" t="s">
        <v>10</v>
      </c>
      <c r="N53" s="190">
        <v>1</v>
      </c>
      <c r="O53" s="189"/>
    </row>
    <row r="54" spans="1:15" ht="11.1" customHeight="1" x14ac:dyDescent="0.2">
      <c r="A54" s="186" t="s">
        <v>940</v>
      </c>
      <c r="B54" s="186" t="s">
        <v>941</v>
      </c>
      <c r="C54" s="187">
        <v>24</v>
      </c>
      <c r="D54" s="186" t="s">
        <v>942</v>
      </c>
      <c r="E54" s="186"/>
      <c r="F54" s="186" t="s">
        <v>920</v>
      </c>
      <c r="G54" s="186"/>
      <c r="H54" s="188">
        <v>7621</v>
      </c>
      <c r="I54" s="189"/>
      <c r="J54" s="186" t="s">
        <v>901</v>
      </c>
      <c r="K54" s="186"/>
      <c r="L54" s="186" t="s">
        <v>10</v>
      </c>
      <c r="M54" s="186" t="s">
        <v>10</v>
      </c>
      <c r="N54" s="190">
        <v>1</v>
      </c>
      <c r="O54" s="189"/>
    </row>
    <row r="55" spans="1:15" ht="11.1" customHeight="1" x14ac:dyDescent="0.2">
      <c r="A55" s="186" t="s">
        <v>940</v>
      </c>
      <c r="B55" s="186" t="s">
        <v>941</v>
      </c>
      <c r="C55" s="187">
        <v>11</v>
      </c>
      <c r="D55" s="186" t="s">
        <v>942</v>
      </c>
      <c r="E55" s="186"/>
      <c r="F55" s="186" t="s">
        <v>921</v>
      </c>
      <c r="G55" s="186"/>
      <c r="H55" s="188">
        <v>4310</v>
      </c>
      <c r="I55" s="189"/>
      <c r="J55" s="186" t="s">
        <v>901</v>
      </c>
      <c r="K55" s="186"/>
      <c r="L55" s="186" t="s">
        <v>10</v>
      </c>
      <c r="M55" s="186" t="s">
        <v>10</v>
      </c>
      <c r="N55" s="190">
        <v>1</v>
      </c>
      <c r="O55" s="189"/>
    </row>
    <row r="56" spans="1:15" ht="11.1" customHeight="1" x14ac:dyDescent="0.2">
      <c r="A56" s="186" t="s">
        <v>940</v>
      </c>
      <c r="B56" s="186" t="s">
        <v>941</v>
      </c>
      <c r="C56" s="187">
        <v>25</v>
      </c>
      <c r="D56" s="186" t="s">
        <v>942</v>
      </c>
      <c r="E56" s="186"/>
      <c r="F56" s="186" t="s">
        <v>922</v>
      </c>
      <c r="G56" s="186"/>
      <c r="H56" s="188">
        <v>5387</v>
      </c>
      <c r="I56" s="189"/>
      <c r="J56" s="186" t="s">
        <v>901</v>
      </c>
      <c r="K56" s="186"/>
      <c r="L56" s="186" t="s">
        <v>10</v>
      </c>
      <c r="M56" s="186" t="s">
        <v>10</v>
      </c>
      <c r="N56" s="190">
        <v>1</v>
      </c>
      <c r="O56" s="189"/>
    </row>
    <row r="57" spans="1:15" ht="11.1" customHeight="1" x14ac:dyDescent="0.2">
      <c r="A57" s="186" t="s">
        <v>940</v>
      </c>
      <c r="B57" s="186" t="s">
        <v>941</v>
      </c>
      <c r="C57" s="187">
        <v>12</v>
      </c>
      <c r="D57" s="186" t="s">
        <v>942</v>
      </c>
      <c r="E57" s="186"/>
      <c r="F57" s="186" t="s">
        <v>923</v>
      </c>
      <c r="G57" s="186"/>
      <c r="H57" s="188">
        <v>6096</v>
      </c>
      <c r="I57" s="189"/>
      <c r="J57" s="186" t="s">
        <v>901</v>
      </c>
      <c r="K57" s="186"/>
      <c r="L57" s="186" t="s">
        <v>10</v>
      </c>
      <c r="M57" s="186" t="s">
        <v>10</v>
      </c>
      <c r="N57" s="190">
        <v>1</v>
      </c>
      <c r="O57" s="189"/>
    </row>
    <row r="58" spans="1:15" ht="11.1" customHeight="1" x14ac:dyDescent="0.2">
      <c r="A58" s="186" t="s">
        <v>940</v>
      </c>
      <c r="B58" s="186" t="s">
        <v>941</v>
      </c>
      <c r="C58" s="187">
        <v>26</v>
      </c>
      <c r="D58" s="186" t="s">
        <v>942</v>
      </c>
      <c r="E58" s="186"/>
      <c r="F58" s="186" t="s">
        <v>924</v>
      </c>
      <c r="G58" s="186"/>
      <c r="H58" s="188">
        <v>7621</v>
      </c>
      <c r="I58" s="189"/>
      <c r="J58" s="186" t="s">
        <v>901</v>
      </c>
      <c r="K58" s="186"/>
      <c r="L58" s="186" t="s">
        <v>10</v>
      </c>
      <c r="M58" s="186" t="s">
        <v>10</v>
      </c>
      <c r="N58" s="190">
        <v>1</v>
      </c>
      <c r="O58" s="189"/>
    </row>
    <row r="59" spans="1:15" ht="11.1" customHeight="1" x14ac:dyDescent="0.2">
      <c r="A59" s="186" t="s">
        <v>940</v>
      </c>
      <c r="B59" s="186" t="s">
        <v>941</v>
      </c>
      <c r="C59" s="187">
        <v>13</v>
      </c>
      <c r="D59" s="186" t="s">
        <v>942</v>
      </c>
      <c r="E59" s="186"/>
      <c r="F59" s="186" t="s">
        <v>925</v>
      </c>
      <c r="G59" s="186"/>
      <c r="H59" s="188">
        <v>7078</v>
      </c>
      <c r="I59" s="189"/>
      <c r="J59" s="186" t="s">
        <v>901</v>
      </c>
      <c r="K59" s="186"/>
      <c r="L59" s="186" t="s">
        <v>10</v>
      </c>
      <c r="M59" s="186" t="s">
        <v>10</v>
      </c>
      <c r="N59" s="190">
        <v>1</v>
      </c>
      <c r="O59" s="189"/>
    </row>
    <row r="60" spans="1:15" ht="11.1" customHeight="1" x14ac:dyDescent="0.2">
      <c r="A60" s="186" t="s">
        <v>940</v>
      </c>
      <c r="B60" s="186" t="s">
        <v>941</v>
      </c>
      <c r="C60" s="187">
        <v>27</v>
      </c>
      <c r="D60" s="186" t="s">
        <v>942</v>
      </c>
      <c r="E60" s="186"/>
      <c r="F60" s="186" t="s">
        <v>926</v>
      </c>
      <c r="G60" s="186"/>
      <c r="H60" s="188">
        <v>8847</v>
      </c>
      <c r="I60" s="189"/>
      <c r="J60" s="186" t="s">
        <v>901</v>
      </c>
      <c r="K60" s="186"/>
      <c r="L60" s="186" t="s">
        <v>10</v>
      </c>
      <c r="M60" s="186" t="s">
        <v>10</v>
      </c>
      <c r="N60" s="190">
        <v>1</v>
      </c>
      <c r="O60" s="189"/>
    </row>
    <row r="61" spans="1:15" ht="11.1" customHeight="1" x14ac:dyDescent="0.2">
      <c r="A61" s="186" t="s">
        <v>940</v>
      </c>
      <c r="B61" s="186" t="s">
        <v>941</v>
      </c>
      <c r="C61" s="187">
        <v>14</v>
      </c>
      <c r="D61" s="186" t="s">
        <v>942</v>
      </c>
      <c r="E61" s="186"/>
      <c r="F61" s="186" t="s">
        <v>927</v>
      </c>
      <c r="G61" s="186"/>
      <c r="H61" s="188">
        <v>8060</v>
      </c>
      <c r="I61" s="189"/>
      <c r="J61" s="186" t="s">
        <v>901</v>
      </c>
      <c r="K61" s="186"/>
      <c r="L61" s="186" t="s">
        <v>10</v>
      </c>
      <c r="M61" s="186" t="s">
        <v>10</v>
      </c>
      <c r="N61" s="190">
        <v>1</v>
      </c>
      <c r="O61" s="189"/>
    </row>
    <row r="62" spans="1:15" ht="11.1" customHeight="1" x14ac:dyDescent="0.2">
      <c r="A62" s="186" t="s">
        <v>940</v>
      </c>
      <c r="B62" s="186" t="s">
        <v>941</v>
      </c>
      <c r="C62" s="187">
        <v>28</v>
      </c>
      <c r="D62" s="186" t="s">
        <v>942</v>
      </c>
      <c r="E62" s="186"/>
      <c r="F62" s="186" t="s">
        <v>928</v>
      </c>
      <c r="G62" s="186"/>
      <c r="H62" s="188">
        <v>10076</v>
      </c>
      <c r="I62" s="189"/>
      <c r="J62" s="186" t="s">
        <v>901</v>
      </c>
      <c r="K62" s="186"/>
      <c r="L62" s="186" t="s">
        <v>10</v>
      </c>
      <c r="M62" s="186" t="s">
        <v>10</v>
      </c>
      <c r="N62" s="190">
        <v>1</v>
      </c>
      <c r="O62" s="189"/>
    </row>
    <row r="63" spans="1:15" ht="11.1" customHeight="1" x14ac:dyDescent="0.2">
      <c r="A63" s="186" t="s">
        <v>940</v>
      </c>
      <c r="B63" s="186" t="s">
        <v>941</v>
      </c>
      <c r="C63" s="187">
        <v>31</v>
      </c>
      <c r="D63" s="186" t="s">
        <v>942</v>
      </c>
      <c r="E63" s="186"/>
      <c r="F63" s="186" t="s">
        <v>929</v>
      </c>
      <c r="G63" s="186"/>
      <c r="H63" s="188">
        <v>7700</v>
      </c>
      <c r="I63" s="189"/>
      <c r="J63" s="186" t="s">
        <v>901</v>
      </c>
      <c r="K63" s="186"/>
      <c r="L63" s="186" t="s">
        <v>10</v>
      </c>
      <c r="M63" s="186" t="s">
        <v>10</v>
      </c>
      <c r="N63" s="190">
        <v>1</v>
      </c>
      <c r="O63" s="189"/>
    </row>
    <row r="64" spans="1:15" ht="11.1" customHeight="1" x14ac:dyDescent="0.2">
      <c r="A64" s="186" t="s">
        <v>940</v>
      </c>
      <c r="B64" s="186" t="s">
        <v>941</v>
      </c>
      <c r="C64" s="187">
        <v>29</v>
      </c>
      <c r="D64" s="186" t="s">
        <v>942</v>
      </c>
      <c r="E64" s="186"/>
      <c r="F64" s="186" t="s">
        <v>931</v>
      </c>
      <c r="G64" s="186"/>
      <c r="H64" s="188">
        <v>4682</v>
      </c>
      <c r="I64" s="189"/>
      <c r="J64" s="186" t="s">
        <v>901</v>
      </c>
      <c r="K64" s="186"/>
      <c r="L64" s="186" t="s">
        <v>71</v>
      </c>
      <c r="M64" s="186" t="s">
        <v>10</v>
      </c>
      <c r="N64" s="190">
        <v>1</v>
      </c>
      <c r="O64" s="189"/>
    </row>
    <row r="65" spans="1:15" ht="11.1" customHeight="1" x14ac:dyDescent="0.2">
      <c r="A65" s="186" t="s">
        <v>940</v>
      </c>
      <c r="B65" s="186" t="s">
        <v>941</v>
      </c>
      <c r="C65" s="187">
        <v>30</v>
      </c>
      <c r="D65" s="186" t="s">
        <v>942</v>
      </c>
      <c r="E65" s="186" t="s">
        <v>930</v>
      </c>
      <c r="F65" s="186" t="s">
        <v>919</v>
      </c>
      <c r="G65" s="186"/>
      <c r="H65" s="188">
        <v>5339</v>
      </c>
      <c r="I65" s="189"/>
      <c r="J65" s="186" t="s">
        <v>901</v>
      </c>
      <c r="K65" s="186"/>
      <c r="L65" s="186" t="s">
        <v>71</v>
      </c>
      <c r="M65" s="186" t="s">
        <v>10</v>
      </c>
      <c r="N65" s="190">
        <v>1</v>
      </c>
      <c r="O65" s="189"/>
    </row>
    <row r="66" spans="1:15" ht="11.1" customHeight="1" x14ac:dyDescent="0.2">
      <c r="A66" s="186" t="s">
        <v>943</v>
      </c>
      <c r="B66" s="186" t="s">
        <v>944</v>
      </c>
      <c r="C66" s="187">
        <v>1</v>
      </c>
      <c r="D66" s="186" t="s">
        <v>945</v>
      </c>
      <c r="E66" s="186"/>
      <c r="F66" s="186" t="s">
        <v>935</v>
      </c>
      <c r="G66" s="186"/>
      <c r="H66" s="188">
        <v>8813.5</v>
      </c>
      <c r="I66" s="189"/>
      <c r="J66" s="186" t="s">
        <v>936</v>
      </c>
      <c r="K66" s="186" t="s">
        <v>946</v>
      </c>
      <c r="L66" s="186" t="s">
        <v>10</v>
      </c>
      <c r="M66" s="186" t="s">
        <v>10</v>
      </c>
      <c r="N66" s="190">
        <v>1</v>
      </c>
      <c r="O66" s="189"/>
    </row>
    <row r="67" spans="1:15" ht="11.1" customHeight="1" x14ac:dyDescent="0.2">
      <c r="A67" s="186" t="s">
        <v>943</v>
      </c>
      <c r="B67" s="186" t="s">
        <v>944</v>
      </c>
      <c r="C67" s="187">
        <v>2</v>
      </c>
      <c r="D67" s="186" t="s">
        <v>945</v>
      </c>
      <c r="E67" s="186"/>
      <c r="F67" s="186" t="s">
        <v>947</v>
      </c>
      <c r="G67" s="186"/>
      <c r="H67" s="188">
        <v>3470</v>
      </c>
      <c r="I67" s="189"/>
      <c r="J67" s="186" t="s">
        <v>948</v>
      </c>
      <c r="K67" s="186" t="s">
        <v>946</v>
      </c>
      <c r="L67" s="186" t="s">
        <v>10</v>
      </c>
      <c r="M67" s="186" t="s">
        <v>10</v>
      </c>
      <c r="N67" s="190">
        <v>1</v>
      </c>
      <c r="O67" s="189"/>
    </row>
    <row r="68" spans="1:15" ht="11.1" customHeight="1" x14ac:dyDescent="0.2">
      <c r="A68" s="186" t="s">
        <v>943</v>
      </c>
      <c r="B68" s="186" t="s">
        <v>949</v>
      </c>
      <c r="C68" s="187">
        <v>1</v>
      </c>
      <c r="D68" s="186" t="s">
        <v>950</v>
      </c>
      <c r="E68" s="186"/>
      <c r="F68" s="186" t="s">
        <v>935</v>
      </c>
      <c r="G68" s="186"/>
      <c r="H68" s="188">
        <v>6340.2</v>
      </c>
      <c r="I68" s="189"/>
      <c r="J68" s="186" t="s">
        <v>936</v>
      </c>
      <c r="K68" s="186" t="s">
        <v>951</v>
      </c>
      <c r="L68" s="186" t="s">
        <v>10</v>
      </c>
      <c r="M68" s="186" t="s">
        <v>10</v>
      </c>
      <c r="N68" s="190">
        <v>1</v>
      </c>
      <c r="O68" s="189"/>
    </row>
    <row r="69" spans="1:15" ht="11.1" customHeight="1" x14ac:dyDescent="0.2">
      <c r="A69" s="186" t="s">
        <v>952</v>
      </c>
      <c r="B69" s="186" t="s">
        <v>953</v>
      </c>
      <c r="C69" s="187">
        <v>1</v>
      </c>
      <c r="D69" s="186" t="s">
        <v>954</v>
      </c>
      <c r="E69" s="186"/>
      <c r="F69" s="186" t="s">
        <v>955</v>
      </c>
      <c r="G69" s="186"/>
      <c r="H69" s="188">
        <v>3094</v>
      </c>
      <c r="I69" s="189"/>
      <c r="J69" s="186" t="s">
        <v>901</v>
      </c>
      <c r="K69" s="186"/>
      <c r="L69" s="186" t="s">
        <v>10</v>
      </c>
      <c r="M69" s="186" t="s">
        <v>10</v>
      </c>
      <c r="N69" s="190">
        <v>1</v>
      </c>
      <c r="O69" s="189"/>
    </row>
    <row r="70" spans="1:15" ht="11.1" customHeight="1" x14ac:dyDescent="0.2">
      <c r="A70" s="186" t="s">
        <v>952</v>
      </c>
      <c r="B70" s="186" t="s">
        <v>956</v>
      </c>
      <c r="C70" s="187">
        <v>1</v>
      </c>
      <c r="D70" s="186" t="s">
        <v>3</v>
      </c>
      <c r="E70" s="186"/>
      <c r="F70" s="186" t="s">
        <v>935</v>
      </c>
      <c r="G70" s="186"/>
      <c r="H70" s="188">
        <v>2350</v>
      </c>
      <c r="I70" s="189"/>
      <c r="J70" s="186" t="s">
        <v>948</v>
      </c>
      <c r="K70" s="186" t="s">
        <v>957</v>
      </c>
      <c r="L70" s="186" t="s">
        <v>10</v>
      </c>
      <c r="M70" s="186" t="s">
        <v>10</v>
      </c>
      <c r="N70" s="190">
        <v>1</v>
      </c>
      <c r="O70" s="189"/>
    </row>
    <row r="71" spans="1:15" ht="11.1" customHeight="1" x14ac:dyDescent="0.2">
      <c r="A71" s="186" t="s">
        <v>952</v>
      </c>
      <c r="B71" s="186" t="s">
        <v>956</v>
      </c>
      <c r="C71" s="187">
        <v>2</v>
      </c>
      <c r="D71" s="186" t="s">
        <v>3</v>
      </c>
      <c r="E71" s="186"/>
      <c r="F71" s="186" t="s">
        <v>947</v>
      </c>
      <c r="G71" s="186"/>
      <c r="H71" s="188">
        <v>2620</v>
      </c>
      <c r="I71" s="189"/>
      <c r="J71" s="186" t="s">
        <v>948</v>
      </c>
      <c r="K71" s="186" t="s">
        <v>957</v>
      </c>
      <c r="L71" s="186" t="s">
        <v>10</v>
      </c>
      <c r="M71" s="186" t="s">
        <v>10</v>
      </c>
      <c r="N71" s="190">
        <v>1</v>
      </c>
      <c r="O71" s="189"/>
    </row>
    <row r="72" spans="1:15" ht="11.1" customHeight="1" x14ac:dyDescent="0.2">
      <c r="A72" s="186" t="s">
        <v>952</v>
      </c>
      <c r="B72" s="186" t="s">
        <v>958</v>
      </c>
      <c r="C72" s="187">
        <v>1</v>
      </c>
      <c r="D72" s="186" t="s">
        <v>0</v>
      </c>
      <c r="E72" s="186"/>
      <c r="F72" s="186" t="s">
        <v>935</v>
      </c>
      <c r="G72" s="186"/>
      <c r="H72" s="188">
        <v>2350</v>
      </c>
      <c r="I72" s="189"/>
      <c r="J72" s="186" t="s">
        <v>948</v>
      </c>
      <c r="K72" s="186" t="s">
        <v>959</v>
      </c>
      <c r="L72" s="186" t="s">
        <v>10</v>
      </c>
      <c r="M72" s="186" t="s">
        <v>10</v>
      </c>
      <c r="N72" s="190">
        <v>1</v>
      </c>
      <c r="O72" s="189"/>
    </row>
    <row r="73" spans="1:15" ht="11.1" customHeight="1" x14ac:dyDescent="0.2">
      <c r="A73" s="186" t="s">
        <v>952</v>
      </c>
      <c r="B73" s="186" t="s">
        <v>958</v>
      </c>
      <c r="C73" s="187">
        <v>2</v>
      </c>
      <c r="D73" s="186" t="s">
        <v>0</v>
      </c>
      <c r="E73" s="186"/>
      <c r="F73" s="186" t="s">
        <v>947</v>
      </c>
      <c r="G73" s="186"/>
      <c r="H73" s="188">
        <v>2620</v>
      </c>
      <c r="I73" s="189"/>
      <c r="J73" s="186" t="s">
        <v>948</v>
      </c>
      <c r="K73" s="186" t="s">
        <v>959</v>
      </c>
      <c r="L73" s="186" t="s">
        <v>10</v>
      </c>
      <c r="M73" s="186" t="s">
        <v>10</v>
      </c>
      <c r="N73" s="190">
        <v>1</v>
      </c>
      <c r="O73" s="189"/>
    </row>
    <row r="74" spans="1:15" ht="11.1" customHeight="1" x14ac:dyDescent="0.2">
      <c r="A74" s="186" t="s">
        <v>952</v>
      </c>
      <c r="B74" s="186" t="s">
        <v>960</v>
      </c>
      <c r="C74" s="187">
        <v>1</v>
      </c>
      <c r="D74" s="186" t="s">
        <v>11</v>
      </c>
      <c r="E74" s="186"/>
      <c r="F74" s="186" t="s">
        <v>935</v>
      </c>
      <c r="G74" s="186"/>
      <c r="H74" s="188">
        <v>2350</v>
      </c>
      <c r="I74" s="189"/>
      <c r="J74" s="186" t="s">
        <v>948</v>
      </c>
      <c r="K74" s="186" t="s">
        <v>959</v>
      </c>
      <c r="L74" s="186" t="s">
        <v>10</v>
      </c>
      <c r="M74" s="186" t="s">
        <v>10</v>
      </c>
      <c r="N74" s="190">
        <v>1</v>
      </c>
      <c r="O74" s="189"/>
    </row>
    <row r="75" spans="1:15" ht="11.1" customHeight="1" x14ac:dyDescent="0.2">
      <c r="A75" s="186" t="s">
        <v>952</v>
      </c>
      <c r="B75" s="186" t="s">
        <v>960</v>
      </c>
      <c r="C75" s="187">
        <v>2</v>
      </c>
      <c r="D75" s="186" t="s">
        <v>11</v>
      </c>
      <c r="E75" s="186"/>
      <c r="F75" s="186" t="s">
        <v>947</v>
      </c>
      <c r="G75" s="186"/>
      <c r="H75" s="188">
        <v>2620</v>
      </c>
      <c r="I75" s="189"/>
      <c r="J75" s="186" t="s">
        <v>948</v>
      </c>
      <c r="K75" s="186" t="s">
        <v>959</v>
      </c>
      <c r="L75" s="186" t="s">
        <v>10</v>
      </c>
      <c r="M75" s="186" t="s">
        <v>10</v>
      </c>
      <c r="N75" s="190">
        <v>1</v>
      </c>
      <c r="O75" s="189"/>
    </row>
    <row r="76" spans="1:15" ht="11.1" customHeight="1" x14ac:dyDescent="0.2">
      <c r="A76" s="186" t="s">
        <v>952</v>
      </c>
      <c r="B76" s="186" t="s">
        <v>961</v>
      </c>
      <c r="C76" s="187">
        <v>1</v>
      </c>
      <c r="D76" s="186" t="s">
        <v>12</v>
      </c>
      <c r="E76" s="186"/>
      <c r="F76" s="186" t="s">
        <v>935</v>
      </c>
      <c r="G76" s="186"/>
      <c r="H76" s="188">
        <v>2380</v>
      </c>
      <c r="I76" s="189"/>
      <c r="J76" s="186" t="s">
        <v>948</v>
      </c>
      <c r="K76" s="186" t="s">
        <v>962</v>
      </c>
      <c r="L76" s="186" t="s">
        <v>10</v>
      </c>
      <c r="M76" s="186" t="s">
        <v>10</v>
      </c>
      <c r="N76" s="190">
        <v>1</v>
      </c>
      <c r="O76" s="189"/>
    </row>
    <row r="77" spans="1:15" ht="11.1" customHeight="1" x14ac:dyDescent="0.2">
      <c r="A77" s="186" t="s">
        <v>952</v>
      </c>
      <c r="B77" s="186" t="s">
        <v>961</v>
      </c>
      <c r="C77" s="187">
        <v>2</v>
      </c>
      <c r="D77" s="186" t="s">
        <v>12</v>
      </c>
      <c r="E77" s="186"/>
      <c r="F77" s="186" t="s">
        <v>947</v>
      </c>
      <c r="G77" s="186"/>
      <c r="H77" s="188">
        <v>2690</v>
      </c>
      <c r="I77" s="189"/>
      <c r="J77" s="186" t="s">
        <v>948</v>
      </c>
      <c r="K77" s="186" t="s">
        <v>962</v>
      </c>
      <c r="L77" s="186" t="s">
        <v>10</v>
      </c>
      <c r="M77" s="186" t="s">
        <v>10</v>
      </c>
      <c r="N77" s="190">
        <v>1</v>
      </c>
      <c r="O77" s="189"/>
    </row>
    <row r="78" spans="1:15" ht="11.1" customHeight="1" x14ac:dyDescent="0.2">
      <c r="A78" s="186" t="s">
        <v>952</v>
      </c>
      <c r="B78" s="186" t="s">
        <v>963</v>
      </c>
      <c r="C78" s="187">
        <v>1</v>
      </c>
      <c r="D78" s="186" t="s">
        <v>13</v>
      </c>
      <c r="E78" s="186"/>
      <c r="F78" s="186" t="s">
        <v>935</v>
      </c>
      <c r="G78" s="186"/>
      <c r="H78" s="188">
        <v>2380</v>
      </c>
      <c r="I78" s="189"/>
      <c r="J78" s="186" t="s">
        <v>948</v>
      </c>
      <c r="K78" s="186" t="s">
        <v>964</v>
      </c>
      <c r="L78" s="186" t="s">
        <v>10</v>
      </c>
      <c r="M78" s="186" t="s">
        <v>10</v>
      </c>
      <c r="N78" s="190">
        <v>1</v>
      </c>
      <c r="O78" s="189"/>
    </row>
    <row r="79" spans="1:15" ht="11.1" customHeight="1" x14ac:dyDescent="0.2">
      <c r="A79" s="186" t="s">
        <v>952</v>
      </c>
      <c r="B79" s="186" t="s">
        <v>963</v>
      </c>
      <c r="C79" s="187">
        <v>2</v>
      </c>
      <c r="D79" s="186" t="s">
        <v>13</v>
      </c>
      <c r="E79" s="186"/>
      <c r="F79" s="186" t="s">
        <v>947</v>
      </c>
      <c r="G79" s="186"/>
      <c r="H79" s="188">
        <v>2690</v>
      </c>
      <c r="I79" s="189"/>
      <c r="J79" s="186" t="s">
        <v>948</v>
      </c>
      <c r="K79" s="186" t="s">
        <v>964</v>
      </c>
      <c r="L79" s="186" t="s">
        <v>10</v>
      </c>
      <c r="M79" s="186" t="s">
        <v>10</v>
      </c>
      <c r="N79" s="190">
        <v>1</v>
      </c>
      <c r="O79" s="189"/>
    </row>
    <row r="80" spans="1:15" ht="11.1" customHeight="1" x14ac:dyDescent="0.2">
      <c r="A80" s="186" t="s">
        <v>952</v>
      </c>
      <c r="B80" s="186" t="s">
        <v>965</v>
      </c>
      <c r="C80" s="187">
        <v>1</v>
      </c>
      <c r="D80" s="186" t="s">
        <v>129</v>
      </c>
      <c r="E80" s="186"/>
      <c r="F80" s="186" t="s">
        <v>935</v>
      </c>
      <c r="G80" s="186"/>
      <c r="H80" s="188">
        <v>3200</v>
      </c>
      <c r="I80" s="189"/>
      <c r="J80" s="186" t="s">
        <v>948</v>
      </c>
      <c r="K80" s="186" t="s">
        <v>966</v>
      </c>
      <c r="L80" s="186" t="s">
        <v>10</v>
      </c>
      <c r="M80" s="186" t="s">
        <v>10</v>
      </c>
      <c r="N80" s="190">
        <v>1</v>
      </c>
      <c r="O80" s="189"/>
    </row>
    <row r="81" spans="1:15" ht="11.1" customHeight="1" x14ac:dyDescent="0.2">
      <c r="A81" s="186" t="s">
        <v>952</v>
      </c>
      <c r="B81" s="186" t="s">
        <v>965</v>
      </c>
      <c r="C81" s="187">
        <v>2</v>
      </c>
      <c r="D81" s="186" t="s">
        <v>129</v>
      </c>
      <c r="E81" s="186"/>
      <c r="F81" s="186" t="s">
        <v>947</v>
      </c>
      <c r="G81" s="186"/>
      <c r="H81" s="188">
        <v>3630</v>
      </c>
      <c r="I81" s="189"/>
      <c r="J81" s="186" t="s">
        <v>948</v>
      </c>
      <c r="K81" s="186" t="s">
        <v>966</v>
      </c>
      <c r="L81" s="186" t="s">
        <v>10</v>
      </c>
      <c r="M81" s="186" t="s">
        <v>10</v>
      </c>
      <c r="N81" s="190">
        <v>1</v>
      </c>
      <c r="O81" s="189"/>
    </row>
    <row r="82" spans="1:15" ht="11.1" customHeight="1" x14ac:dyDescent="0.2">
      <c r="A82" s="186" t="s">
        <v>952</v>
      </c>
      <c r="B82" s="186" t="s">
        <v>967</v>
      </c>
      <c r="C82" s="187">
        <v>1</v>
      </c>
      <c r="D82" s="186" t="s">
        <v>131</v>
      </c>
      <c r="E82" s="186"/>
      <c r="F82" s="186" t="s">
        <v>935</v>
      </c>
      <c r="G82" s="186"/>
      <c r="H82" s="188">
        <v>2980</v>
      </c>
      <c r="I82" s="189"/>
      <c r="J82" s="186" t="s">
        <v>948</v>
      </c>
      <c r="K82" s="186" t="s">
        <v>968</v>
      </c>
      <c r="L82" s="186" t="s">
        <v>10</v>
      </c>
      <c r="M82" s="186" t="s">
        <v>10</v>
      </c>
      <c r="N82" s="190">
        <v>1</v>
      </c>
      <c r="O82" s="189"/>
    </row>
    <row r="83" spans="1:15" ht="11.1" customHeight="1" x14ac:dyDescent="0.2">
      <c r="A83" s="186" t="s">
        <v>952</v>
      </c>
      <c r="B83" s="186" t="s">
        <v>967</v>
      </c>
      <c r="C83" s="187">
        <v>2</v>
      </c>
      <c r="D83" s="186" t="s">
        <v>131</v>
      </c>
      <c r="E83" s="186"/>
      <c r="F83" s="186" t="s">
        <v>947</v>
      </c>
      <c r="G83" s="186"/>
      <c r="H83" s="188">
        <v>3420</v>
      </c>
      <c r="I83" s="189"/>
      <c r="J83" s="186" t="s">
        <v>948</v>
      </c>
      <c r="K83" s="186" t="s">
        <v>968</v>
      </c>
      <c r="L83" s="186" t="s">
        <v>10</v>
      </c>
      <c r="M83" s="186" t="s">
        <v>10</v>
      </c>
      <c r="N83" s="190">
        <v>1</v>
      </c>
      <c r="O83" s="189"/>
    </row>
    <row r="84" spans="1:15" ht="11.1" customHeight="1" x14ac:dyDescent="0.2">
      <c r="A84" s="186" t="s">
        <v>952</v>
      </c>
      <c r="B84" s="186" t="s">
        <v>969</v>
      </c>
      <c r="C84" s="187">
        <v>1</v>
      </c>
      <c r="D84" s="186" t="s">
        <v>14</v>
      </c>
      <c r="E84" s="186"/>
      <c r="F84" s="186" t="s">
        <v>935</v>
      </c>
      <c r="G84" s="186"/>
      <c r="H84" s="188">
        <v>2640</v>
      </c>
      <c r="I84" s="189"/>
      <c r="J84" s="186" t="s">
        <v>948</v>
      </c>
      <c r="K84" s="186" t="s">
        <v>970</v>
      </c>
      <c r="L84" s="186" t="s">
        <v>10</v>
      </c>
      <c r="M84" s="186" t="s">
        <v>10</v>
      </c>
      <c r="N84" s="190">
        <v>1</v>
      </c>
      <c r="O84" s="189"/>
    </row>
    <row r="85" spans="1:15" ht="11.1" customHeight="1" x14ac:dyDescent="0.2">
      <c r="A85" s="186" t="s">
        <v>952</v>
      </c>
      <c r="B85" s="186" t="s">
        <v>969</v>
      </c>
      <c r="C85" s="187">
        <v>2</v>
      </c>
      <c r="D85" s="186" t="s">
        <v>14</v>
      </c>
      <c r="E85" s="186"/>
      <c r="F85" s="186" t="s">
        <v>947</v>
      </c>
      <c r="G85" s="186"/>
      <c r="H85" s="188">
        <v>2940</v>
      </c>
      <c r="I85" s="189"/>
      <c r="J85" s="186" t="s">
        <v>948</v>
      </c>
      <c r="K85" s="186" t="s">
        <v>970</v>
      </c>
      <c r="L85" s="186" t="s">
        <v>10</v>
      </c>
      <c r="M85" s="186" t="s">
        <v>10</v>
      </c>
      <c r="N85" s="190">
        <v>1</v>
      </c>
      <c r="O85" s="189"/>
    </row>
    <row r="86" spans="1:15" ht="11.1" customHeight="1" x14ac:dyDescent="0.2">
      <c r="A86" s="186" t="s">
        <v>952</v>
      </c>
      <c r="B86" s="186" t="s">
        <v>971</v>
      </c>
      <c r="C86" s="187">
        <v>1</v>
      </c>
      <c r="D86" s="186" t="s">
        <v>15</v>
      </c>
      <c r="E86" s="186"/>
      <c r="F86" s="186" t="s">
        <v>935</v>
      </c>
      <c r="G86" s="186"/>
      <c r="H86" s="188">
        <v>3510</v>
      </c>
      <c r="I86" s="189"/>
      <c r="J86" s="186" t="s">
        <v>948</v>
      </c>
      <c r="K86" s="186" t="s">
        <v>970</v>
      </c>
      <c r="L86" s="186" t="s">
        <v>10</v>
      </c>
      <c r="M86" s="186" t="s">
        <v>10</v>
      </c>
      <c r="N86" s="190">
        <v>1</v>
      </c>
      <c r="O86" s="189"/>
    </row>
    <row r="87" spans="1:15" ht="11.1" customHeight="1" x14ac:dyDescent="0.2">
      <c r="A87" s="186" t="s">
        <v>952</v>
      </c>
      <c r="B87" s="186" t="s">
        <v>971</v>
      </c>
      <c r="C87" s="187">
        <v>2</v>
      </c>
      <c r="D87" s="186" t="s">
        <v>15</v>
      </c>
      <c r="E87" s="186"/>
      <c r="F87" s="186" t="s">
        <v>947</v>
      </c>
      <c r="G87" s="186"/>
      <c r="H87" s="188">
        <v>3880</v>
      </c>
      <c r="I87" s="189"/>
      <c r="J87" s="186" t="s">
        <v>948</v>
      </c>
      <c r="K87" s="186" t="s">
        <v>970</v>
      </c>
      <c r="L87" s="186" t="s">
        <v>10</v>
      </c>
      <c r="M87" s="186" t="s">
        <v>10</v>
      </c>
      <c r="N87" s="190">
        <v>1</v>
      </c>
      <c r="O87" s="189"/>
    </row>
    <row r="88" spans="1:15" ht="11.1" customHeight="1" x14ac:dyDescent="0.2">
      <c r="A88" s="186" t="s">
        <v>952</v>
      </c>
      <c r="B88" s="186" t="s">
        <v>972</v>
      </c>
      <c r="C88" s="187">
        <v>1</v>
      </c>
      <c r="D88" s="186" t="s">
        <v>1</v>
      </c>
      <c r="E88" s="186"/>
      <c r="F88" s="186" t="s">
        <v>935</v>
      </c>
      <c r="G88" s="186"/>
      <c r="H88" s="188">
        <v>3060</v>
      </c>
      <c r="I88" s="189"/>
      <c r="J88" s="186" t="s">
        <v>948</v>
      </c>
      <c r="K88" s="186" t="s">
        <v>970</v>
      </c>
      <c r="L88" s="186" t="s">
        <v>10</v>
      </c>
      <c r="M88" s="186" t="s">
        <v>10</v>
      </c>
      <c r="N88" s="190">
        <v>1</v>
      </c>
      <c r="O88" s="189"/>
    </row>
    <row r="89" spans="1:15" ht="11.1" customHeight="1" x14ac:dyDescent="0.2">
      <c r="A89" s="186" t="s">
        <v>952</v>
      </c>
      <c r="B89" s="186" t="s">
        <v>972</v>
      </c>
      <c r="C89" s="187">
        <v>2</v>
      </c>
      <c r="D89" s="186" t="s">
        <v>1</v>
      </c>
      <c r="E89" s="186"/>
      <c r="F89" s="186" t="s">
        <v>947</v>
      </c>
      <c r="G89" s="186"/>
      <c r="H89" s="188">
        <v>3420</v>
      </c>
      <c r="I89" s="189"/>
      <c r="J89" s="186" t="s">
        <v>948</v>
      </c>
      <c r="K89" s="186" t="s">
        <v>970</v>
      </c>
      <c r="L89" s="186" t="s">
        <v>10</v>
      </c>
      <c r="M89" s="186" t="s">
        <v>10</v>
      </c>
      <c r="N89" s="190">
        <v>1</v>
      </c>
      <c r="O89" s="189"/>
    </row>
    <row r="90" spans="1:15" ht="11.1" customHeight="1" x14ac:dyDescent="0.2">
      <c r="A90" s="186" t="s">
        <v>952</v>
      </c>
      <c r="B90" s="186" t="s">
        <v>973</v>
      </c>
      <c r="C90" s="187">
        <v>1</v>
      </c>
      <c r="D90" s="186" t="s">
        <v>16</v>
      </c>
      <c r="E90" s="186"/>
      <c r="F90" s="186" t="s">
        <v>935</v>
      </c>
      <c r="G90" s="186"/>
      <c r="H90" s="188">
        <v>2960</v>
      </c>
      <c r="I90" s="189"/>
      <c r="J90" s="186" t="s">
        <v>948</v>
      </c>
      <c r="K90" s="186" t="s">
        <v>970</v>
      </c>
      <c r="L90" s="186" t="s">
        <v>10</v>
      </c>
      <c r="M90" s="186" t="s">
        <v>10</v>
      </c>
      <c r="N90" s="190">
        <v>1</v>
      </c>
      <c r="O90" s="189"/>
    </row>
    <row r="91" spans="1:15" ht="11.1" customHeight="1" x14ac:dyDescent="0.2">
      <c r="A91" s="186" t="s">
        <v>952</v>
      </c>
      <c r="B91" s="186" t="s">
        <v>973</v>
      </c>
      <c r="C91" s="187">
        <v>2</v>
      </c>
      <c r="D91" s="186" t="s">
        <v>16</v>
      </c>
      <c r="E91" s="186"/>
      <c r="F91" s="186" t="s">
        <v>947</v>
      </c>
      <c r="G91" s="186"/>
      <c r="H91" s="188">
        <v>3290</v>
      </c>
      <c r="I91" s="189"/>
      <c r="J91" s="186" t="s">
        <v>948</v>
      </c>
      <c r="K91" s="186" t="s">
        <v>970</v>
      </c>
      <c r="L91" s="186" t="s">
        <v>10</v>
      </c>
      <c r="M91" s="186" t="s">
        <v>10</v>
      </c>
      <c r="N91" s="190">
        <v>1</v>
      </c>
      <c r="O91" s="189"/>
    </row>
    <row r="92" spans="1:15" ht="11.1" customHeight="1" x14ac:dyDescent="0.2">
      <c r="A92" s="186" t="s">
        <v>952</v>
      </c>
      <c r="B92" s="186" t="s">
        <v>974</v>
      </c>
      <c r="C92" s="187">
        <v>1</v>
      </c>
      <c r="D92" s="186" t="s">
        <v>17</v>
      </c>
      <c r="E92" s="186"/>
      <c r="F92" s="186" t="s">
        <v>935</v>
      </c>
      <c r="G92" s="186"/>
      <c r="H92" s="188">
        <v>2760</v>
      </c>
      <c r="I92" s="189"/>
      <c r="J92" s="186" t="s">
        <v>948</v>
      </c>
      <c r="K92" s="186" t="s">
        <v>975</v>
      </c>
      <c r="L92" s="186" t="s">
        <v>10</v>
      </c>
      <c r="M92" s="186" t="s">
        <v>10</v>
      </c>
      <c r="N92" s="190">
        <v>1</v>
      </c>
      <c r="O92" s="189"/>
    </row>
    <row r="93" spans="1:15" ht="11.1" customHeight="1" x14ac:dyDescent="0.2">
      <c r="A93" s="186" t="s">
        <v>952</v>
      </c>
      <c r="B93" s="186" t="s">
        <v>974</v>
      </c>
      <c r="C93" s="187">
        <v>2</v>
      </c>
      <c r="D93" s="186" t="s">
        <v>17</v>
      </c>
      <c r="E93" s="186"/>
      <c r="F93" s="186" t="s">
        <v>947</v>
      </c>
      <c r="G93" s="186"/>
      <c r="H93" s="188">
        <v>3190</v>
      </c>
      <c r="I93" s="189"/>
      <c r="J93" s="186" t="s">
        <v>948</v>
      </c>
      <c r="K93" s="186" t="s">
        <v>975</v>
      </c>
      <c r="L93" s="186" t="s">
        <v>10</v>
      </c>
      <c r="M93" s="186" t="s">
        <v>10</v>
      </c>
      <c r="N93" s="190">
        <v>1</v>
      </c>
      <c r="O93" s="189"/>
    </row>
    <row r="94" spans="1:15" ht="11.1" customHeight="1" x14ac:dyDescent="0.2">
      <c r="A94" s="186" t="s">
        <v>952</v>
      </c>
      <c r="B94" s="186" t="s">
        <v>976</v>
      </c>
      <c r="C94" s="187">
        <v>1</v>
      </c>
      <c r="D94" s="186" t="s">
        <v>84</v>
      </c>
      <c r="E94" s="186"/>
      <c r="F94" s="186" t="s">
        <v>935</v>
      </c>
      <c r="G94" s="186"/>
      <c r="H94" s="188">
        <v>2640</v>
      </c>
      <c r="I94" s="189"/>
      <c r="J94" s="186" t="s">
        <v>948</v>
      </c>
      <c r="K94" s="186" t="s">
        <v>970</v>
      </c>
      <c r="L94" s="186" t="s">
        <v>10</v>
      </c>
      <c r="M94" s="186" t="s">
        <v>10</v>
      </c>
      <c r="N94" s="190">
        <v>1</v>
      </c>
      <c r="O94" s="189"/>
    </row>
    <row r="95" spans="1:15" ht="11.1" customHeight="1" x14ac:dyDescent="0.2">
      <c r="A95" s="186" t="s">
        <v>952</v>
      </c>
      <c r="B95" s="186" t="s">
        <v>976</v>
      </c>
      <c r="C95" s="187">
        <v>2</v>
      </c>
      <c r="D95" s="186" t="s">
        <v>84</v>
      </c>
      <c r="E95" s="186"/>
      <c r="F95" s="186" t="s">
        <v>947</v>
      </c>
      <c r="G95" s="186"/>
      <c r="H95" s="188">
        <v>2940</v>
      </c>
      <c r="I95" s="189"/>
      <c r="J95" s="186" t="s">
        <v>948</v>
      </c>
      <c r="K95" s="186" t="s">
        <v>970</v>
      </c>
      <c r="L95" s="186" t="s">
        <v>10</v>
      </c>
      <c r="M95" s="186" t="s">
        <v>10</v>
      </c>
      <c r="N95" s="190">
        <v>1</v>
      </c>
      <c r="O95" s="189"/>
    </row>
    <row r="96" spans="1:15" ht="11.1" customHeight="1" x14ac:dyDescent="0.2">
      <c r="A96" s="186" t="s">
        <v>952</v>
      </c>
      <c r="B96" s="186" t="s">
        <v>977</v>
      </c>
      <c r="C96" s="187">
        <v>1</v>
      </c>
      <c r="D96" s="186" t="s">
        <v>19</v>
      </c>
      <c r="E96" s="186"/>
      <c r="F96" s="186" t="s">
        <v>935</v>
      </c>
      <c r="G96" s="186"/>
      <c r="H96" s="188">
        <v>2270</v>
      </c>
      <c r="I96" s="189"/>
      <c r="J96" s="186" t="s">
        <v>948</v>
      </c>
      <c r="K96" s="186" t="s">
        <v>978</v>
      </c>
      <c r="L96" s="186" t="s">
        <v>10</v>
      </c>
      <c r="M96" s="186" t="s">
        <v>10</v>
      </c>
      <c r="N96" s="190">
        <v>1</v>
      </c>
      <c r="O96" s="189"/>
    </row>
    <row r="97" spans="1:15" ht="11.1" customHeight="1" x14ac:dyDescent="0.2">
      <c r="A97" s="186" t="s">
        <v>952</v>
      </c>
      <c r="B97" s="186" t="s">
        <v>977</v>
      </c>
      <c r="C97" s="187">
        <v>2</v>
      </c>
      <c r="D97" s="186" t="s">
        <v>19</v>
      </c>
      <c r="E97" s="186"/>
      <c r="F97" s="186" t="s">
        <v>947</v>
      </c>
      <c r="G97" s="186"/>
      <c r="H97" s="188">
        <v>2540</v>
      </c>
      <c r="I97" s="189"/>
      <c r="J97" s="186" t="s">
        <v>948</v>
      </c>
      <c r="K97" s="186" t="s">
        <v>978</v>
      </c>
      <c r="L97" s="186" t="s">
        <v>10</v>
      </c>
      <c r="M97" s="186" t="s">
        <v>10</v>
      </c>
      <c r="N97" s="190">
        <v>1</v>
      </c>
      <c r="O97" s="189"/>
    </row>
    <row r="98" spans="1:15" ht="11.1" customHeight="1" x14ac:dyDescent="0.2">
      <c r="A98" s="186" t="s">
        <v>952</v>
      </c>
      <c r="B98" s="186" t="s">
        <v>979</v>
      </c>
      <c r="C98" s="187">
        <v>1</v>
      </c>
      <c r="D98" s="186" t="s">
        <v>20</v>
      </c>
      <c r="E98" s="186"/>
      <c r="F98" s="186" t="s">
        <v>935</v>
      </c>
      <c r="G98" s="186"/>
      <c r="H98" s="188">
        <v>2270</v>
      </c>
      <c r="I98" s="189"/>
      <c r="J98" s="186" t="s">
        <v>948</v>
      </c>
      <c r="K98" s="186" t="s">
        <v>978</v>
      </c>
      <c r="L98" s="186" t="s">
        <v>10</v>
      </c>
      <c r="M98" s="186" t="s">
        <v>10</v>
      </c>
      <c r="N98" s="190">
        <v>1</v>
      </c>
      <c r="O98" s="189"/>
    </row>
    <row r="99" spans="1:15" ht="11.1" customHeight="1" x14ac:dyDescent="0.2">
      <c r="A99" s="186" t="s">
        <v>952</v>
      </c>
      <c r="B99" s="186" t="s">
        <v>979</v>
      </c>
      <c r="C99" s="187">
        <v>2</v>
      </c>
      <c r="D99" s="186" t="s">
        <v>20</v>
      </c>
      <c r="E99" s="186"/>
      <c r="F99" s="186" t="s">
        <v>947</v>
      </c>
      <c r="G99" s="186"/>
      <c r="H99" s="188">
        <v>2540</v>
      </c>
      <c r="I99" s="189"/>
      <c r="J99" s="186" t="s">
        <v>948</v>
      </c>
      <c r="K99" s="186" t="s">
        <v>978</v>
      </c>
      <c r="L99" s="186" t="s">
        <v>10</v>
      </c>
      <c r="M99" s="186" t="s">
        <v>10</v>
      </c>
      <c r="N99" s="190">
        <v>1</v>
      </c>
      <c r="O99" s="189"/>
    </row>
    <row r="100" spans="1:15" ht="11.1" customHeight="1" x14ac:dyDescent="0.2">
      <c r="A100" s="186" t="s">
        <v>952</v>
      </c>
      <c r="B100" s="186" t="s">
        <v>980</v>
      </c>
      <c r="C100" s="187">
        <v>1</v>
      </c>
      <c r="D100" s="186" t="s">
        <v>21</v>
      </c>
      <c r="E100" s="186"/>
      <c r="F100" s="186" t="s">
        <v>935</v>
      </c>
      <c r="G100" s="186"/>
      <c r="H100" s="188">
        <v>2538</v>
      </c>
      <c r="I100" s="189"/>
      <c r="J100" s="186" t="s">
        <v>948</v>
      </c>
      <c r="K100" s="186" t="s">
        <v>959</v>
      </c>
      <c r="L100" s="186" t="s">
        <v>10</v>
      </c>
      <c r="M100" s="186" t="s">
        <v>10</v>
      </c>
      <c r="N100" s="190">
        <v>1</v>
      </c>
      <c r="O100" s="189"/>
    </row>
    <row r="101" spans="1:15" ht="11.1" customHeight="1" x14ac:dyDescent="0.2">
      <c r="A101" s="186" t="s">
        <v>952</v>
      </c>
      <c r="B101" s="186" t="s">
        <v>980</v>
      </c>
      <c r="C101" s="187">
        <v>2</v>
      </c>
      <c r="D101" s="186" t="s">
        <v>21</v>
      </c>
      <c r="E101" s="186"/>
      <c r="F101" s="186" t="s">
        <v>947</v>
      </c>
      <c r="G101" s="186"/>
      <c r="H101" s="188">
        <v>2829.6</v>
      </c>
      <c r="I101" s="189"/>
      <c r="J101" s="186" t="s">
        <v>948</v>
      </c>
      <c r="K101" s="186" t="s">
        <v>959</v>
      </c>
      <c r="L101" s="186" t="s">
        <v>10</v>
      </c>
      <c r="M101" s="186" t="s">
        <v>10</v>
      </c>
      <c r="N101" s="190">
        <v>1</v>
      </c>
      <c r="O101" s="189"/>
    </row>
    <row r="102" spans="1:15" ht="11.1" customHeight="1" x14ac:dyDescent="0.2">
      <c r="A102" s="186" t="s">
        <v>952</v>
      </c>
      <c r="B102" s="186" t="s">
        <v>981</v>
      </c>
      <c r="C102" s="187">
        <v>1</v>
      </c>
      <c r="D102" s="186" t="s">
        <v>22</v>
      </c>
      <c r="E102" s="186"/>
      <c r="F102" s="186" t="s">
        <v>935</v>
      </c>
      <c r="G102" s="186"/>
      <c r="H102" s="188">
        <v>2538</v>
      </c>
      <c r="I102" s="189"/>
      <c r="J102" s="186" t="s">
        <v>948</v>
      </c>
      <c r="K102" s="186" t="s">
        <v>959</v>
      </c>
      <c r="L102" s="186" t="s">
        <v>10</v>
      </c>
      <c r="M102" s="186" t="s">
        <v>10</v>
      </c>
      <c r="N102" s="190">
        <v>1</v>
      </c>
      <c r="O102" s="189"/>
    </row>
    <row r="103" spans="1:15" ht="11.1" customHeight="1" x14ac:dyDescent="0.2">
      <c r="A103" s="186" t="s">
        <v>952</v>
      </c>
      <c r="B103" s="186" t="s">
        <v>981</v>
      </c>
      <c r="C103" s="187">
        <v>2</v>
      </c>
      <c r="D103" s="186" t="s">
        <v>22</v>
      </c>
      <c r="E103" s="186"/>
      <c r="F103" s="186" t="s">
        <v>947</v>
      </c>
      <c r="G103" s="186"/>
      <c r="H103" s="188">
        <v>2829.6</v>
      </c>
      <c r="I103" s="189"/>
      <c r="J103" s="186" t="s">
        <v>948</v>
      </c>
      <c r="K103" s="186" t="s">
        <v>959</v>
      </c>
      <c r="L103" s="186" t="s">
        <v>10</v>
      </c>
      <c r="M103" s="186" t="s">
        <v>10</v>
      </c>
      <c r="N103" s="190">
        <v>1</v>
      </c>
      <c r="O103" s="189"/>
    </row>
    <row r="104" spans="1:15" ht="11.1" customHeight="1" x14ac:dyDescent="0.2">
      <c r="A104" s="186" t="s">
        <v>952</v>
      </c>
      <c r="B104" s="186" t="s">
        <v>982</v>
      </c>
      <c r="C104" s="187">
        <v>1</v>
      </c>
      <c r="D104" s="186" t="s">
        <v>983</v>
      </c>
      <c r="E104" s="186"/>
      <c r="F104" s="186" t="s">
        <v>935</v>
      </c>
      <c r="G104" s="186"/>
      <c r="H104" s="188">
        <v>2350</v>
      </c>
      <c r="I104" s="189"/>
      <c r="J104" s="186" t="s">
        <v>948</v>
      </c>
      <c r="K104" s="186" t="s">
        <v>959</v>
      </c>
      <c r="L104" s="186" t="s">
        <v>10</v>
      </c>
      <c r="M104" s="186" t="s">
        <v>10</v>
      </c>
      <c r="N104" s="190">
        <v>1</v>
      </c>
      <c r="O104" s="189"/>
    </row>
    <row r="105" spans="1:15" ht="11.1" customHeight="1" x14ac:dyDescent="0.2">
      <c r="A105" s="186" t="s">
        <v>952</v>
      </c>
      <c r="B105" s="186" t="s">
        <v>982</v>
      </c>
      <c r="C105" s="187">
        <v>2</v>
      </c>
      <c r="D105" s="186" t="s">
        <v>983</v>
      </c>
      <c r="E105" s="186"/>
      <c r="F105" s="186" t="s">
        <v>947</v>
      </c>
      <c r="G105" s="186"/>
      <c r="H105" s="188">
        <v>2620</v>
      </c>
      <c r="I105" s="189"/>
      <c r="J105" s="186" t="s">
        <v>948</v>
      </c>
      <c r="K105" s="186" t="s">
        <v>959</v>
      </c>
      <c r="L105" s="186" t="s">
        <v>10</v>
      </c>
      <c r="M105" s="186" t="s">
        <v>10</v>
      </c>
      <c r="N105" s="190">
        <v>1</v>
      </c>
      <c r="O105" s="189"/>
    </row>
    <row r="106" spans="1:15" ht="11.1" customHeight="1" x14ac:dyDescent="0.2">
      <c r="A106" s="186" t="s">
        <v>952</v>
      </c>
      <c r="B106" s="186" t="s">
        <v>984</v>
      </c>
      <c r="C106" s="187">
        <v>1</v>
      </c>
      <c r="D106" s="186" t="s">
        <v>985</v>
      </c>
      <c r="E106" s="186"/>
      <c r="F106" s="186" t="s">
        <v>935</v>
      </c>
      <c r="G106" s="186"/>
      <c r="H106" s="188">
        <v>2538</v>
      </c>
      <c r="I106" s="189"/>
      <c r="J106" s="186" t="s">
        <v>948</v>
      </c>
      <c r="K106" s="186" t="s">
        <v>959</v>
      </c>
      <c r="L106" s="186" t="s">
        <v>10</v>
      </c>
      <c r="M106" s="186" t="s">
        <v>10</v>
      </c>
      <c r="N106" s="190">
        <v>1</v>
      </c>
      <c r="O106" s="189"/>
    </row>
    <row r="107" spans="1:15" ht="11.1" customHeight="1" x14ac:dyDescent="0.2">
      <c r="A107" s="186" t="s">
        <v>952</v>
      </c>
      <c r="B107" s="186" t="s">
        <v>984</v>
      </c>
      <c r="C107" s="187">
        <v>2</v>
      </c>
      <c r="D107" s="186" t="s">
        <v>985</v>
      </c>
      <c r="E107" s="186"/>
      <c r="F107" s="186" t="s">
        <v>947</v>
      </c>
      <c r="G107" s="186"/>
      <c r="H107" s="188">
        <v>2829.6</v>
      </c>
      <c r="I107" s="189"/>
      <c r="J107" s="186" t="s">
        <v>948</v>
      </c>
      <c r="K107" s="186" t="s">
        <v>959</v>
      </c>
      <c r="L107" s="186" t="s">
        <v>10</v>
      </c>
      <c r="M107" s="186" t="s">
        <v>10</v>
      </c>
      <c r="N107" s="190">
        <v>1</v>
      </c>
      <c r="O107" s="189"/>
    </row>
    <row r="108" spans="1:15" ht="11.1" customHeight="1" x14ac:dyDescent="0.2">
      <c r="A108" s="186" t="s">
        <v>952</v>
      </c>
      <c r="B108" s="186" t="s">
        <v>986</v>
      </c>
      <c r="C108" s="187">
        <v>1</v>
      </c>
      <c r="D108" s="186" t="s">
        <v>25</v>
      </c>
      <c r="E108" s="186"/>
      <c r="F108" s="186" t="s">
        <v>935</v>
      </c>
      <c r="G108" s="186"/>
      <c r="H108" s="188">
        <v>2538</v>
      </c>
      <c r="I108" s="189"/>
      <c r="J108" s="186" t="s">
        <v>948</v>
      </c>
      <c r="K108" s="186" t="s">
        <v>959</v>
      </c>
      <c r="L108" s="186" t="s">
        <v>10</v>
      </c>
      <c r="M108" s="186" t="s">
        <v>10</v>
      </c>
      <c r="N108" s="190">
        <v>1</v>
      </c>
      <c r="O108" s="189"/>
    </row>
    <row r="109" spans="1:15" ht="11.1" customHeight="1" x14ac:dyDescent="0.2">
      <c r="A109" s="186" t="s">
        <v>952</v>
      </c>
      <c r="B109" s="186" t="s">
        <v>986</v>
      </c>
      <c r="C109" s="187">
        <v>2</v>
      </c>
      <c r="D109" s="186" t="s">
        <v>25</v>
      </c>
      <c r="E109" s="186"/>
      <c r="F109" s="186" t="s">
        <v>947</v>
      </c>
      <c r="G109" s="186"/>
      <c r="H109" s="188">
        <v>2829.6</v>
      </c>
      <c r="I109" s="189"/>
      <c r="J109" s="186" t="s">
        <v>948</v>
      </c>
      <c r="K109" s="186" t="s">
        <v>959</v>
      </c>
      <c r="L109" s="186" t="s">
        <v>10</v>
      </c>
      <c r="M109" s="186" t="s">
        <v>10</v>
      </c>
      <c r="N109" s="190">
        <v>1</v>
      </c>
      <c r="O109" s="189"/>
    </row>
    <row r="110" spans="1:15" ht="11.1" customHeight="1" x14ac:dyDescent="0.2">
      <c r="A110" s="186" t="s">
        <v>952</v>
      </c>
      <c r="B110" s="186" t="s">
        <v>987</v>
      </c>
      <c r="C110" s="187">
        <v>1</v>
      </c>
      <c r="D110" s="186" t="s">
        <v>26</v>
      </c>
      <c r="E110" s="186"/>
      <c r="F110" s="186" t="s">
        <v>935</v>
      </c>
      <c r="G110" s="186"/>
      <c r="H110" s="188">
        <v>2538</v>
      </c>
      <c r="I110" s="189"/>
      <c r="J110" s="186" t="s">
        <v>948</v>
      </c>
      <c r="K110" s="186" t="s">
        <v>959</v>
      </c>
      <c r="L110" s="186" t="s">
        <v>10</v>
      </c>
      <c r="M110" s="186" t="s">
        <v>10</v>
      </c>
      <c r="N110" s="190">
        <v>1</v>
      </c>
      <c r="O110" s="189"/>
    </row>
    <row r="111" spans="1:15" ht="11.1" customHeight="1" x14ac:dyDescent="0.2">
      <c r="A111" s="186" t="s">
        <v>952</v>
      </c>
      <c r="B111" s="186" t="s">
        <v>987</v>
      </c>
      <c r="C111" s="187">
        <v>2</v>
      </c>
      <c r="D111" s="186" t="s">
        <v>26</v>
      </c>
      <c r="E111" s="186"/>
      <c r="F111" s="186" t="s">
        <v>947</v>
      </c>
      <c r="G111" s="186"/>
      <c r="H111" s="188">
        <v>2829.6</v>
      </c>
      <c r="I111" s="189"/>
      <c r="J111" s="186" t="s">
        <v>948</v>
      </c>
      <c r="K111" s="186" t="s">
        <v>959</v>
      </c>
      <c r="L111" s="186" t="s">
        <v>10</v>
      </c>
      <c r="M111" s="186" t="s">
        <v>10</v>
      </c>
      <c r="N111" s="190">
        <v>1</v>
      </c>
      <c r="O111" s="189"/>
    </row>
    <row r="112" spans="1:15" ht="11.1" customHeight="1" x14ac:dyDescent="0.2">
      <c r="A112" s="186" t="s">
        <v>952</v>
      </c>
      <c r="B112" s="186" t="s">
        <v>988</v>
      </c>
      <c r="C112" s="187">
        <v>1</v>
      </c>
      <c r="D112" s="186" t="s">
        <v>134</v>
      </c>
      <c r="E112" s="186"/>
      <c r="F112" s="186" t="s">
        <v>935</v>
      </c>
      <c r="G112" s="186"/>
      <c r="H112" s="188">
        <v>3456</v>
      </c>
      <c r="I112" s="189"/>
      <c r="J112" s="186" t="s">
        <v>948</v>
      </c>
      <c r="K112" s="186" t="s">
        <v>951</v>
      </c>
      <c r="L112" s="186" t="s">
        <v>10</v>
      </c>
      <c r="M112" s="186" t="s">
        <v>10</v>
      </c>
      <c r="N112" s="190">
        <v>1</v>
      </c>
      <c r="O112" s="189"/>
    </row>
    <row r="113" spans="1:15" ht="11.1" customHeight="1" x14ac:dyDescent="0.2">
      <c r="A113" s="186" t="s">
        <v>952</v>
      </c>
      <c r="B113" s="186" t="s">
        <v>988</v>
      </c>
      <c r="C113" s="187">
        <v>2</v>
      </c>
      <c r="D113" s="186" t="s">
        <v>134</v>
      </c>
      <c r="E113" s="186"/>
      <c r="F113" s="186" t="s">
        <v>947</v>
      </c>
      <c r="G113" s="186"/>
      <c r="H113" s="188">
        <v>3920.4</v>
      </c>
      <c r="I113" s="189"/>
      <c r="J113" s="186" t="s">
        <v>948</v>
      </c>
      <c r="K113" s="186" t="s">
        <v>951</v>
      </c>
      <c r="L113" s="186" t="s">
        <v>10</v>
      </c>
      <c r="M113" s="186" t="s">
        <v>10</v>
      </c>
      <c r="N113" s="190">
        <v>1</v>
      </c>
      <c r="O113" s="189"/>
    </row>
    <row r="114" spans="1:15" ht="11.1" customHeight="1" x14ac:dyDescent="0.2">
      <c r="A114" s="186" t="s">
        <v>952</v>
      </c>
      <c r="B114" s="186" t="s">
        <v>989</v>
      </c>
      <c r="C114" s="187">
        <v>1</v>
      </c>
      <c r="D114" s="186" t="s">
        <v>2</v>
      </c>
      <c r="E114" s="186"/>
      <c r="F114" s="186" t="s">
        <v>935</v>
      </c>
      <c r="G114" s="186"/>
      <c r="H114" s="188">
        <v>1780</v>
      </c>
      <c r="I114" s="189"/>
      <c r="J114" s="186" t="s">
        <v>948</v>
      </c>
      <c r="K114" s="186" t="s">
        <v>951</v>
      </c>
      <c r="L114" s="186" t="s">
        <v>10</v>
      </c>
      <c r="M114" s="186" t="s">
        <v>10</v>
      </c>
      <c r="N114" s="190">
        <v>1</v>
      </c>
      <c r="O114" s="189"/>
    </row>
    <row r="115" spans="1:15" ht="11.1" customHeight="1" x14ac:dyDescent="0.2">
      <c r="A115" s="186" t="s">
        <v>952</v>
      </c>
      <c r="B115" s="186" t="s">
        <v>989</v>
      </c>
      <c r="C115" s="187">
        <v>2</v>
      </c>
      <c r="D115" s="186" t="s">
        <v>2</v>
      </c>
      <c r="E115" s="186"/>
      <c r="F115" s="186" t="s">
        <v>947</v>
      </c>
      <c r="G115" s="186"/>
      <c r="H115" s="188">
        <v>1960</v>
      </c>
      <c r="I115" s="189"/>
      <c r="J115" s="186" t="s">
        <v>948</v>
      </c>
      <c r="K115" s="186" t="s">
        <v>951</v>
      </c>
      <c r="L115" s="186" t="s">
        <v>10</v>
      </c>
      <c r="M115" s="186" t="s">
        <v>10</v>
      </c>
      <c r="N115" s="190">
        <v>1</v>
      </c>
      <c r="O115" s="189"/>
    </row>
    <row r="116" spans="1:15" ht="11.1" customHeight="1" x14ac:dyDescent="0.2">
      <c r="A116" s="186" t="s">
        <v>952</v>
      </c>
      <c r="B116" s="186" t="s">
        <v>990</v>
      </c>
      <c r="C116" s="187">
        <v>1</v>
      </c>
      <c r="D116" s="186" t="s">
        <v>77</v>
      </c>
      <c r="E116" s="186"/>
      <c r="F116" s="186" t="s">
        <v>935</v>
      </c>
      <c r="G116" s="186"/>
      <c r="H116" s="188">
        <v>1780</v>
      </c>
      <c r="I116" s="189"/>
      <c r="J116" s="186" t="s">
        <v>948</v>
      </c>
      <c r="K116" s="186" t="s">
        <v>951</v>
      </c>
      <c r="L116" s="186" t="s">
        <v>10</v>
      </c>
      <c r="M116" s="186" t="s">
        <v>10</v>
      </c>
      <c r="N116" s="190">
        <v>1</v>
      </c>
      <c r="O116" s="189"/>
    </row>
    <row r="117" spans="1:15" ht="11.1" customHeight="1" x14ac:dyDescent="0.2">
      <c r="A117" s="186" t="s">
        <v>952</v>
      </c>
      <c r="B117" s="186" t="s">
        <v>990</v>
      </c>
      <c r="C117" s="187">
        <v>2</v>
      </c>
      <c r="D117" s="186" t="s">
        <v>77</v>
      </c>
      <c r="E117" s="186"/>
      <c r="F117" s="186" t="s">
        <v>947</v>
      </c>
      <c r="G117" s="186"/>
      <c r="H117" s="188">
        <v>1960</v>
      </c>
      <c r="I117" s="189"/>
      <c r="J117" s="186" t="s">
        <v>948</v>
      </c>
      <c r="K117" s="186" t="s">
        <v>951</v>
      </c>
      <c r="L117" s="186" t="s">
        <v>10</v>
      </c>
      <c r="M117" s="186" t="s">
        <v>10</v>
      </c>
      <c r="N117" s="190">
        <v>1</v>
      </c>
      <c r="O117" s="189"/>
    </row>
    <row r="118" spans="1:15" ht="11.1" customHeight="1" x14ac:dyDescent="0.2">
      <c r="A118" s="186" t="s">
        <v>952</v>
      </c>
      <c r="B118" s="186" t="s">
        <v>991</v>
      </c>
      <c r="C118" s="187">
        <v>1</v>
      </c>
      <c r="D118" s="186" t="s">
        <v>36</v>
      </c>
      <c r="E118" s="186"/>
      <c r="F118" s="186" t="s">
        <v>935</v>
      </c>
      <c r="G118" s="186"/>
      <c r="H118" s="188">
        <v>5220</v>
      </c>
      <c r="I118" s="189"/>
      <c r="J118" s="186" t="s">
        <v>948</v>
      </c>
      <c r="K118" s="186" t="s">
        <v>992</v>
      </c>
      <c r="L118" s="186" t="s">
        <v>10</v>
      </c>
      <c r="M118" s="186" t="s">
        <v>10</v>
      </c>
      <c r="N118" s="190">
        <v>1</v>
      </c>
      <c r="O118" s="189"/>
    </row>
    <row r="119" spans="1:15" ht="11.1" customHeight="1" x14ac:dyDescent="0.2">
      <c r="A119" s="186" t="s">
        <v>952</v>
      </c>
      <c r="B119" s="186" t="s">
        <v>991</v>
      </c>
      <c r="C119" s="187">
        <v>2</v>
      </c>
      <c r="D119" s="186" t="s">
        <v>36</v>
      </c>
      <c r="E119" s="186"/>
      <c r="F119" s="186" t="s">
        <v>947</v>
      </c>
      <c r="G119" s="186"/>
      <c r="H119" s="188">
        <v>6930</v>
      </c>
      <c r="I119" s="189"/>
      <c r="J119" s="186" t="s">
        <v>948</v>
      </c>
      <c r="K119" s="186" t="s">
        <v>992</v>
      </c>
      <c r="L119" s="186" t="s">
        <v>10</v>
      </c>
      <c r="M119" s="186" t="s">
        <v>10</v>
      </c>
      <c r="N119" s="190">
        <v>1</v>
      </c>
      <c r="O119" s="189"/>
    </row>
    <row r="120" spans="1:15" ht="11.1" customHeight="1" x14ac:dyDescent="0.2">
      <c r="A120" s="186" t="s">
        <v>952</v>
      </c>
      <c r="B120" s="186" t="s">
        <v>993</v>
      </c>
      <c r="C120" s="187">
        <v>1</v>
      </c>
      <c r="D120" s="186" t="s">
        <v>994</v>
      </c>
      <c r="E120" s="186"/>
      <c r="F120" s="186" t="s">
        <v>935</v>
      </c>
      <c r="G120" s="186"/>
      <c r="H120" s="188">
        <v>5220</v>
      </c>
      <c r="I120" s="189"/>
      <c r="J120" s="186" t="s">
        <v>948</v>
      </c>
      <c r="K120" s="186" t="s">
        <v>992</v>
      </c>
      <c r="L120" s="186" t="s">
        <v>10</v>
      </c>
      <c r="M120" s="186" t="s">
        <v>10</v>
      </c>
      <c r="N120" s="190">
        <v>1</v>
      </c>
      <c r="O120" s="189"/>
    </row>
    <row r="121" spans="1:15" ht="11.1" customHeight="1" x14ac:dyDescent="0.2">
      <c r="A121" s="186" t="s">
        <v>952</v>
      </c>
      <c r="B121" s="186" t="s">
        <v>993</v>
      </c>
      <c r="C121" s="187">
        <v>2</v>
      </c>
      <c r="D121" s="186" t="s">
        <v>994</v>
      </c>
      <c r="E121" s="186"/>
      <c r="F121" s="186" t="s">
        <v>947</v>
      </c>
      <c r="G121" s="186"/>
      <c r="H121" s="188">
        <v>5930</v>
      </c>
      <c r="I121" s="189"/>
      <c r="J121" s="186" t="s">
        <v>948</v>
      </c>
      <c r="K121" s="186" t="s">
        <v>992</v>
      </c>
      <c r="L121" s="186" t="s">
        <v>10</v>
      </c>
      <c r="M121" s="186" t="s">
        <v>10</v>
      </c>
      <c r="N121" s="190">
        <v>1</v>
      </c>
      <c r="O121" s="189"/>
    </row>
    <row r="122" spans="1:15" ht="11.1" customHeight="1" x14ac:dyDescent="0.2">
      <c r="A122" s="186" t="s">
        <v>952</v>
      </c>
      <c r="B122" s="186" t="s">
        <v>995</v>
      </c>
      <c r="C122" s="187">
        <v>1</v>
      </c>
      <c r="D122" s="186" t="s">
        <v>39</v>
      </c>
      <c r="E122" s="186"/>
      <c r="F122" s="186" t="s">
        <v>935</v>
      </c>
      <c r="G122" s="186"/>
      <c r="H122" s="188">
        <v>6990</v>
      </c>
      <c r="I122" s="189"/>
      <c r="J122" s="186" t="s">
        <v>948</v>
      </c>
      <c r="K122" s="186" t="s">
        <v>937</v>
      </c>
      <c r="L122" s="186" t="s">
        <v>10</v>
      </c>
      <c r="M122" s="186" t="s">
        <v>10</v>
      </c>
      <c r="N122" s="190">
        <v>1</v>
      </c>
      <c r="O122" s="189"/>
    </row>
    <row r="123" spans="1:15" ht="11.1" customHeight="1" x14ac:dyDescent="0.2">
      <c r="A123" s="186" t="s">
        <v>952</v>
      </c>
      <c r="B123" s="186" t="s">
        <v>995</v>
      </c>
      <c r="C123" s="187">
        <v>2</v>
      </c>
      <c r="D123" s="186" t="s">
        <v>39</v>
      </c>
      <c r="E123" s="186"/>
      <c r="F123" s="186" t="s">
        <v>947</v>
      </c>
      <c r="G123" s="186"/>
      <c r="H123" s="188">
        <v>7910</v>
      </c>
      <c r="I123" s="189"/>
      <c r="J123" s="186" t="s">
        <v>948</v>
      </c>
      <c r="K123" s="186" t="s">
        <v>937</v>
      </c>
      <c r="L123" s="186" t="s">
        <v>10</v>
      </c>
      <c r="M123" s="186" t="s">
        <v>10</v>
      </c>
      <c r="N123" s="190">
        <v>1</v>
      </c>
      <c r="O123" s="189"/>
    </row>
    <row r="124" spans="1:15" ht="11.1" customHeight="1" x14ac:dyDescent="0.2">
      <c r="A124" s="186" t="s">
        <v>952</v>
      </c>
      <c r="B124" s="186" t="s">
        <v>996</v>
      </c>
      <c r="C124" s="187">
        <v>1</v>
      </c>
      <c r="D124" s="186" t="s">
        <v>79</v>
      </c>
      <c r="E124" s="186"/>
      <c r="F124" s="186" t="s">
        <v>935</v>
      </c>
      <c r="G124" s="186"/>
      <c r="H124" s="188">
        <v>1780</v>
      </c>
      <c r="I124" s="189"/>
      <c r="J124" s="186" t="s">
        <v>948</v>
      </c>
      <c r="K124" s="186" t="s">
        <v>951</v>
      </c>
      <c r="L124" s="186" t="s">
        <v>10</v>
      </c>
      <c r="M124" s="186" t="s">
        <v>10</v>
      </c>
      <c r="N124" s="190">
        <v>1</v>
      </c>
      <c r="O124" s="189"/>
    </row>
    <row r="125" spans="1:15" ht="11.1" customHeight="1" x14ac:dyDescent="0.2">
      <c r="A125" s="186" t="s">
        <v>952</v>
      </c>
      <c r="B125" s="186" t="s">
        <v>996</v>
      </c>
      <c r="C125" s="187">
        <v>2</v>
      </c>
      <c r="D125" s="186" t="s">
        <v>79</v>
      </c>
      <c r="E125" s="186"/>
      <c r="F125" s="186" t="s">
        <v>947</v>
      </c>
      <c r="G125" s="186"/>
      <c r="H125" s="188">
        <v>1960</v>
      </c>
      <c r="I125" s="189"/>
      <c r="J125" s="186" t="s">
        <v>948</v>
      </c>
      <c r="K125" s="186" t="s">
        <v>951</v>
      </c>
      <c r="L125" s="186" t="s">
        <v>10</v>
      </c>
      <c r="M125" s="186" t="s">
        <v>10</v>
      </c>
      <c r="N125" s="190">
        <v>1</v>
      </c>
      <c r="O125" s="189"/>
    </row>
    <row r="126" spans="1:15" ht="11.1" customHeight="1" x14ac:dyDescent="0.2">
      <c r="A126" s="186" t="s">
        <v>952</v>
      </c>
      <c r="B126" s="186" t="s">
        <v>997</v>
      </c>
      <c r="C126" s="187">
        <v>1</v>
      </c>
      <c r="D126" s="186" t="s">
        <v>81</v>
      </c>
      <c r="E126" s="186"/>
      <c r="F126" s="186" t="s">
        <v>935</v>
      </c>
      <c r="G126" s="186"/>
      <c r="H126" s="188">
        <v>1780</v>
      </c>
      <c r="I126" s="189"/>
      <c r="J126" s="186" t="s">
        <v>948</v>
      </c>
      <c r="K126" s="186" t="s">
        <v>951</v>
      </c>
      <c r="L126" s="186" t="s">
        <v>10</v>
      </c>
      <c r="M126" s="186" t="s">
        <v>10</v>
      </c>
      <c r="N126" s="190">
        <v>1</v>
      </c>
      <c r="O126" s="189"/>
    </row>
    <row r="127" spans="1:15" ht="11.1" customHeight="1" x14ac:dyDescent="0.2">
      <c r="A127" s="186" t="s">
        <v>952</v>
      </c>
      <c r="B127" s="186" t="s">
        <v>997</v>
      </c>
      <c r="C127" s="187">
        <v>2</v>
      </c>
      <c r="D127" s="186" t="s">
        <v>81</v>
      </c>
      <c r="E127" s="186"/>
      <c r="F127" s="186" t="s">
        <v>947</v>
      </c>
      <c r="G127" s="186"/>
      <c r="H127" s="188">
        <v>1960</v>
      </c>
      <c r="I127" s="189"/>
      <c r="J127" s="186" t="s">
        <v>948</v>
      </c>
      <c r="K127" s="186" t="s">
        <v>951</v>
      </c>
      <c r="L127" s="186" t="s">
        <v>10</v>
      </c>
      <c r="M127" s="186" t="s">
        <v>10</v>
      </c>
      <c r="N127" s="190">
        <v>1</v>
      </c>
      <c r="O127" s="189"/>
    </row>
    <row r="128" spans="1:15" ht="11.1" customHeight="1" x14ac:dyDescent="0.2">
      <c r="A128" s="186" t="s">
        <v>952</v>
      </c>
      <c r="B128" s="186" t="s">
        <v>998</v>
      </c>
      <c r="C128" s="187">
        <v>1</v>
      </c>
      <c r="D128" s="186" t="s">
        <v>28</v>
      </c>
      <c r="E128" s="186"/>
      <c r="F128" s="186" t="s">
        <v>935</v>
      </c>
      <c r="G128" s="186"/>
      <c r="H128" s="188">
        <v>1780</v>
      </c>
      <c r="I128" s="189"/>
      <c r="J128" s="186" t="s">
        <v>948</v>
      </c>
      <c r="K128" s="186" t="s">
        <v>951</v>
      </c>
      <c r="L128" s="186" t="s">
        <v>10</v>
      </c>
      <c r="M128" s="186" t="s">
        <v>10</v>
      </c>
      <c r="N128" s="190">
        <v>1</v>
      </c>
      <c r="O128" s="189"/>
    </row>
    <row r="129" spans="1:15" ht="11.1" customHeight="1" x14ac:dyDescent="0.2">
      <c r="A129" s="186" t="s">
        <v>952</v>
      </c>
      <c r="B129" s="186" t="s">
        <v>998</v>
      </c>
      <c r="C129" s="187">
        <v>2</v>
      </c>
      <c r="D129" s="186" t="s">
        <v>28</v>
      </c>
      <c r="E129" s="186"/>
      <c r="F129" s="186" t="s">
        <v>947</v>
      </c>
      <c r="G129" s="186"/>
      <c r="H129" s="188">
        <v>1960</v>
      </c>
      <c r="I129" s="189"/>
      <c r="J129" s="186" t="s">
        <v>948</v>
      </c>
      <c r="K129" s="186" t="s">
        <v>951</v>
      </c>
      <c r="L129" s="186" t="s">
        <v>10</v>
      </c>
      <c r="M129" s="186" t="s">
        <v>10</v>
      </c>
      <c r="N129" s="190">
        <v>1</v>
      </c>
      <c r="O129" s="189"/>
    </row>
    <row r="130" spans="1:15" ht="11.1" customHeight="1" x14ac:dyDescent="0.2">
      <c r="A130" s="186" t="s">
        <v>952</v>
      </c>
      <c r="B130" s="186" t="s">
        <v>999</v>
      </c>
      <c r="C130" s="187">
        <v>1</v>
      </c>
      <c r="D130" s="186" t="s">
        <v>31</v>
      </c>
      <c r="E130" s="186"/>
      <c r="F130" s="186" t="s">
        <v>935</v>
      </c>
      <c r="G130" s="186"/>
      <c r="H130" s="188">
        <v>2820</v>
      </c>
      <c r="I130" s="189"/>
      <c r="J130" s="186" t="s">
        <v>948</v>
      </c>
      <c r="K130" s="186" t="s">
        <v>1000</v>
      </c>
      <c r="L130" s="186" t="s">
        <v>10</v>
      </c>
      <c r="M130" s="186" t="s">
        <v>10</v>
      </c>
      <c r="N130" s="190">
        <v>1</v>
      </c>
      <c r="O130" s="189"/>
    </row>
    <row r="131" spans="1:15" ht="11.1" customHeight="1" x14ac:dyDescent="0.2">
      <c r="A131" s="186" t="s">
        <v>952</v>
      </c>
      <c r="B131" s="186" t="s">
        <v>999</v>
      </c>
      <c r="C131" s="187">
        <v>2</v>
      </c>
      <c r="D131" s="186" t="s">
        <v>31</v>
      </c>
      <c r="E131" s="186"/>
      <c r="F131" s="186" t="s">
        <v>947</v>
      </c>
      <c r="G131" s="186"/>
      <c r="H131" s="188">
        <v>3110</v>
      </c>
      <c r="I131" s="189"/>
      <c r="J131" s="186" t="s">
        <v>948</v>
      </c>
      <c r="K131" s="186" t="s">
        <v>1000</v>
      </c>
      <c r="L131" s="186" t="s">
        <v>10</v>
      </c>
      <c r="M131" s="186" t="s">
        <v>10</v>
      </c>
      <c r="N131" s="190">
        <v>1</v>
      </c>
      <c r="O131" s="189"/>
    </row>
    <row r="132" spans="1:15" ht="11.1" customHeight="1" x14ac:dyDescent="0.2">
      <c r="A132" s="186" t="s">
        <v>952</v>
      </c>
      <c r="B132" s="186" t="s">
        <v>1001</v>
      </c>
      <c r="C132" s="187">
        <v>1</v>
      </c>
      <c r="D132" s="186" t="s">
        <v>42</v>
      </c>
      <c r="E132" s="186"/>
      <c r="F132" s="186" t="s">
        <v>935</v>
      </c>
      <c r="G132" s="186"/>
      <c r="H132" s="188">
        <v>9310</v>
      </c>
      <c r="I132" s="189"/>
      <c r="J132" s="186" t="s">
        <v>948</v>
      </c>
      <c r="K132" s="186" t="s">
        <v>1002</v>
      </c>
      <c r="L132" s="186" t="s">
        <v>10</v>
      </c>
      <c r="M132" s="186" t="s">
        <v>10</v>
      </c>
      <c r="N132" s="190">
        <v>1</v>
      </c>
      <c r="O132" s="189"/>
    </row>
    <row r="133" spans="1:15" ht="11.1" customHeight="1" x14ac:dyDescent="0.2">
      <c r="A133" s="186" t="s">
        <v>952</v>
      </c>
      <c r="B133" s="186" t="s">
        <v>1001</v>
      </c>
      <c r="C133" s="187">
        <v>2</v>
      </c>
      <c r="D133" s="186" t="s">
        <v>42</v>
      </c>
      <c r="E133" s="186"/>
      <c r="F133" s="186" t="s">
        <v>947</v>
      </c>
      <c r="G133" s="186"/>
      <c r="H133" s="188">
        <v>10640</v>
      </c>
      <c r="I133" s="189"/>
      <c r="J133" s="186" t="s">
        <v>948</v>
      </c>
      <c r="K133" s="186" t="s">
        <v>1002</v>
      </c>
      <c r="L133" s="186" t="s">
        <v>10</v>
      </c>
      <c r="M133" s="186" t="s">
        <v>10</v>
      </c>
      <c r="N133" s="190">
        <v>1</v>
      </c>
      <c r="O133" s="189"/>
    </row>
    <row r="134" spans="1:15" ht="11.1" customHeight="1" x14ac:dyDescent="0.2">
      <c r="A134" s="186" t="s">
        <v>952</v>
      </c>
      <c r="B134" s="186" t="s">
        <v>1003</v>
      </c>
      <c r="C134" s="187">
        <v>1</v>
      </c>
      <c r="D134" s="186" t="s">
        <v>43</v>
      </c>
      <c r="E134" s="186"/>
      <c r="F134" s="186" t="s">
        <v>935</v>
      </c>
      <c r="G134" s="186"/>
      <c r="H134" s="188">
        <v>8710</v>
      </c>
      <c r="I134" s="189"/>
      <c r="J134" s="186" t="s">
        <v>948</v>
      </c>
      <c r="K134" s="186" t="s">
        <v>1002</v>
      </c>
      <c r="L134" s="186" t="s">
        <v>10</v>
      </c>
      <c r="M134" s="186" t="s">
        <v>10</v>
      </c>
      <c r="N134" s="190">
        <v>1</v>
      </c>
      <c r="O134" s="189"/>
    </row>
    <row r="135" spans="1:15" ht="11.1" customHeight="1" x14ac:dyDescent="0.2">
      <c r="A135" s="186" t="s">
        <v>952</v>
      </c>
      <c r="B135" s="186" t="s">
        <v>1003</v>
      </c>
      <c r="C135" s="187">
        <v>2</v>
      </c>
      <c r="D135" s="186" t="s">
        <v>43</v>
      </c>
      <c r="E135" s="186"/>
      <c r="F135" s="186" t="s">
        <v>947</v>
      </c>
      <c r="G135" s="186"/>
      <c r="H135" s="188">
        <v>9950</v>
      </c>
      <c r="I135" s="189"/>
      <c r="J135" s="186" t="s">
        <v>948</v>
      </c>
      <c r="K135" s="186" t="s">
        <v>1002</v>
      </c>
      <c r="L135" s="186" t="s">
        <v>10</v>
      </c>
      <c r="M135" s="186" t="s">
        <v>10</v>
      </c>
      <c r="N135" s="190">
        <v>1</v>
      </c>
      <c r="O135" s="189"/>
    </row>
    <row r="136" spans="1:15" ht="11.1" customHeight="1" x14ac:dyDescent="0.2">
      <c r="A136" s="186" t="s">
        <v>952</v>
      </c>
      <c r="B136" s="186" t="s">
        <v>1004</v>
      </c>
      <c r="C136" s="187">
        <v>1</v>
      </c>
      <c r="D136" s="186" t="s">
        <v>1005</v>
      </c>
      <c r="E136" s="186"/>
      <c r="F136" s="186" t="s">
        <v>935</v>
      </c>
      <c r="G136" s="186"/>
      <c r="H136" s="188">
        <v>7500</v>
      </c>
      <c r="I136" s="189"/>
      <c r="J136" s="186" t="s">
        <v>948</v>
      </c>
      <c r="K136" s="186" t="s">
        <v>1002</v>
      </c>
      <c r="L136" s="186" t="s">
        <v>10</v>
      </c>
      <c r="M136" s="186" t="s">
        <v>10</v>
      </c>
      <c r="N136" s="190">
        <v>1</v>
      </c>
      <c r="O136" s="189"/>
    </row>
    <row r="137" spans="1:15" ht="11.1" customHeight="1" x14ac:dyDescent="0.2">
      <c r="A137" s="186" t="s">
        <v>952</v>
      </c>
      <c r="B137" s="186" t="s">
        <v>1004</v>
      </c>
      <c r="C137" s="187">
        <v>2</v>
      </c>
      <c r="D137" s="186" t="s">
        <v>1005</v>
      </c>
      <c r="E137" s="186"/>
      <c r="F137" s="186" t="s">
        <v>947</v>
      </c>
      <c r="G137" s="186"/>
      <c r="H137" s="188">
        <v>8590</v>
      </c>
      <c r="I137" s="189"/>
      <c r="J137" s="186" t="s">
        <v>948</v>
      </c>
      <c r="K137" s="186" t="s">
        <v>1002</v>
      </c>
      <c r="L137" s="186" t="s">
        <v>10</v>
      </c>
      <c r="M137" s="186" t="s">
        <v>10</v>
      </c>
      <c r="N137" s="190">
        <v>1</v>
      </c>
      <c r="O137" s="189"/>
    </row>
    <row r="138" spans="1:15" ht="11.1" customHeight="1" x14ac:dyDescent="0.2">
      <c r="A138" s="186" t="s">
        <v>952</v>
      </c>
      <c r="B138" s="186" t="s">
        <v>1006</v>
      </c>
      <c r="C138" s="187">
        <v>1</v>
      </c>
      <c r="D138" s="186" t="s">
        <v>40</v>
      </c>
      <c r="E138" s="186"/>
      <c r="F138" s="186" t="s">
        <v>935</v>
      </c>
      <c r="G138" s="186"/>
      <c r="H138" s="188">
        <v>5750</v>
      </c>
      <c r="I138" s="189"/>
      <c r="J138" s="186" t="s">
        <v>948</v>
      </c>
      <c r="K138" s="186" t="s">
        <v>937</v>
      </c>
      <c r="L138" s="186" t="s">
        <v>10</v>
      </c>
      <c r="M138" s="186" t="s">
        <v>10</v>
      </c>
      <c r="N138" s="190">
        <v>1</v>
      </c>
      <c r="O138" s="189"/>
    </row>
    <row r="139" spans="1:15" ht="11.1" customHeight="1" x14ac:dyDescent="0.2">
      <c r="A139" s="186" t="s">
        <v>952</v>
      </c>
      <c r="B139" s="186" t="s">
        <v>1006</v>
      </c>
      <c r="C139" s="187">
        <v>2</v>
      </c>
      <c r="D139" s="186" t="s">
        <v>40</v>
      </c>
      <c r="E139" s="186"/>
      <c r="F139" s="186" t="s">
        <v>947</v>
      </c>
      <c r="G139" s="186"/>
      <c r="H139" s="188">
        <v>6560</v>
      </c>
      <c r="I139" s="189"/>
      <c r="J139" s="186" t="s">
        <v>948</v>
      </c>
      <c r="K139" s="186" t="s">
        <v>937</v>
      </c>
      <c r="L139" s="186" t="s">
        <v>10</v>
      </c>
      <c r="M139" s="186" t="s">
        <v>10</v>
      </c>
      <c r="N139" s="190">
        <v>1</v>
      </c>
      <c r="O139" s="189"/>
    </row>
    <row r="140" spans="1:15" ht="11.1" customHeight="1" x14ac:dyDescent="0.2">
      <c r="A140" s="186" t="s">
        <v>952</v>
      </c>
      <c r="B140" s="186" t="s">
        <v>1007</v>
      </c>
      <c r="C140" s="187">
        <v>1</v>
      </c>
      <c r="D140" s="186" t="s">
        <v>1008</v>
      </c>
      <c r="E140" s="186"/>
      <c r="F140" s="186" t="s">
        <v>935</v>
      </c>
      <c r="G140" s="186"/>
      <c r="H140" s="188">
        <v>8640</v>
      </c>
      <c r="I140" s="189"/>
      <c r="J140" s="186" t="s">
        <v>948</v>
      </c>
      <c r="K140" s="186" t="s">
        <v>1002</v>
      </c>
      <c r="L140" s="186" t="s">
        <v>10</v>
      </c>
      <c r="M140" s="186" t="s">
        <v>10</v>
      </c>
      <c r="N140" s="190">
        <v>1</v>
      </c>
      <c r="O140" s="189"/>
    </row>
    <row r="141" spans="1:15" ht="11.1" customHeight="1" x14ac:dyDescent="0.2">
      <c r="A141" s="186" t="s">
        <v>952</v>
      </c>
      <c r="B141" s="186" t="s">
        <v>1007</v>
      </c>
      <c r="C141" s="187">
        <v>2</v>
      </c>
      <c r="D141" s="186" t="s">
        <v>1008</v>
      </c>
      <c r="E141" s="186"/>
      <c r="F141" s="186" t="s">
        <v>947</v>
      </c>
      <c r="G141" s="186"/>
      <c r="H141" s="188">
        <v>9880</v>
      </c>
      <c r="I141" s="189"/>
      <c r="J141" s="186" t="s">
        <v>948</v>
      </c>
      <c r="K141" s="186" t="s">
        <v>1002</v>
      </c>
      <c r="L141" s="186" t="s">
        <v>10</v>
      </c>
      <c r="M141" s="186" t="s">
        <v>10</v>
      </c>
      <c r="N141" s="190">
        <v>1</v>
      </c>
      <c r="O141" s="189"/>
    </row>
    <row r="142" spans="1:15" ht="11.1" customHeight="1" x14ac:dyDescent="0.2">
      <c r="A142" s="186" t="s">
        <v>952</v>
      </c>
      <c r="B142" s="186" t="s">
        <v>1009</v>
      </c>
      <c r="C142" s="187">
        <v>1</v>
      </c>
      <c r="D142" s="186" t="s">
        <v>44</v>
      </c>
      <c r="E142" s="186"/>
      <c r="F142" s="186" t="s">
        <v>935</v>
      </c>
      <c r="G142" s="186"/>
      <c r="H142" s="188">
        <v>6800</v>
      </c>
      <c r="I142" s="189"/>
      <c r="J142" s="186" t="s">
        <v>948</v>
      </c>
      <c r="K142" s="186" t="s">
        <v>1010</v>
      </c>
      <c r="L142" s="186" t="s">
        <v>10</v>
      </c>
      <c r="M142" s="186" t="s">
        <v>10</v>
      </c>
      <c r="N142" s="190">
        <v>1</v>
      </c>
      <c r="O142" s="189"/>
    </row>
    <row r="143" spans="1:15" ht="11.1" customHeight="1" x14ac:dyDescent="0.2">
      <c r="A143" s="186" t="s">
        <v>952</v>
      </c>
      <c r="B143" s="186" t="s">
        <v>1009</v>
      </c>
      <c r="C143" s="187">
        <v>2</v>
      </c>
      <c r="D143" s="186" t="s">
        <v>44</v>
      </c>
      <c r="E143" s="186"/>
      <c r="F143" s="186" t="s">
        <v>947</v>
      </c>
      <c r="G143" s="186"/>
      <c r="H143" s="188">
        <v>7810</v>
      </c>
      <c r="I143" s="189"/>
      <c r="J143" s="186" t="s">
        <v>948</v>
      </c>
      <c r="K143" s="186" t="s">
        <v>1010</v>
      </c>
      <c r="L143" s="186" t="s">
        <v>10</v>
      </c>
      <c r="M143" s="186" t="s">
        <v>10</v>
      </c>
      <c r="N143" s="190">
        <v>1</v>
      </c>
      <c r="O143" s="189"/>
    </row>
    <row r="144" spans="1:15" ht="11.1" customHeight="1" x14ac:dyDescent="0.2">
      <c r="A144" s="186" t="s">
        <v>952</v>
      </c>
      <c r="B144" s="186" t="s">
        <v>1011</v>
      </c>
      <c r="C144" s="187">
        <v>1</v>
      </c>
      <c r="D144" s="186" t="s">
        <v>82</v>
      </c>
      <c r="E144" s="186"/>
      <c r="F144" s="186" t="s">
        <v>935</v>
      </c>
      <c r="G144" s="186"/>
      <c r="H144" s="188">
        <v>1780</v>
      </c>
      <c r="I144" s="189"/>
      <c r="J144" s="186" t="s">
        <v>948</v>
      </c>
      <c r="K144" s="186" t="s">
        <v>951</v>
      </c>
      <c r="L144" s="186" t="s">
        <v>10</v>
      </c>
      <c r="M144" s="186" t="s">
        <v>10</v>
      </c>
      <c r="N144" s="190">
        <v>1</v>
      </c>
      <c r="O144" s="189"/>
    </row>
    <row r="145" spans="1:15" ht="11.1" customHeight="1" x14ac:dyDescent="0.2">
      <c r="A145" s="186" t="s">
        <v>952</v>
      </c>
      <c r="B145" s="186" t="s">
        <v>1011</v>
      </c>
      <c r="C145" s="187">
        <v>2</v>
      </c>
      <c r="D145" s="186" t="s">
        <v>82</v>
      </c>
      <c r="E145" s="186"/>
      <c r="F145" s="186" t="s">
        <v>947</v>
      </c>
      <c r="G145" s="186"/>
      <c r="H145" s="188">
        <v>1960</v>
      </c>
      <c r="I145" s="189"/>
      <c r="J145" s="186" t="s">
        <v>948</v>
      </c>
      <c r="K145" s="186" t="s">
        <v>951</v>
      </c>
      <c r="L145" s="186" t="s">
        <v>10</v>
      </c>
      <c r="M145" s="186" t="s">
        <v>10</v>
      </c>
      <c r="N145" s="190">
        <v>1</v>
      </c>
      <c r="O145" s="189"/>
    </row>
    <row r="146" spans="1:15" ht="11.1" customHeight="1" x14ac:dyDescent="0.2">
      <c r="A146" s="186" t="s">
        <v>952</v>
      </c>
      <c r="B146" s="186" t="s">
        <v>1012</v>
      </c>
      <c r="C146" s="187">
        <v>1</v>
      </c>
      <c r="D146" s="186" t="s">
        <v>33</v>
      </c>
      <c r="E146" s="186"/>
      <c r="F146" s="186" t="s">
        <v>935</v>
      </c>
      <c r="G146" s="186"/>
      <c r="H146" s="188">
        <v>1780</v>
      </c>
      <c r="I146" s="189"/>
      <c r="J146" s="186" t="s">
        <v>948</v>
      </c>
      <c r="K146" s="186" t="s">
        <v>951</v>
      </c>
      <c r="L146" s="186" t="s">
        <v>10</v>
      </c>
      <c r="M146" s="186" t="s">
        <v>10</v>
      </c>
      <c r="N146" s="190">
        <v>1</v>
      </c>
      <c r="O146" s="189"/>
    </row>
    <row r="147" spans="1:15" ht="11.1" customHeight="1" x14ac:dyDescent="0.2">
      <c r="A147" s="186" t="s">
        <v>952</v>
      </c>
      <c r="B147" s="186" t="s">
        <v>1012</v>
      </c>
      <c r="C147" s="187">
        <v>2</v>
      </c>
      <c r="D147" s="186" t="s">
        <v>33</v>
      </c>
      <c r="E147" s="186"/>
      <c r="F147" s="186" t="s">
        <v>947</v>
      </c>
      <c r="G147" s="186"/>
      <c r="H147" s="188">
        <v>1960</v>
      </c>
      <c r="I147" s="189"/>
      <c r="J147" s="186" t="s">
        <v>948</v>
      </c>
      <c r="K147" s="186" t="s">
        <v>951</v>
      </c>
      <c r="L147" s="186" t="s">
        <v>10</v>
      </c>
      <c r="M147" s="186" t="s">
        <v>10</v>
      </c>
      <c r="N147" s="190">
        <v>1</v>
      </c>
      <c r="O147" s="189"/>
    </row>
    <row r="148" spans="1:15" ht="11.1" customHeight="1" x14ac:dyDescent="0.2">
      <c r="A148" s="186" t="s">
        <v>952</v>
      </c>
      <c r="B148" s="186" t="s">
        <v>1013</v>
      </c>
      <c r="C148" s="187">
        <v>1</v>
      </c>
      <c r="D148" s="186" t="s">
        <v>1014</v>
      </c>
      <c r="E148" s="186"/>
      <c r="F148" s="186" t="s">
        <v>935</v>
      </c>
      <c r="G148" s="186"/>
      <c r="H148" s="188">
        <v>2960</v>
      </c>
      <c r="I148" s="189"/>
      <c r="J148" s="186" t="s">
        <v>948</v>
      </c>
      <c r="K148" s="186" t="s">
        <v>1000</v>
      </c>
      <c r="L148" s="186" t="s">
        <v>10</v>
      </c>
      <c r="M148" s="186" t="s">
        <v>10</v>
      </c>
      <c r="N148" s="190">
        <v>1</v>
      </c>
      <c r="O148" s="189"/>
    </row>
    <row r="149" spans="1:15" ht="11.1" customHeight="1" x14ac:dyDescent="0.2">
      <c r="A149" s="186" t="s">
        <v>952</v>
      </c>
      <c r="B149" s="186" t="s">
        <v>1013</v>
      </c>
      <c r="C149" s="187">
        <v>2</v>
      </c>
      <c r="D149" s="186" t="s">
        <v>1014</v>
      </c>
      <c r="E149" s="186"/>
      <c r="F149" s="186" t="s">
        <v>947</v>
      </c>
      <c r="G149" s="186"/>
      <c r="H149" s="188">
        <v>3270</v>
      </c>
      <c r="I149" s="189"/>
      <c r="J149" s="186" t="s">
        <v>948</v>
      </c>
      <c r="K149" s="186" t="s">
        <v>1000</v>
      </c>
      <c r="L149" s="186" t="s">
        <v>10</v>
      </c>
      <c r="M149" s="186" t="s">
        <v>10</v>
      </c>
      <c r="N149" s="190">
        <v>1</v>
      </c>
      <c r="O149" s="189"/>
    </row>
    <row r="150" spans="1:15" ht="11.1" customHeight="1" x14ac:dyDescent="0.2">
      <c r="A150" s="186" t="s">
        <v>952</v>
      </c>
      <c r="B150" s="186" t="s">
        <v>1015</v>
      </c>
      <c r="C150" s="187">
        <v>1</v>
      </c>
      <c r="D150" s="186" t="s">
        <v>1016</v>
      </c>
      <c r="E150" s="186"/>
      <c r="F150" s="186" t="s">
        <v>935</v>
      </c>
      <c r="G150" s="186"/>
      <c r="H150" s="188">
        <v>1710</v>
      </c>
      <c r="I150" s="189"/>
      <c r="J150" s="186" t="s">
        <v>948</v>
      </c>
      <c r="K150" s="186" t="s">
        <v>1017</v>
      </c>
      <c r="L150" s="186" t="s">
        <v>10</v>
      </c>
      <c r="M150" s="186" t="s">
        <v>10</v>
      </c>
      <c r="N150" s="190">
        <v>1</v>
      </c>
      <c r="O150" s="189"/>
    </row>
    <row r="151" spans="1:15" ht="11.1" customHeight="1" x14ac:dyDescent="0.2">
      <c r="A151" s="186" t="s">
        <v>952</v>
      </c>
      <c r="B151" s="186" t="s">
        <v>1015</v>
      </c>
      <c r="C151" s="187">
        <v>2</v>
      </c>
      <c r="D151" s="186" t="s">
        <v>1016</v>
      </c>
      <c r="E151" s="186"/>
      <c r="F151" s="186" t="s">
        <v>947</v>
      </c>
      <c r="G151" s="186"/>
      <c r="H151" s="188">
        <v>1880</v>
      </c>
      <c r="I151" s="189"/>
      <c r="J151" s="186" t="s">
        <v>948</v>
      </c>
      <c r="K151" s="186" t="s">
        <v>1017</v>
      </c>
      <c r="L151" s="186" t="s">
        <v>10</v>
      </c>
      <c r="M151" s="186" t="s">
        <v>10</v>
      </c>
      <c r="N151" s="190">
        <v>1</v>
      </c>
      <c r="O151" s="189"/>
    </row>
    <row r="152" spans="1:15" ht="11.1" customHeight="1" x14ac:dyDescent="0.2">
      <c r="A152" s="186" t="s">
        <v>952</v>
      </c>
      <c r="B152" s="186" t="s">
        <v>1018</v>
      </c>
      <c r="C152" s="187">
        <v>1</v>
      </c>
      <c r="D152" s="186" t="s">
        <v>1019</v>
      </c>
      <c r="E152" s="186"/>
      <c r="F152" s="186" t="s">
        <v>935</v>
      </c>
      <c r="G152" s="186"/>
      <c r="H152" s="188">
        <v>1710</v>
      </c>
      <c r="I152" s="189"/>
      <c r="J152" s="186" t="s">
        <v>948</v>
      </c>
      <c r="K152" s="186" t="s">
        <v>1017</v>
      </c>
      <c r="L152" s="186" t="s">
        <v>10</v>
      </c>
      <c r="M152" s="186" t="s">
        <v>10</v>
      </c>
      <c r="N152" s="190">
        <v>1</v>
      </c>
      <c r="O152" s="189"/>
    </row>
    <row r="153" spans="1:15" ht="11.1" customHeight="1" x14ac:dyDescent="0.2">
      <c r="A153" s="186" t="s">
        <v>952</v>
      </c>
      <c r="B153" s="186" t="s">
        <v>1018</v>
      </c>
      <c r="C153" s="187">
        <v>2</v>
      </c>
      <c r="D153" s="186" t="s">
        <v>1019</v>
      </c>
      <c r="E153" s="186"/>
      <c r="F153" s="186" t="s">
        <v>947</v>
      </c>
      <c r="G153" s="186"/>
      <c r="H153" s="188">
        <v>1880</v>
      </c>
      <c r="I153" s="189"/>
      <c r="J153" s="186" t="s">
        <v>948</v>
      </c>
      <c r="K153" s="186" t="s">
        <v>1017</v>
      </c>
      <c r="L153" s="186" t="s">
        <v>10</v>
      </c>
      <c r="M153" s="186" t="s">
        <v>10</v>
      </c>
      <c r="N153" s="190">
        <v>1</v>
      </c>
      <c r="O153" s="189"/>
    </row>
    <row r="154" spans="1:15" ht="11.1" customHeight="1" x14ac:dyDescent="0.2">
      <c r="A154" s="186" t="s">
        <v>952</v>
      </c>
      <c r="B154" s="186" t="s">
        <v>1020</v>
      </c>
      <c r="C154" s="187">
        <v>1</v>
      </c>
      <c r="D154" s="186" t="s">
        <v>29</v>
      </c>
      <c r="E154" s="186"/>
      <c r="F154" s="186" t="s">
        <v>935</v>
      </c>
      <c r="G154" s="186"/>
      <c r="H154" s="188">
        <v>2860</v>
      </c>
      <c r="I154" s="189"/>
      <c r="J154" s="186" t="s">
        <v>948</v>
      </c>
      <c r="K154" s="186" t="s">
        <v>1021</v>
      </c>
      <c r="L154" s="186" t="s">
        <v>10</v>
      </c>
      <c r="M154" s="186" t="s">
        <v>10</v>
      </c>
      <c r="N154" s="190">
        <v>1</v>
      </c>
      <c r="O154" s="189"/>
    </row>
    <row r="155" spans="1:15" ht="11.1" customHeight="1" x14ac:dyDescent="0.2">
      <c r="A155" s="186" t="s">
        <v>952</v>
      </c>
      <c r="B155" s="186" t="s">
        <v>1020</v>
      </c>
      <c r="C155" s="187">
        <v>2</v>
      </c>
      <c r="D155" s="186" t="s">
        <v>29</v>
      </c>
      <c r="E155" s="186"/>
      <c r="F155" s="186" t="s">
        <v>947</v>
      </c>
      <c r="G155" s="186"/>
      <c r="H155" s="188">
        <v>3210</v>
      </c>
      <c r="I155" s="189"/>
      <c r="J155" s="186" t="s">
        <v>948</v>
      </c>
      <c r="K155" s="186" t="s">
        <v>1021</v>
      </c>
      <c r="L155" s="186" t="s">
        <v>10</v>
      </c>
      <c r="M155" s="186" t="s">
        <v>10</v>
      </c>
      <c r="N155" s="190">
        <v>1</v>
      </c>
      <c r="O155" s="189"/>
    </row>
    <row r="156" spans="1:15" ht="11.1" customHeight="1" x14ac:dyDescent="0.2">
      <c r="A156" s="186" t="s">
        <v>952</v>
      </c>
      <c r="B156" s="186" t="s">
        <v>1022</v>
      </c>
      <c r="C156" s="187">
        <v>1</v>
      </c>
      <c r="D156" s="186" t="s">
        <v>1023</v>
      </c>
      <c r="E156" s="186"/>
      <c r="F156" s="186" t="s">
        <v>935</v>
      </c>
      <c r="G156" s="186"/>
      <c r="H156" s="188">
        <v>1710</v>
      </c>
      <c r="I156" s="189"/>
      <c r="J156" s="186" t="s">
        <v>948</v>
      </c>
      <c r="K156" s="186" t="s">
        <v>951</v>
      </c>
      <c r="L156" s="186" t="s">
        <v>10</v>
      </c>
      <c r="M156" s="186" t="s">
        <v>10</v>
      </c>
      <c r="N156" s="190">
        <v>1</v>
      </c>
      <c r="O156" s="189"/>
    </row>
    <row r="157" spans="1:15" ht="11.1" customHeight="1" x14ac:dyDescent="0.2">
      <c r="A157" s="186" t="s">
        <v>952</v>
      </c>
      <c r="B157" s="186" t="s">
        <v>1022</v>
      </c>
      <c r="C157" s="187">
        <v>2</v>
      </c>
      <c r="D157" s="186" t="s">
        <v>1023</v>
      </c>
      <c r="E157" s="186"/>
      <c r="F157" s="186" t="s">
        <v>947</v>
      </c>
      <c r="G157" s="186"/>
      <c r="H157" s="188">
        <v>1880</v>
      </c>
      <c r="I157" s="189"/>
      <c r="J157" s="186" t="s">
        <v>948</v>
      </c>
      <c r="K157" s="186" t="s">
        <v>951</v>
      </c>
      <c r="L157" s="186" t="s">
        <v>10</v>
      </c>
      <c r="M157" s="186" t="s">
        <v>10</v>
      </c>
      <c r="N157" s="190">
        <v>1</v>
      </c>
      <c r="O157" s="189"/>
    </row>
    <row r="158" spans="1:15" ht="11.1" customHeight="1" x14ac:dyDescent="0.2">
      <c r="A158" s="186" t="s">
        <v>952</v>
      </c>
      <c r="B158" s="186" t="s">
        <v>1024</v>
      </c>
      <c r="C158" s="187">
        <v>1</v>
      </c>
      <c r="D158" s="186" t="s">
        <v>34</v>
      </c>
      <c r="E158" s="186"/>
      <c r="F158" s="186" t="s">
        <v>935</v>
      </c>
      <c r="G158" s="186"/>
      <c r="H158" s="188">
        <v>1780</v>
      </c>
      <c r="I158" s="189"/>
      <c r="J158" s="186" t="s">
        <v>948</v>
      </c>
      <c r="K158" s="186" t="s">
        <v>951</v>
      </c>
      <c r="L158" s="186" t="s">
        <v>10</v>
      </c>
      <c r="M158" s="186" t="s">
        <v>10</v>
      </c>
      <c r="N158" s="190">
        <v>1</v>
      </c>
      <c r="O158" s="189"/>
    </row>
    <row r="159" spans="1:15" ht="11.1" customHeight="1" x14ac:dyDescent="0.2">
      <c r="A159" s="186" t="s">
        <v>952</v>
      </c>
      <c r="B159" s="186" t="s">
        <v>1024</v>
      </c>
      <c r="C159" s="187">
        <v>2</v>
      </c>
      <c r="D159" s="186" t="s">
        <v>34</v>
      </c>
      <c r="E159" s="186"/>
      <c r="F159" s="186" t="s">
        <v>947</v>
      </c>
      <c r="G159" s="186"/>
      <c r="H159" s="188">
        <v>1960</v>
      </c>
      <c r="I159" s="189"/>
      <c r="J159" s="186" t="s">
        <v>948</v>
      </c>
      <c r="K159" s="186" t="s">
        <v>951</v>
      </c>
      <c r="L159" s="186" t="s">
        <v>10</v>
      </c>
      <c r="M159" s="186" t="s">
        <v>10</v>
      </c>
      <c r="N159" s="190">
        <v>1</v>
      </c>
      <c r="O159" s="189"/>
    </row>
    <row r="160" spans="1:15" ht="11.1" customHeight="1" x14ac:dyDescent="0.2">
      <c r="A160" s="186" t="s">
        <v>952</v>
      </c>
      <c r="B160" s="186" t="s">
        <v>1025</v>
      </c>
      <c r="C160" s="187">
        <v>1</v>
      </c>
      <c r="D160" s="186" t="s">
        <v>1026</v>
      </c>
      <c r="E160" s="186"/>
      <c r="F160" s="186" t="s">
        <v>935</v>
      </c>
      <c r="G160" s="186"/>
      <c r="H160" s="188">
        <v>1710</v>
      </c>
      <c r="I160" s="189"/>
      <c r="J160" s="186" t="s">
        <v>948</v>
      </c>
      <c r="K160" s="186" t="s">
        <v>1027</v>
      </c>
      <c r="L160" s="186" t="s">
        <v>10</v>
      </c>
      <c r="M160" s="186" t="s">
        <v>10</v>
      </c>
      <c r="N160" s="190">
        <v>1</v>
      </c>
      <c r="O160" s="189"/>
    </row>
    <row r="161" spans="1:15" ht="11.1" customHeight="1" x14ac:dyDescent="0.2">
      <c r="A161" s="186" t="s">
        <v>952</v>
      </c>
      <c r="B161" s="186" t="s">
        <v>1025</v>
      </c>
      <c r="C161" s="187">
        <v>2</v>
      </c>
      <c r="D161" s="186" t="s">
        <v>1026</v>
      </c>
      <c r="E161" s="186"/>
      <c r="F161" s="186" t="s">
        <v>947</v>
      </c>
      <c r="G161" s="186"/>
      <c r="H161" s="188">
        <v>1880</v>
      </c>
      <c r="I161" s="189"/>
      <c r="J161" s="186" t="s">
        <v>948</v>
      </c>
      <c r="K161" s="186" t="s">
        <v>1027</v>
      </c>
      <c r="L161" s="186" t="s">
        <v>10</v>
      </c>
      <c r="M161" s="186" t="s">
        <v>10</v>
      </c>
      <c r="N161" s="190">
        <v>1</v>
      </c>
      <c r="O161" s="189"/>
    </row>
    <row r="162" spans="1:15" ht="11.1" customHeight="1" x14ac:dyDescent="0.2">
      <c r="A162" s="186" t="s">
        <v>952</v>
      </c>
      <c r="B162" s="186" t="s">
        <v>1028</v>
      </c>
      <c r="C162" s="187">
        <v>1</v>
      </c>
      <c r="D162" s="186" t="s">
        <v>27</v>
      </c>
      <c r="E162" s="186"/>
      <c r="F162" s="186" t="s">
        <v>935</v>
      </c>
      <c r="G162" s="186"/>
      <c r="H162" s="188">
        <v>1940</v>
      </c>
      <c r="I162" s="189"/>
      <c r="J162" s="186" t="s">
        <v>948</v>
      </c>
      <c r="K162" s="186" t="s">
        <v>1029</v>
      </c>
      <c r="L162" s="186" t="s">
        <v>10</v>
      </c>
      <c r="M162" s="186" t="s">
        <v>10</v>
      </c>
      <c r="N162" s="190">
        <v>1</v>
      </c>
      <c r="O162" s="189"/>
    </row>
    <row r="163" spans="1:15" ht="11.1" customHeight="1" x14ac:dyDescent="0.2">
      <c r="A163" s="186" t="s">
        <v>952</v>
      </c>
      <c r="B163" s="186" t="s">
        <v>1028</v>
      </c>
      <c r="C163" s="187">
        <v>2</v>
      </c>
      <c r="D163" s="186" t="s">
        <v>27</v>
      </c>
      <c r="E163" s="186"/>
      <c r="F163" s="186" t="s">
        <v>947</v>
      </c>
      <c r="G163" s="186"/>
      <c r="H163" s="188">
        <v>2170</v>
      </c>
      <c r="I163" s="189"/>
      <c r="J163" s="186" t="s">
        <v>948</v>
      </c>
      <c r="K163" s="186" t="s">
        <v>1029</v>
      </c>
      <c r="L163" s="186" t="s">
        <v>10</v>
      </c>
      <c r="M163" s="186" t="s">
        <v>10</v>
      </c>
      <c r="N163" s="190">
        <v>1</v>
      </c>
      <c r="O163" s="189"/>
    </row>
    <row r="164" spans="1:15" ht="11.1" customHeight="1" x14ac:dyDescent="0.2">
      <c r="A164" s="186" t="s">
        <v>952</v>
      </c>
      <c r="B164" s="186" t="s">
        <v>1030</v>
      </c>
      <c r="C164" s="187">
        <v>1</v>
      </c>
      <c r="D164" s="186" t="s">
        <v>32</v>
      </c>
      <c r="E164" s="186"/>
      <c r="F164" s="186" t="s">
        <v>935</v>
      </c>
      <c r="G164" s="186"/>
      <c r="H164" s="188">
        <v>2120</v>
      </c>
      <c r="I164" s="189"/>
      <c r="J164" s="186" t="s">
        <v>948</v>
      </c>
      <c r="K164" s="186" t="s">
        <v>1031</v>
      </c>
      <c r="L164" s="186" t="s">
        <v>10</v>
      </c>
      <c r="M164" s="186" t="s">
        <v>10</v>
      </c>
      <c r="N164" s="190">
        <v>1</v>
      </c>
      <c r="O164" s="189"/>
    </row>
    <row r="165" spans="1:15" ht="11.1" customHeight="1" x14ac:dyDescent="0.2">
      <c r="A165" s="186" t="s">
        <v>952</v>
      </c>
      <c r="B165" s="186" t="s">
        <v>1030</v>
      </c>
      <c r="C165" s="187">
        <v>2</v>
      </c>
      <c r="D165" s="186" t="s">
        <v>32</v>
      </c>
      <c r="E165" s="186"/>
      <c r="F165" s="186" t="s">
        <v>947</v>
      </c>
      <c r="G165" s="186"/>
      <c r="H165" s="188">
        <v>2320</v>
      </c>
      <c r="I165" s="189"/>
      <c r="J165" s="186" t="s">
        <v>948</v>
      </c>
      <c r="K165" s="186" t="s">
        <v>1031</v>
      </c>
      <c r="L165" s="186" t="s">
        <v>10</v>
      </c>
      <c r="M165" s="186" t="s">
        <v>10</v>
      </c>
      <c r="N165" s="190">
        <v>1</v>
      </c>
      <c r="O165" s="189"/>
    </row>
    <row r="166" spans="1:15" ht="11.1" customHeight="1" x14ac:dyDescent="0.2">
      <c r="A166" s="186" t="s">
        <v>952</v>
      </c>
      <c r="B166" s="186" t="s">
        <v>1032</v>
      </c>
      <c r="C166" s="187">
        <v>1</v>
      </c>
      <c r="D166" s="186" t="s">
        <v>30</v>
      </c>
      <c r="E166" s="186"/>
      <c r="F166" s="186" t="s">
        <v>935</v>
      </c>
      <c r="G166" s="186"/>
      <c r="H166" s="188">
        <v>2860</v>
      </c>
      <c r="I166" s="189"/>
      <c r="J166" s="186" t="s">
        <v>948</v>
      </c>
      <c r="K166" s="186" t="s">
        <v>1021</v>
      </c>
      <c r="L166" s="186" t="s">
        <v>10</v>
      </c>
      <c r="M166" s="186" t="s">
        <v>10</v>
      </c>
      <c r="N166" s="190">
        <v>1</v>
      </c>
      <c r="O166" s="189"/>
    </row>
    <row r="167" spans="1:15" ht="11.1" customHeight="1" x14ac:dyDescent="0.2">
      <c r="A167" s="186" t="s">
        <v>952</v>
      </c>
      <c r="B167" s="186" t="s">
        <v>1032</v>
      </c>
      <c r="C167" s="187">
        <v>2</v>
      </c>
      <c r="D167" s="186" t="s">
        <v>30</v>
      </c>
      <c r="E167" s="186"/>
      <c r="F167" s="186" t="s">
        <v>947</v>
      </c>
      <c r="G167" s="186"/>
      <c r="H167" s="188">
        <v>3210</v>
      </c>
      <c r="I167" s="189"/>
      <c r="J167" s="186" t="s">
        <v>948</v>
      </c>
      <c r="K167" s="186" t="s">
        <v>1021</v>
      </c>
      <c r="L167" s="186" t="s">
        <v>10</v>
      </c>
      <c r="M167" s="186" t="s">
        <v>10</v>
      </c>
      <c r="N167" s="190">
        <v>1</v>
      </c>
      <c r="O167" s="189"/>
    </row>
    <row r="168" spans="1:15" ht="11.1" customHeight="1" x14ac:dyDescent="0.2">
      <c r="A168" s="186" t="s">
        <v>952</v>
      </c>
      <c r="B168" s="186" t="s">
        <v>1033</v>
      </c>
      <c r="C168" s="187">
        <v>1</v>
      </c>
      <c r="D168" s="186" t="s">
        <v>23</v>
      </c>
      <c r="E168" s="186"/>
      <c r="F168" s="186" t="s">
        <v>935</v>
      </c>
      <c r="G168" s="186"/>
      <c r="H168" s="188">
        <v>3196.8</v>
      </c>
      <c r="I168" s="189"/>
      <c r="J168" s="186" t="s">
        <v>948</v>
      </c>
      <c r="K168" s="186" t="s">
        <v>970</v>
      </c>
      <c r="L168" s="186" t="s">
        <v>10</v>
      </c>
      <c r="M168" s="186" t="s">
        <v>10</v>
      </c>
      <c r="N168" s="190">
        <v>1</v>
      </c>
      <c r="O168" s="189"/>
    </row>
    <row r="169" spans="1:15" ht="11.1" customHeight="1" x14ac:dyDescent="0.2">
      <c r="A169" s="186" t="s">
        <v>952</v>
      </c>
      <c r="B169" s="186" t="s">
        <v>1033</v>
      </c>
      <c r="C169" s="187">
        <v>2</v>
      </c>
      <c r="D169" s="186" t="s">
        <v>23</v>
      </c>
      <c r="E169" s="186"/>
      <c r="F169" s="186" t="s">
        <v>947</v>
      </c>
      <c r="G169" s="186"/>
      <c r="H169" s="188">
        <v>3553.2</v>
      </c>
      <c r="I169" s="189"/>
      <c r="J169" s="186" t="s">
        <v>948</v>
      </c>
      <c r="K169" s="186" t="s">
        <v>970</v>
      </c>
      <c r="L169" s="186" t="s">
        <v>10</v>
      </c>
      <c r="M169" s="186" t="s">
        <v>10</v>
      </c>
      <c r="N169" s="190">
        <v>1</v>
      </c>
      <c r="O169" s="189"/>
    </row>
    <row r="170" spans="1:15" ht="11.1" customHeight="1" x14ac:dyDescent="0.2">
      <c r="A170" s="186" t="s">
        <v>952</v>
      </c>
      <c r="B170" s="186" t="s">
        <v>1034</v>
      </c>
      <c r="C170" s="187">
        <v>1</v>
      </c>
      <c r="D170" s="186" t="s">
        <v>24</v>
      </c>
      <c r="E170" s="186"/>
      <c r="F170" s="186" t="s">
        <v>935</v>
      </c>
      <c r="G170" s="186"/>
      <c r="H170" s="188">
        <v>3304.8</v>
      </c>
      <c r="I170" s="189"/>
      <c r="J170" s="186" t="s">
        <v>948</v>
      </c>
      <c r="K170" s="186" t="s">
        <v>970</v>
      </c>
      <c r="L170" s="186" t="s">
        <v>10</v>
      </c>
      <c r="M170" s="186" t="s">
        <v>10</v>
      </c>
      <c r="N170" s="190">
        <v>1</v>
      </c>
      <c r="O170" s="189"/>
    </row>
    <row r="171" spans="1:15" ht="11.1" customHeight="1" x14ac:dyDescent="0.2">
      <c r="A171" s="186" t="s">
        <v>952</v>
      </c>
      <c r="B171" s="186" t="s">
        <v>1034</v>
      </c>
      <c r="C171" s="187">
        <v>2</v>
      </c>
      <c r="D171" s="186" t="s">
        <v>24</v>
      </c>
      <c r="E171" s="186"/>
      <c r="F171" s="186" t="s">
        <v>947</v>
      </c>
      <c r="G171" s="186"/>
      <c r="H171" s="188">
        <v>3693.6</v>
      </c>
      <c r="I171" s="189"/>
      <c r="J171" s="186" t="s">
        <v>948</v>
      </c>
      <c r="K171" s="186" t="s">
        <v>970</v>
      </c>
      <c r="L171" s="186" t="s">
        <v>10</v>
      </c>
      <c r="M171" s="186" t="s">
        <v>10</v>
      </c>
      <c r="N171" s="190">
        <v>1</v>
      </c>
      <c r="O171" s="189"/>
    </row>
    <row r="172" spans="1:15" ht="11.1" customHeight="1" x14ac:dyDescent="0.2">
      <c r="A172" s="186" t="s">
        <v>952</v>
      </c>
      <c r="B172" s="186" t="s">
        <v>1035</v>
      </c>
      <c r="C172" s="187">
        <v>1</v>
      </c>
      <c r="D172" s="186" t="s">
        <v>1036</v>
      </c>
      <c r="E172" s="186"/>
      <c r="F172" s="186" t="s">
        <v>935</v>
      </c>
      <c r="G172" s="186"/>
      <c r="H172" s="188">
        <v>2960</v>
      </c>
      <c r="I172" s="189"/>
      <c r="J172" s="186" t="s">
        <v>948</v>
      </c>
      <c r="K172" s="186" t="s">
        <v>1000</v>
      </c>
      <c r="L172" s="186" t="s">
        <v>10</v>
      </c>
      <c r="M172" s="186" t="s">
        <v>10</v>
      </c>
      <c r="N172" s="190">
        <v>1</v>
      </c>
      <c r="O172" s="189"/>
    </row>
    <row r="173" spans="1:15" ht="11.1" customHeight="1" x14ac:dyDescent="0.2">
      <c r="A173" s="186" t="s">
        <v>952</v>
      </c>
      <c r="B173" s="186" t="s">
        <v>1035</v>
      </c>
      <c r="C173" s="187">
        <v>2</v>
      </c>
      <c r="D173" s="186" t="s">
        <v>1036</v>
      </c>
      <c r="E173" s="186"/>
      <c r="F173" s="186" t="s">
        <v>947</v>
      </c>
      <c r="G173" s="186"/>
      <c r="H173" s="188">
        <v>3270</v>
      </c>
      <c r="I173" s="189"/>
      <c r="J173" s="186" t="s">
        <v>948</v>
      </c>
      <c r="K173" s="186" t="s">
        <v>1000</v>
      </c>
      <c r="L173" s="186" t="s">
        <v>10</v>
      </c>
      <c r="M173" s="186" t="s">
        <v>10</v>
      </c>
      <c r="N173" s="190">
        <v>1</v>
      </c>
      <c r="O173" s="189"/>
    </row>
    <row r="174" spans="1:15" ht="11.1" customHeight="1" x14ac:dyDescent="0.2">
      <c r="A174" s="186" t="s">
        <v>952</v>
      </c>
      <c r="B174" s="186" t="s">
        <v>1037</v>
      </c>
      <c r="C174" s="187">
        <v>1</v>
      </c>
      <c r="D174" s="186" t="s">
        <v>18</v>
      </c>
      <c r="E174" s="186"/>
      <c r="F174" s="186" t="s">
        <v>935</v>
      </c>
      <c r="G174" s="186"/>
      <c r="H174" s="188">
        <v>2870</v>
      </c>
      <c r="I174" s="189"/>
      <c r="J174" s="186" t="s">
        <v>948</v>
      </c>
      <c r="K174" s="186" t="s">
        <v>1038</v>
      </c>
      <c r="L174" s="186" t="s">
        <v>10</v>
      </c>
      <c r="M174" s="186" t="s">
        <v>10</v>
      </c>
      <c r="N174" s="190">
        <v>1</v>
      </c>
      <c r="O174" s="189"/>
    </row>
    <row r="175" spans="1:15" ht="11.1" customHeight="1" x14ac:dyDescent="0.2">
      <c r="A175" s="186" t="s">
        <v>952</v>
      </c>
      <c r="B175" s="186" t="s">
        <v>1037</v>
      </c>
      <c r="C175" s="187">
        <v>2</v>
      </c>
      <c r="D175" s="186" t="s">
        <v>18</v>
      </c>
      <c r="E175" s="186"/>
      <c r="F175" s="186" t="s">
        <v>947</v>
      </c>
      <c r="G175" s="186"/>
      <c r="H175" s="188">
        <v>3200</v>
      </c>
      <c r="I175" s="189"/>
      <c r="J175" s="186" t="s">
        <v>948</v>
      </c>
      <c r="K175" s="186" t="s">
        <v>1038</v>
      </c>
      <c r="L175" s="186" t="s">
        <v>10</v>
      </c>
      <c r="M175" s="186" t="s">
        <v>10</v>
      </c>
      <c r="N175" s="190">
        <v>1</v>
      </c>
      <c r="O175" s="189"/>
    </row>
    <row r="176" spans="1:15" ht="11.1" customHeight="1" x14ac:dyDescent="0.2">
      <c r="A176" s="186" t="s">
        <v>952</v>
      </c>
      <c r="B176" s="186" t="s">
        <v>1039</v>
      </c>
      <c r="C176" s="187">
        <v>1</v>
      </c>
      <c r="D176" s="186" t="s">
        <v>35</v>
      </c>
      <c r="E176" s="186"/>
      <c r="F176" s="186" t="s">
        <v>935</v>
      </c>
      <c r="G176" s="186"/>
      <c r="H176" s="188">
        <v>2170</v>
      </c>
      <c r="I176" s="189"/>
      <c r="J176" s="186" t="s">
        <v>948</v>
      </c>
      <c r="K176" s="186" t="s">
        <v>1040</v>
      </c>
      <c r="L176" s="186" t="s">
        <v>10</v>
      </c>
      <c r="M176" s="186" t="s">
        <v>10</v>
      </c>
      <c r="N176" s="190">
        <v>1</v>
      </c>
      <c r="O176" s="189"/>
    </row>
    <row r="177" spans="1:15" ht="11.1" customHeight="1" x14ac:dyDescent="0.2">
      <c r="A177" s="186" t="s">
        <v>952</v>
      </c>
      <c r="B177" s="186" t="s">
        <v>1039</v>
      </c>
      <c r="C177" s="187">
        <v>2</v>
      </c>
      <c r="D177" s="186" t="s">
        <v>35</v>
      </c>
      <c r="E177" s="186"/>
      <c r="F177" s="186" t="s">
        <v>947</v>
      </c>
      <c r="G177" s="186"/>
      <c r="H177" s="188">
        <v>2400</v>
      </c>
      <c r="I177" s="189"/>
      <c r="J177" s="186" t="s">
        <v>948</v>
      </c>
      <c r="K177" s="186" t="s">
        <v>1040</v>
      </c>
      <c r="L177" s="186" t="s">
        <v>10</v>
      </c>
      <c r="M177" s="186" t="s">
        <v>10</v>
      </c>
      <c r="N177" s="190">
        <v>1</v>
      </c>
      <c r="O177" s="189"/>
    </row>
    <row r="178" spans="1:15" ht="11.1" customHeight="1" x14ac:dyDescent="0.2">
      <c r="A178" s="186" t="s">
        <v>952</v>
      </c>
      <c r="B178" s="186" t="s">
        <v>1041</v>
      </c>
      <c r="C178" s="187">
        <v>1</v>
      </c>
      <c r="D178" s="186" t="s">
        <v>38</v>
      </c>
      <c r="E178" s="186"/>
      <c r="F178" s="186" t="s">
        <v>935</v>
      </c>
      <c r="G178" s="186"/>
      <c r="H178" s="188">
        <v>5690</v>
      </c>
      <c r="I178" s="189"/>
      <c r="J178" s="186" t="s">
        <v>948</v>
      </c>
      <c r="K178" s="186" t="s">
        <v>1042</v>
      </c>
      <c r="L178" s="186" t="s">
        <v>10</v>
      </c>
      <c r="M178" s="186" t="s">
        <v>10</v>
      </c>
      <c r="N178" s="190">
        <v>1</v>
      </c>
      <c r="O178" s="189"/>
    </row>
    <row r="179" spans="1:15" ht="11.1" customHeight="1" x14ac:dyDescent="0.2">
      <c r="A179" s="186" t="s">
        <v>952</v>
      </c>
      <c r="B179" s="186" t="s">
        <v>1041</v>
      </c>
      <c r="C179" s="187">
        <v>2</v>
      </c>
      <c r="D179" s="186" t="s">
        <v>38</v>
      </c>
      <c r="E179" s="186"/>
      <c r="F179" s="186" t="s">
        <v>947</v>
      </c>
      <c r="G179" s="186"/>
      <c r="H179" s="188">
        <v>6420</v>
      </c>
      <c r="I179" s="189"/>
      <c r="J179" s="186" t="s">
        <v>948</v>
      </c>
      <c r="K179" s="186" t="s">
        <v>1042</v>
      </c>
      <c r="L179" s="186" t="s">
        <v>10</v>
      </c>
      <c r="M179" s="186" t="s">
        <v>10</v>
      </c>
      <c r="N179" s="190">
        <v>1</v>
      </c>
      <c r="O179" s="189"/>
    </row>
    <row r="180" spans="1:15" ht="11.1" customHeight="1" x14ac:dyDescent="0.2">
      <c r="A180" s="186" t="s">
        <v>952</v>
      </c>
      <c r="B180" s="186" t="s">
        <v>1043</v>
      </c>
      <c r="C180" s="187">
        <v>1</v>
      </c>
      <c r="D180" s="186" t="s">
        <v>130</v>
      </c>
      <c r="E180" s="186"/>
      <c r="F180" s="186" t="s">
        <v>935</v>
      </c>
      <c r="G180" s="186"/>
      <c r="H180" s="188">
        <v>2980</v>
      </c>
      <c r="I180" s="189"/>
      <c r="J180" s="186" t="s">
        <v>948</v>
      </c>
      <c r="K180" s="186" t="s">
        <v>968</v>
      </c>
      <c r="L180" s="186" t="s">
        <v>10</v>
      </c>
      <c r="M180" s="186" t="s">
        <v>10</v>
      </c>
      <c r="N180" s="190">
        <v>1</v>
      </c>
      <c r="O180" s="189"/>
    </row>
    <row r="181" spans="1:15" ht="11.1" customHeight="1" x14ac:dyDescent="0.2">
      <c r="A181" s="186" t="s">
        <v>952</v>
      </c>
      <c r="B181" s="186" t="s">
        <v>1043</v>
      </c>
      <c r="C181" s="187">
        <v>2</v>
      </c>
      <c r="D181" s="186" t="s">
        <v>130</v>
      </c>
      <c r="E181" s="186"/>
      <c r="F181" s="186" t="s">
        <v>947</v>
      </c>
      <c r="G181" s="186"/>
      <c r="H181" s="188">
        <v>3420</v>
      </c>
      <c r="I181" s="189"/>
      <c r="J181" s="186" t="s">
        <v>948</v>
      </c>
      <c r="K181" s="186" t="s">
        <v>968</v>
      </c>
      <c r="L181" s="186" t="s">
        <v>10</v>
      </c>
      <c r="M181" s="186" t="s">
        <v>10</v>
      </c>
      <c r="N181" s="190">
        <v>1</v>
      </c>
      <c r="O181" s="189"/>
    </row>
    <row r="182" spans="1:15" ht="11.1" customHeight="1" x14ac:dyDescent="0.2">
      <c r="A182" s="186" t="s">
        <v>952</v>
      </c>
      <c r="B182" s="186" t="s">
        <v>1044</v>
      </c>
      <c r="C182" s="187">
        <v>1</v>
      </c>
      <c r="D182" s="186" t="s">
        <v>128</v>
      </c>
      <c r="E182" s="186"/>
      <c r="F182" s="186" t="s">
        <v>935</v>
      </c>
      <c r="G182" s="186"/>
      <c r="H182" s="188">
        <v>3200</v>
      </c>
      <c r="I182" s="189"/>
      <c r="J182" s="186" t="s">
        <v>948</v>
      </c>
      <c r="K182" s="186" t="s">
        <v>966</v>
      </c>
      <c r="L182" s="186" t="s">
        <v>10</v>
      </c>
      <c r="M182" s="186" t="s">
        <v>10</v>
      </c>
      <c r="N182" s="190">
        <v>1</v>
      </c>
      <c r="O182" s="189"/>
    </row>
    <row r="183" spans="1:15" ht="11.1" customHeight="1" x14ac:dyDescent="0.2">
      <c r="A183" s="186" t="s">
        <v>952</v>
      </c>
      <c r="B183" s="186" t="s">
        <v>1044</v>
      </c>
      <c r="C183" s="187">
        <v>2</v>
      </c>
      <c r="D183" s="186" t="s">
        <v>128</v>
      </c>
      <c r="E183" s="186"/>
      <c r="F183" s="186" t="s">
        <v>947</v>
      </c>
      <c r="G183" s="186"/>
      <c r="H183" s="188">
        <v>3630</v>
      </c>
      <c r="I183" s="189"/>
      <c r="J183" s="186" t="s">
        <v>948</v>
      </c>
      <c r="K183" s="186" t="s">
        <v>966</v>
      </c>
      <c r="L183" s="186" t="s">
        <v>10</v>
      </c>
      <c r="M183" s="186" t="s">
        <v>10</v>
      </c>
      <c r="N183" s="190">
        <v>1</v>
      </c>
      <c r="O183" s="189"/>
    </row>
    <row r="184" spans="1:15" ht="11.1" customHeight="1" x14ac:dyDescent="0.2">
      <c r="A184" s="186" t="s">
        <v>952</v>
      </c>
      <c r="B184" s="186" t="s">
        <v>1045</v>
      </c>
      <c r="C184" s="187">
        <v>1</v>
      </c>
      <c r="D184" s="186" t="s">
        <v>133</v>
      </c>
      <c r="E184" s="186"/>
      <c r="F184" s="186" t="s">
        <v>935</v>
      </c>
      <c r="G184" s="186"/>
      <c r="H184" s="188">
        <v>3456</v>
      </c>
      <c r="I184" s="189"/>
      <c r="J184" s="186" t="s">
        <v>948</v>
      </c>
      <c r="K184" s="186" t="s">
        <v>951</v>
      </c>
      <c r="L184" s="186" t="s">
        <v>10</v>
      </c>
      <c r="M184" s="186" t="s">
        <v>10</v>
      </c>
      <c r="N184" s="190">
        <v>1</v>
      </c>
      <c r="O184" s="189"/>
    </row>
    <row r="185" spans="1:15" ht="11.1" customHeight="1" x14ac:dyDescent="0.2">
      <c r="A185" s="186" t="s">
        <v>952</v>
      </c>
      <c r="B185" s="186" t="s">
        <v>1045</v>
      </c>
      <c r="C185" s="187">
        <v>2</v>
      </c>
      <c r="D185" s="186" t="s">
        <v>133</v>
      </c>
      <c r="E185" s="186"/>
      <c r="F185" s="186" t="s">
        <v>947</v>
      </c>
      <c r="G185" s="186"/>
      <c r="H185" s="188">
        <v>3920.4</v>
      </c>
      <c r="I185" s="189"/>
      <c r="J185" s="186" t="s">
        <v>948</v>
      </c>
      <c r="K185" s="186" t="s">
        <v>951</v>
      </c>
      <c r="L185" s="186" t="s">
        <v>10</v>
      </c>
      <c r="M185" s="186" t="s">
        <v>10</v>
      </c>
      <c r="N185" s="190">
        <v>1</v>
      </c>
      <c r="O185" s="189"/>
    </row>
    <row r="186" spans="1:15" ht="11.1" customHeight="1" x14ac:dyDescent="0.2">
      <c r="A186" s="186" t="s">
        <v>952</v>
      </c>
      <c r="B186" s="186" t="s">
        <v>1046</v>
      </c>
      <c r="C186" s="187">
        <v>1</v>
      </c>
      <c r="D186" s="186" t="s">
        <v>41</v>
      </c>
      <c r="E186" s="186"/>
      <c r="F186" s="186" t="s">
        <v>935</v>
      </c>
      <c r="G186" s="186"/>
      <c r="H186" s="188">
        <v>6210</v>
      </c>
      <c r="I186" s="189"/>
      <c r="J186" s="186" t="s">
        <v>948</v>
      </c>
      <c r="K186" s="186" t="s">
        <v>937</v>
      </c>
      <c r="L186" s="186" t="s">
        <v>10</v>
      </c>
      <c r="M186" s="186" t="s">
        <v>10</v>
      </c>
      <c r="N186" s="190">
        <v>1</v>
      </c>
      <c r="O186" s="189"/>
    </row>
    <row r="187" spans="1:15" ht="11.1" customHeight="1" x14ac:dyDescent="0.2">
      <c r="A187" s="186" t="s">
        <v>952</v>
      </c>
      <c r="B187" s="186" t="s">
        <v>1046</v>
      </c>
      <c r="C187" s="187">
        <v>2</v>
      </c>
      <c r="D187" s="186" t="s">
        <v>41</v>
      </c>
      <c r="E187" s="186"/>
      <c r="F187" s="186" t="s">
        <v>947</v>
      </c>
      <c r="G187" s="186"/>
      <c r="H187" s="188">
        <v>7084.8</v>
      </c>
      <c r="I187" s="189"/>
      <c r="J187" s="186" t="s">
        <v>948</v>
      </c>
      <c r="K187" s="186" t="s">
        <v>937</v>
      </c>
      <c r="L187" s="186" t="s">
        <v>10</v>
      </c>
      <c r="M187" s="186" t="s">
        <v>10</v>
      </c>
      <c r="N187" s="190">
        <v>1</v>
      </c>
      <c r="O187" s="189"/>
    </row>
    <row r="188" spans="1:15" ht="11.1" customHeight="1" x14ac:dyDescent="0.2">
      <c r="A188" s="186" t="s">
        <v>952</v>
      </c>
      <c r="B188" s="186" t="s">
        <v>1047</v>
      </c>
      <c r="C188" s="187">
        <v>1</v>
      </c>
      <c r="D188" s="186" t="s">
        <v>1048</v>
      </c>
      <c r="E188" s="186"/>
      <c r="F188" s="186" t="s">
        <v>935</v>
      </c>
      <c r="G188" s="186"/>
      <c r="H188" s="188">
        <v>7905.6</v>
      </c>
      <c r="I188" s="189"/>
      <c r="J188" s="186" t="s">
        <v>948</v>
      </c>
      <c r="K188" s="186" t="s">
        <v>937</v>
      </c>
      <c r="L188" s="186" t="s">
        <v>10</v>
      </c>
      <c r="M188" s="186" t="s">
        <v>10</v>
      </c>
      <c r="N188" s="190">
        <v>1</v>
      </c>
      <c r="O188" s="189"/>
    </row>
    <row r="189" spans="1:15" ht="11.1" customHeight="1" x14ac:dyDescent="0.2">
      <c r="A189" s="186" t="s">
        <v>952</v>
      </c>
      <c r="B189" s="186" t="s">
        <v>1047</v>
      </c>
      <c r="C189" s="187">
        <v>2</v>
      </c>
      <c r="D189" s="186" t="s">
        <v>1048</v>
      </c>
      <c r="E189" s="186"/>
      <c r="F189" s="186" t="s">
        <v>947</v>
      </c>
      <c r="G189" s="186"/>
      <c r="H189" s="188">
        <v>9007.2000000000007</v>
      </c>
      <c r="I189" s="189"/>
      <c r="J189" s="186" t="s">
        <v>948</v>
      </c>
      <c r="K189" s="186" t="s">
        <v>937</v>
      </c>
      <c r="L189" s="186" t="s">
        <v>10</v>
      </c>
      <c r="M189" s="186" t="s">
        <v>10</v>
      </c>
      <c r="N189" s="190">
        <v>1</v>
      </c>
      <c r="O189" s="189"/>
    </row>
    <row r="190" spans="1:15" ht="11.1" customHeight="1" x14ac:dyDescent="0.2">
      <c r="A190" s="186" t="s">
        <v>952</v>
      </c>
      <c r="B190" s="186" t="s">
        <v>1049</v>
      </c>
      <c r="C190" s="187">
        <v>1</v>
      </c>
      <c r="D190" s="186" t="s">
        <v>1050</v>
      </c>
      <c r="E190" s="186"/>
      <c r="F190" s="186" t="s">
        <v>935</v>
      </c>
      <c r="G190" s="186"/>
      <c r="H190" s="188">
        <v>8078.4</v>
      </c>
      <c r="I190" s="189"/>
      <c r="J190" s="186" t="s">
        <v>948</v>
      </c>
      <c r="K190" s="186" t="s">
        <v>1002</v>
      </c>
      <c r="L190" s="186" t="s">
        <v>10</v>
      </c>
      <c r="M190" s="186" t="s">
        <v>10</v>
      </c>
      <c r="N190" s="190">
        <v>1</v>
      </c>
      <c r="O190" s="189"/>
    </row>
    <row r="191" spans="1:15" ht="11.1" customHeight="1" x14ac:dyDescent="0.2">
      <c r="A191" s="186" t="s">
        <v>952</v>
      </c>
      <c r="B191" s="186" t="s">
        <v>1049</v>
      </c>
      <c r="C191" s="187">
        <v>2</v>
      </c>
      <c r="D191" s="186" t="s">
        <v>1050</v>
      </c>
      <c r="E191" s="186"/>
      <c r="F191" s="186" t="s">
        <v>947</v>
      </c>
      <c r="G191" s="186"/>
      <c r="H191" s="188">
        <v>9169.2000000000007</v>
      </c>
      <c r="I191" s="189"/>
      <c r="J191" s="186" t="s">
        <v>948</v>
      </c>
      <c r="K191" s="186" t="s">
        <v>1002</v>
      </c>
      <c r="L191" s="186" t="s">
        <v>10</v>
      </c>
      <c r="M191" s="186" t="s">
        <v>10</v>
      </c>
      <c r="N191" s="190">
        <v>1</v>
      </c>
      <c r="O191" s="189"/>
    </row>
    <row r="192" spans="1:15" ht="11.1" customHeight="1" x14ac:dyDescent="0.2">
      <c r="A192" s="186" t="s">
        <v>952</v>
      </c>
      <c r="B192" s="186" t="s">
        <v>1051</v>
      </c>
      <c r="C192" s="187">
        <v>1</v>
      </c>
      <c r="D192" s="186" t="s">
        <v>1052</v>
      </c>
      <c r="E192" s="186"/>
      <c r="F192" s="186" t="s">
        <v>935</v>
      </c>
      <c r="G192" s="186"/>
      <c r="H192" s="188">
        <v>7549.2</v>
      </c>
      <c r="I192" s="189"/>
      <c r="J192" s="186" t="s">
        <v>948</v>
      </c>
      <c r="K192" s="186" t="s">
        <v>937</v>
      </c>
      <c r="L192" s="186" t="s">
        <v>10</v>
      </c>
      <c r="M192" s="186" t="s">
        <v>10</v>
      </c>
      <c r="N192" s="190">
        <v>1</v>
      </c>
      <c r="O192" s="189"/>
    </row>
    <row r="193" spans="1:15" ht="11.1" customHeight="1" x14ac:dyDescent="0.2">
      <c r="A193" s="186" t="s">
        <v>952</v>
      </c>
      <c r="B193" s="186" t="s">
        <v>1051</v>
      </c>
      <c r="C193" s="187">
        <v>2</v>
      </c>
      <c r="D193" s="186" t="s">
        <v>1052</v>
      </c>
      <c r="E193" s="186"/>
      <c r="F193" s="186" t="s">
        <v>947</v>
      </c>
      <c r="G193" s="186"/>
      <c r="H193" s="188">
        <v>8542.7999999999993</v>
      </c>
      <c r="I193" s="189"/>
      <c r="J193" s="186" t="s">
        <v>948</v>
      </c>
      <c r="K193" s="186" t="s">
        <v>937</v>
      </c>
      <c r="L193" s="186" t="s">
        <v>10</v>
      </c>
      <c r="M193" s="186" t="s">
        <v>10</v>
      </c>
      <c r="N193" s="190">
        <v>1</v>
      </c>
      <c r="O193" s="189"/>
    </row>
    <row r="194" spans="1:15" ht="11.1" customHeight="1" x14ac:dyDescent="0.2">
      <c r="A194" s="186" t="s">
        <v>952</v>
      </c>
      <c r="B194" s="186" t="s">
        <v>1053</v>
      </c>
      <c r="C194" s="187">
        <v>1</v>
      </c>
      <c r="D194" s="186" t="s">
        <v>1054</v>
      </c>
      <c r="E194" s="186"/>
      <c r="F194" s="186" t="s">
        <v>935</v>
      </c>
      <c r="G194" s="186"/>
      <c r="H194" s="188">
        <v>7549.2</v>
      </c>
      <c r="I194" s="189"/>
      <c r="J194" s="186" t="s">
        <v>948</v>
      </c>
      <c r="K194" s="186" t="s">
        <v>937</v>
      </c>
      <c r="L194" s="186" t="s">
        <v>10</v>
      </c>
      <c r="M194" s="186" t="s">
        <v>10</v>
      </c>
      <c r="N194" s="190">
        <v>1</v>
      </c>
      <c r="O194" s="189"/>
    </row>
    <row r="195" spans="1:15" ht="11.1" customHeight="1" x14ac:dyDescent="0.2">
      <c r="A195" s="186" t="s">
        <v>952</v>
      </c>
      <c r="B195" s="186" t="s">
        <v>1053</v>
      </c>
      <c r="C195" s="187">
        <v>2</v>
      </c>
      <c r="D195" s="186" t="s">
        <v>1054</v>
      </c>
      <c r="E195" s="186"/>
      <c r="F195" s="186" t="s">
        <v>947</v>
      </c>
      <c r="G195" s="186"/>
      <c r="H195" s="188">
        <v>8542.7999999999993</v>
      </c>
      <c r="I195" s="189"/>
      <c r="J195" s="186" t="s">
        <v>948</v>
      </c>
      <c r="K195" s="186" t="s">
        <v>937</v>
      </c>
      <c r="L195" s="186" t="s">
        <v>10</v>
      </c>
      <c r="M195" s="186" t="s">
        <v>10</v>
      </c>
      <c r="N195" s="190">
        <v>1</v>
      </c>
      <c r="O195" s="189"/>
    </row>
    <row r="196" spans="1:15" ht="11.1" customHeight="1" x14ac:dyDescent="0.2">
      <c r="A196" s="186" t="s">
        <v>952</v>
      </c>
      <c r="B196" s="186" t="s">
        <v>1055</v>
      </c>
      <c r="C196" s="187">
        <v>1</v>
      </c>
      <c r="D196" s="186" t="s">
        <v>37</v>
      </c>
      <c r="E196" s="186"/>
      <c r="F196" s="186" t="s">
        <v>935</v>
      </c>
      <c r="G196" s="186"/>
      <c r="H196" s="188">
        <v>5637.6</v>
      </c>
      <c r="I196" s="189"/>
      <c r="J196" s="186" t="s">
        <v>948</v>
      </c>
      <c r="K196" s="186" t="s">
        <v>992</v>
      </c>
      <c r="L196" s="186" t="s">
        <v>10</v>
      </c>
      <c r="M196" s="186" t="s">
        <v>10</v>
      </c>
      <c r="N196" s="190">
        <v>1</v>
      </c>
      <c r="O196" s="189"/>
    </row>
    <row r="197" spans="1:15" ht="11.1" customHeight="1" x14ac:dyDescent="0.2">
      <c r="A197" s="186" t="s">
        <v>952</v>
      </c>
      <c r="B197" s="186" t="s">
        <v>1055</v>
      </c>
      <c r="C197" s="187">
        <v>2</v>
      </c>
      <c r="D197" s="186" t="s">
        <v>37</v>
      </c>
      <c r="E197" s="186"/>
      <c r="F197" s="186" t="s">
        <v>947</v>
      </c>
      <c r="G197" s="186"/>
      <c r="H197" s="188">
        <v>6404.4</v>
      </c>
      <c r="I197" s="189"/>
      <c r="J197" s="186" t="s">
        <v>948</v>
      </c>
      <c r="K197" s="186" t="s">
        <v>992</v>
      </c>
      <c r="L197" s="186" t="s">
        <v>10</v>
      </c>
      <c r="M197" s="186" t="s">
        <v>10</v>
      </c>
      <c r="N197" s="190">
        <v>1</v>
      </c>
      <c r="O197" s="189"/>
    </row>
    <row r="198" spans="1:15" ht="11.1" customHeight="1" x14ac:dyDescent="0.2">
      <c r="A198" s="186" t="s">
        <v>952</v>
      </c>
      <c r="B198" s="186" t="s">
        <v>1056</v>
      </c>
      <c r="C198" s="187">
        <v>75</v>
      </c>
      <c r="D198" s="186" t="s">
        <v>1057</v>
      </c>
      <c r="E198" s="186"/>
      <c r="F198" s="186" t="s">
        <v>345</v>
      </c>
      <c r="G198" s="186"/>
      <c r="H198" s="190">
        <v>290</v>
      </c>
      <c r="I198" s="189"/>
      <c r="J198" s="186" t="s">
        <v>936</v>
      </c>
      <c r="K198" s="186"/>
      <c r="L198" s="186" t="s">
        <v>10</v>
      </c>
      <c r="M198" s="186" t="s">
        <v>10</v>
      </c>
      <c r="N198" s="189"/>
      <c r="O198" s="189"/>
    </row>
    <row r="199" spans="1:15" ht="11.1" customHeight="1" x14ac:dyDescent="0.2">
      <c r="A199" s="186" t="s">
        <v>952</v>
      </c>
      <c r="B199" s="186" t="s">
        <v>1056</v>
      </c>
      <c r="C199" s="187">
        <v>63</v>
      </c>
      <c r="D199" s="186" t="s">
        <v>1057</v>
      </c>
      <c r="E199" s="186"/>
      <c r="F199" s="186" t="s">
        <v>1058</v>
      </c>
      <c r="G199" s="186"/>
      <c r="H199" s="188">
        <v>13990</v>
      </c>
      <c r="I199" s="189"/>
      <c r="J199" s="186" t="s">
        <v>936</v>
      </c>
      <c r="K199" s="186"/>
      <c r="L199" s="186" t="s">
        <v>10</v>
      </c>
      <c r="M199" s="186" t="s">
        <v>10</v>
      </c>
      <c r="N199" s="189"/>
      <c r="O199" s="189"/>
    </row>
    <row r="200" spans="1:15" ht="11.1" customHeight="1" x14ac:dyDescent="0.2">
      <c r="A200" s="186" t="s">
        <v>952</v>
      </c>
      <c r="B200" s="186" t="s">
        <v>1056</v>
      </c>
      <c r="C200" s="187">
        <v>20</v>
      </c>
      <c r="D200" s="186" t="s">
        <v>1057</v>
      </c>
      <c r="E200" s="186"/>
      <c r="F200" s="186" t="s">
        <v>359</v>
      </c>
      <c r="G200" s="186"/>
      <c r="H200" s="188">
        <v>5520</v>
      </c>
      <c r="I200" s="189"/>
      <c r="J200" s="186" t="s">
        <v>936</v>
      </c>
      <c r="K200" s="186"/>
      <c r="L200" s="186" t="s">
        <v>10</v>
      </c>
      <c r="M200" s="186" t="s">
        <v>10</v>
      </c>
      <c r="N200" s="189"/>
      <c r="O200" s="189"/>
    </row>
    <row r="201" spans="1:15" ht="11.1" customHeight="1" x14ac:dyDescent="0.2">
      <c r="A201" s="186" t="s">
        <v>952</v>
      </c>
      <c r="B201" s="186" t="s">
        <v>1056</v>
      </c>
      <c r="C201" s="187">
        <v>45</v>
      </c>
      <c r="D201" s="186" t="s">
        <v>1057</v>
      </c>
      <c r="E201" s="186"/>
      <c r="F201" s="186" t="s">
        <v>303</v>
      </c>
      <c r="G201" s="186"/>
      <c r="H201" s="188">
        <v>11370</v>
      </c>
      <c r="I201" s="189"/>
      <c r="J201" s="186" t="s">
        <v>936</v>
      </c>
      <c r="K201" s="186"/>
      <c r="L201" s="186" t="s">
        <v>10</v>
      </c>
      <c r="M201" s="186" t="s">
        <v>10</v>
      </c>
      <c r="N201" s="189"/>
      <c r="O201" s="189"/>
    </row>
    <row r="202" spans="1:15" ht="11.1" customHeight="1" x14ac:dyDescent="0.2">
      <c r="A202" s="186" t="s">
        <v>952</v>
      </c>
      <c r="B202" s="186" t="s">
        <v>1056</v>
      </c>
      <c r="C202" s="187">
        <v>1</v>
      </c>
      <c r="D202" s="186" t="s">
        <v>1057</v>
      </c>
      <c r="E202" s="186"/>
      <c r="F202" s="186" t="s">
        <v>1059</v>
      </c>
      <c r="G202" s="186"/>
      <c r="H202" s="190">
        <v>550</v>
      </c>
      <c r="I202" s="189"/>
      <c r="J202" s="186" t="s">
        <v>936</v>
      </c>
      <c r="K202" s="186"/>
      <c r="L202" s="186" t="s">
        <v>10</v>
      </c>
      <c r="M202" s="186" t="s">
        <v>10</v>
      </c>
      <c r="N202" s="189"/>
      <c r="O202" s="189"/>
    </row>
    <row r="203" spans="1:15" ht="11.1" customHeight="1" x14ac:dyDescent="0.2">
      <c r="A203" s="186" t="s">
        <v>952</v>
      </c>
      <c r="B203" s="186" t="s">
        <v>1056</v>
      </c>
      <c r="C203" s="187">
        <v>2</v>
      </c>
      <c r="D203" s="186" t="s">
        <v>1057</v>
      </c>
      <c r="E203" s="186"/>
      <c r="F203" s="186" t="s">
        <v>306</v>
      </c>
      <c r="G203" s="186"/>
      <c r="H203" s="190">
        <v>460</v>
      </c>
      <c r="I203" s="189"/>
      <c r="J203" s="186" t="s">
        <v>936</v>
      </c>
      <c r="K203" s="186"/>
      <c r="L203" s="186" t="s">
        <v>10</v>
      </c>
      <c r="M203" s="186" t="s">
        <v>10</v>
      </c>
      <c r="N203" s="189"/>
      <c r="O203" s="189"/>
    </row>
    <row r="204" spans="1:15" ht="11.1" customHeight="1" x14ac:dyDescent="0.2">
      <c r="A204" s="186" t="s">
        <v>952</v>
      </c>
      <c r="B204" s="186" t="s">
        <v>1056</v>
      </c>
      <c r="C204" s="187">
        <v>3</v>
      </c>
      <c r="D204" s="186" t="s">
        <v>1057</v>
      </c>
      <c r="E204" s="186"/>
      <c r="F204" s="186" t="s">
        <v>354</v>
      </c>
      <c r="G204" s="186"/>
      <c r="H204" s="190">
        <v>560</v>
      </c>
      <c r="I204" s="189"/>
      <c r="J204" s="186" t="s">
        <v>936</v>
      </c>
      <c r="K204" s="186"/>
      <c r="L204" s="186" t="s">
        <v>10</v>
      </c>
      <c r="M204" s="186" t="s">
        <v>10</v>
      </c>
      <c r="N204" s="189"/>
      <c r="O204" s="189"/>
    </row>
    <row r="205" spans="1:15" ht="11.1" customHeight="1" x14ac:dyDescent="0.2">
      <c r="A205" s="186" t="s">
        <v>952</v>
      </c>
      <c r="B205" s="186" t="s">
        <v>1056</v>
      </c>
      <c r="C205" s="187">
        <v>4</v>
      </c>
      <c r="D205" s="186" t="s">
        <v>1057</v>
      </c>
      <c r="E205" s="186"/>
      <c r="F205" s="186" t="s">
        <v>307</v>
      </c>
      <c r="G205" s="186"/>
      <c r="H205" s="190">
        <v>810</v>
      </c>
      <c r="I205" s="189"/>
      <c r="J205" s="186" t="s">
        <v>936</v>
      </c>
      <c r="K205" s="186"/>
      <c r="L205" s="186" t="s">
        <v>10</v>
      </c>
      <c r="M205" s="186" t="s">
        <v>10</v>
      </c>
      <c r="N205" s="189"/>
      <c r="O205" s="189"/>
    </row>
    <row r="206" spans="1:15" ht="11.1" customHeight="1" x14ac:dyDescent="0.2">
      <c r="A206" s="186" t="s">
        <v>952</v>
      </c>
      <c r="B206" s="186" t="s">
        <v>1056</v>
      </c>
      <c r="C206" s="187">
        <v>5</v>
      </c>
      <c r="D206" s="186" t="s">
        <v>1057</v>
      </c>
      <c r="E206" s="186"/>
      <c r="F206" s="186" t="s">
        <v>355</v>
      </c>
      <c r="G206" s="186"/>
      <c r="H206" s="190">
        <v>700</v>
      </c>
      <c r="I206" s="189"/>
      <c r="J206" s="186" t="s">
        <v>936</v>
      </c>
      <c r="K206" s="186"/>
      <c r="L206" s="186" t="s">
        <v>10</v>
      </c>
      <c r="M206" s="186" t="s">
        <v>10</v>
      </c>
      <c r="N206" s="189"/>
      <c r="O206" s="189"/>
    </row>
    <row r="207" spans="1:15" ht="11.1" customHeight="1" x14ac:dyDescent="0.2">
      <c r="A207" s="186" t="s">
        <v>952</v>
      </c>
      <c r="B207" s="186" t="s">
        <v>1056</v>
      </c>
      <c r="C207" s="187">
        <v>6</v>
      </c>
      <c r="D207" s="186" t="s">
        <v>1057</v>
      </c>
      <c r="E207" s="186"/>
      <c r="F207" s="186" t="s">
        <v>310</v>
      </c>
      <c r="G207" s="186"/>
      <c r="H207" s="190">
        <v>750</v>
      </c>
      <c r="I207" s="189"/>
      <c r="J207" s="186" t="s">
        <v>936</v>
      </c>
      <c r="K207" s="186"/>
      <c r="L207" s="186" t="s">
        <v>10</v>
      </c>
      <c r="M207" s="186" t="s">
        <v>10</v>
      </c>
      <c r="N207" s="189"/>
      <c r="O207" s="189"/>
    </row>
    <row r="208" spans="1:15" ht="11.1" customHeight="1" x14ac:dyDescent="0.2">
      <c r="A208" s="186" t="s">
        <v>952</v>
      </c>
      <c r="B208" s="186" t="s">
        <v>1056</v>
      </c>
      <c r="C208" s="187">
        <v>7</v>
      </c>
      <c r="D208" s="186" t="s">
        <v>1057</v>
      </c>
      <c r="E208" s="186"/>
      <c r="F208" s="186" t="s">
        <v>311</v>
      </c>
      <c r="G208" s="186"/>
      <c r="H208" s="190">
        <v>950</v>
      </c>
      <c r="I208" s="189"/>
      <c r="J208" s="186" t="s">
        <v>936</v>
      </c>
      <c r="K208" s="186"/>
      <c r="L208" s="186" t="s">
        <v>10</v>
      </c>
      <c r="M208" s="186" t="s">
        <v>10</v>
      </c>
      <c r="N208" s="189"/>
      <c r="O208" s="189"/>
    </row>
    <row r="209" spans="1:15" ht="11.1" customHeight="1" x14ac:dyDescent="0.2">
      <c r="A209" s="186" t="s">
        <v>952</v>
      </c>
      <c r="B209" s="186" t="s">
        <v>1056</v>
      </c>
      <c r="C209" s="187">
        <v>8</v>
      </c>
      <c r="D209" s="186" t="s">
        <v>1057</v>
      </c>
      <c r="E209" s="186"/>
      <c r="F209" s="186" t="s">
        <v>356</v>
      </c>
      <c r="G209" s="186"/>
      <c r="H209" s="190">
        <v>750</v>
      </c>
      <c r="I209" s="189"/>
      <c r="J209" s="186" t="s">
        <v>936</v>
      </c>
      <c r="K209" s="186"/>
      <c r="L209" s="186" t="s">
        <v>10</v>
      </c>
      <c r="M209" s="186" t="s">
        <v>10</v>
      </c>
      <c r="N209" s="189"/>
      <c r="O209" s="189"/>
    </row>
    <row r="210" spans="1:15" ht="11.1" customHeight="1" x14ac:dyDescent="0.2">
      <c r="A210" s="186" t="s">
        <v>952</v>
      </c>
      <c r="B210" s="186" t="s">
        <v>1056</v>
      </c>
      <c r="C210" s="187">
        <v>9</v>
      </c>
      <c r="D210" s="186" t="s">
        <v>1057</v>
      </c>
      <c r="E210" s="186"/>
      <c r="F210" s="186" t="s">
        <v>322</v>
      </c>
      <c r="G210" s="186"/>
      <c r="H210" s="190">
        <v>650</v>
      </c>
      <c r="I210" s="189"/>
      <c r="J210" s="186" t="s">
        <v>936</v>
      </c>
      <c r="K210" s="186"/>
      <c r="L210" s="186" t="s">
        <v>10</v>
      </c>
      <c r="M210" s="186" t="s">
        <v>10</v>
      </c>
      <c r="N210" s="189"/>
      <c r="O210" s="189"/>
    </row>
    <row r="211" spans="1:15" ht="11.1" customHeight="1" x14ac:dyDescent="0.2">
      <c r="A211" s="186" t="s">
        <v>952</v>
      </c>
      <c r="B211" s="186" t="s">
        <v>1056</v>
      </c>
      <c r="C211" s="187">
        <v>10</v>
      </c>
      <c r="D211" s="186" t="s">
        <v>1057</v>
      </c>
      <c r="E211" s="186"/>
      <c r="F211" s="186" t="s">
        <v>344</v>
      </c>
      <c r="G211" s="186"/>
      <c r="H211" s="190">
        <v>850</v>
      </c>
      <c r="I211" s="189"/>
      <c r="J211" s="186" t="s">
        <v>936</v>
      </c>
      <c r="K211" s="186"/>
      <c r="L211" s="186" t="s">
        <v>10</v>
      </c>
      <c r="M211" s="186" t="s">
        <v>10</v>
      </c>
      <c r="N211" s="189"/>
      <c r="O211" s="189"/>
    </row>
    <row r="212" spans="1:15" ht="11.1" customHeight="1" x14ac:dyDescent="0.2">
      <c r="A212" s="186" t="s">
        <v>952</v>
      </c>
      <c r="B212" s="186" t="s">
        <v>1056</v>
      </c>
      <c r="C212" s="187">
        <v>14</v>
      </c>
      <c r="D212" s="186" t="s">
        <v>1057</v>
      </c>
      <c r="E212" s="186"/>
      <c r="F212" s="186" t="s">
        <v>357</v>
      </c>
      <c r="G212" s="186"/>
      <c r="H212" s="190">
        <v>340</v>
      </c>
      <c r="I212" s="189"/>
      <c r="J212" s="186" t="s">
        <v>936</v>
      </c>
      <c r="K212" s="186"/>
      <c r="L212" s="186" t="s">
        <v>10</v>
      </c>
      <c r="M212" s="186" t="s">
        <v>10</v>
      </c>
      <c r="N212" s="189"/>
      <c r="O212" s="189"/>
    </row>
    <row r="213" spans="1:15" ht="11.1" customHeight="1" x14ac:dyDescent="0.2">
      <c r="A213" s="186" t="s">
        <v>952</v>
      </c>
      <c r="B213" s="186" t="s">
        <v>1056</v>
      </c>
      <c r="C213" s="187">
        <v>15</v>
      </c>
      <c r="D213" s="186" t="s">
        <v>1057</v>
      </c>
      <c r="E213" s="186"/>
      <c r="F213" s="186" t="s">
        <v>336</v>
      </c>
      <c r="G213" s="186"/>
      <c r="H213" s="190">
        <v>760</v>
      </c>
      <c r="I213" s="189"/>
      <c r="J213" s="186" t="s">
        <v>936</v>
      </c>
      <c r="K213" s="186"/>
      <c r="L213" s="186" t="s">
        <v>10</v>
      </c>
      <c r="M213" s="186" t="s">
        <v>10</v>
      </c>
      <c r="N213" s="189"/>
      <c r="O213" s="189"/>
    </row>
    <row r="214" spans="1:15" ht="11.1" customHeight="1" x14ac:dyDescent="0.2">
      <c r="A214" s="186" t="s">
        <v>952</v>
      </c>
      <c r="B214" s="186" t="s">
        <v>1056</v>
      </c>
      <c r="C214" s="187">
        <v>16</v>
      </c>
      <c r="D214" s="186" t="s">
        <v>1057</v>
      </c>
      <c r="E214" s="186"/>
      <c r="F214" s="186" t="s">
        <v>326</v>
      </c>
      <c r="G214" s="186"/>
      <c r="H214" s="190">
        <v>600</v>
      </c>
      <c r="I214" s="189"/>
      <c r="J214" s="186" t="s">
        <v>936</v>
      </c>
      <c r="K214" s="186"/>
      <c r="L214" s="186" t="s">
        <v>10</v>
      </c>
      <c r="M214" s="186" t="s">
        <v>10</v>
      </c>
      <c r="N214" s="189"/>
      <c r="O214" s="189"/>
    </row>
    <row r="215" spans="1:15" ht="11.1" customHeight="1" x14ac:dyDescent="0.2">
      <c r="A215" s="186" t="s">
        <v>952</v>
      </c>
      <c r="B215" s="186" t="s">
        <v>1056</v>
      </c>
      <c r="C215" s="187">
        <v>11</v>
      </c>
      <c r="D215" s="186" t="s">
        <v>1057</v>
      </c>
      <c r="E215" s="186"/>
      <c r="F215" s="186" t="s">
        <v>320</v>
      </c>
      <c r="G215" s="186"/>
      <c r="H215" s="190">
        <v>740</v>
      </c>
      <c r="I215" s="189"/>
      <c r="J215" s="186" t="s">
        <v>936</v>
      </c>
      <c r="K215" s="186"/>
      <c r="L215" s="186" t="s">
        <v>10</v>
      </c>
      <c r="M215" s="186" t="s">
        <v>10</v>
      </c>
      <c r="N215" s="189"/>
      <c r="O215" s="189"/>
    </row>
    <row r="216" spans="1:15" ht="11.1" customHeight="1" x14ac:dyDescent="0.2">
      <c r="A216" s="186" t="s">
        <v>952</v>
      </c>
      <c r="B216" s="186" t="s">
        <v>1056</v>
      </c>
      <c r="C216" s="187">
        <v>12</v>
      </c>
      <c r="D216" s="186" t="s">
        <v>1057</v>
      </c>
      <c r="E216" s="186"/>
      <c r="F216" s="186" t="s">
        <v>1060</v>
      </c>
      <c r="G216" s="186"/>
      <c r="H216" s="190">
        <v>940</v>
      </c>
      <c r="I216" s="189"/>
      <c r="J216" s="186" t="s">
        <v>936</v>
      </c>
      <c r="K216" s="186"/>
      <c r="L216" s="186" t="s">
        <v>10</v>
      </c>
      <c r="M216" s="186" t="s">
        <v>10</v>
      </c>
      <c r="N216" s="189"/>
      <c r="O216" s="189"/>
    </row>
    <row r="217" spans="1:15" ht="11.1" customHeight="1" x14ac:dyDescent="0.2">
      <c r="A217" s="186" t="s">
        <v>952</v>
      </c>
      <c r="B217" s="186" t="s">
        <v>1056</v>
      </c>
      <c r="C217" s="187">
        <v>13</v>
      </c>
      <c r="D217" s="186" t="s">
        <v>1057</v>
      </c>
      <c r="E217" s="186"/>
      <c r="F217" s="186" t="s">
        <v>1061</v>
      </c>
      <c r="G217" s="186"/>
      <c r="H217" s="188">
        <v>1130</v>
      </c>
      <c r="I217" s="189"/>
      <c r="J217" s="186" t="s">
        <v>936</v>
      </c>
      <c r="K217" s="186"/>
      <c r="L217" s="186" t="s">
        <v>10</v>
      </c>
      <c r="M217" s="186" t="s">
        <v>10</v>
      </c>
      <c r="N217" s="189"/>
      <c r="O217" s="189"/>
    </row>
    <row r="218" spans="1:15" ht="11.1" customHeight="1" x14ac:dyDescent="0.2">
      <c r="A218" s="186" t="s">
        <v>952</v>
      </c>
      <c r="B218" s="186" t="s">
        <v>1056</v>
      </c>
      <c r="C218" s="187">
        <v>30</v>
      </c>
      <c r="D218" s="186" t="s">
        <v>1057</v>
      </c>
      <c r="E218" s="186"/>
      <c r="F218" s="186" t="s">
        <v>338</v>
      </c>
      <c r="G218" s="186"/>
      <c r="H218" s="188">
        <v>4920</v>
      </c>
      <c r="I218" s="189"/>
      <c r="J218" s="186" t="s">
        <v>936</v>
      </c>
      <c r="K218" s="186"/>
      <c r="L218" s="186" t="s">
        <v>10</v>
      </c>
      <c r="M218" s="186" t="s">
        <v>10</v>
      </c>
      <c r="N218" s="189"/>
      <c r="O218" s="189"/>
    </row>
    <row r="219" spans="1:15" ht="11.1" customHeight="1" x14ac:dyDescent="0.2">
      <c r="A219" s="186" t="s">
        <v>952</v>
      </c>
      <c r="B219" s="186" t="s">
        <v>1056</v>
      </c>
      <c r="C219" s="187">
        <v>31</v>
      </c>
      <c r="D219" s="186" t="s">
        <v>1057</v>
      </c>
      <c r="E219" s="186"/>
      <c r="F219" s="186" t="s">
        <v>339</v>
      </c>
      <c r="G219" s="186"/>
      <c r="H219" s="188">
        <v>5530</v>
      </c>
      <c r="I219" s="189"/>
      <c r="J219" s="186" t="s">
        <v>936</v>
      </c>
      <c r="K219" s="186"/>
      <c r="L219" s="186" t="s">
        <v>10</v>
      </c>
      <c r="M219" s="186" t="s">
        <v>10</v>
      </c>
      <c r="N219" s="189"/>
      <c r="O219" s="189"/>
    </row>
    <row r="220" spans="1:15" ht="11.1" customHeight="1" x14ac:dyDescent="0.2">
      <c r="A220" s="186" t="s">
        <v>952</v>
      </c>
      <c r="B220" s="186" t="s">
        <v>1056</v>
      </c>
      <c r="C220" s="187">
        <v>32</v>
      </c>
      <c r="D220" s="186" t="s">
        <v>1057</v>
      </c>
      <c r="E220" s="186"/>
      <c r="F220" s="186" t="s">
        <v>340</v>
      </c>
      <c r="G220" s="186"/>
      <c r="H220" s="188">
        <v>6130</v>
      </c>
      <c r="I220" s="189"/>
      <c r="J220" s="186" t="s">
        <v>936</v>
      </c>
      <c r="K220" s="186"/>
      <c r="L220" s="186" t="s">
        <v>10</v>
      </c>
      <c r="M220" s="186" t="s">
        <v>10</v>
      </c>
      <c r="N220" s="189"/>
      <c r="O220" s="189"/>
    </row>
    <row r="221" spans="1:15" ht="11.1" customHeight="1" x14ac:dyDescent="0.2">
      <c r="A221" s="186" t="s">
        <v>952</v>
      </c>
      <c r="B221" s="186" t="s">
        <v>1056</v>
      </c>
      <c r="C221" s="187">
        <v>46</v>
      </c>
      <c r="D221" s="186" t="s">
        <v>1057</v>
      </c>
      <c r="E221" s="186"/>
      <c r="F221" s="186" t="s">
        <v>1062</v>
      </c>
      <c r="G221" s="186"/>
      <c r="H221" s="190">
        <v>820</v>
      </c>
      <c r="I221" s="189"/>
      <c r="J221" s="186" t="s">
        <v>936</v>
      </c>
      <c r="K221" s="186"/>
      <c r="L221" s="186" t="s">
        <v>10</v>
      </c>
      <c r="M221" s="186" t="s">
        <v>10</v>
      </c>
      <c r="N221" s="189"/>
      <c r="O221" s="189"/>
    </row>
    <row r="222" spans="1:15" ht="11.1" customHeight="1" x14ac:dyDescent="0.2">
      <c r="A222" s="186" t="s">
        <v>952</v>
      </c>
      <c r="B222" s="186" t="s">
        <v>1056</v>
      </c>
      <c r="C222" s="187">
        <v>53</v>
      </c>
      <c r="D222" s="186" t="s">
        <v>1057</v>
      </c>
      <c r="E222" s="186"/>
      <c r="F222" s="186" t="s">
        <v>1063</v>
      </c>
      <c r="G222" s="186"/>
      <c r="H222" s="190">
        <v>450</v>
      </c>
      <c r="I222" s="189"/>
      <c r="J222" s="186" t="s">
        <v>936</v>
      </c>
      <c r="K222" s="186"/>
      <c r="L222" s="186" t="s">
        <v>10</v>
      </c>
      <c r="M222" s="186" t="s">
        <v>10</v>
      </c>
      <c r="N222" s="189"/>
      <c r="O222" s="189"/>
    </row>
    <row r="223" spans="1:15" ht="11.1" customHeight="1" x14ac:dyDescent="0.2">
      <c r="A223" s="186" t="s">
        <v>952</v>
      </c>
      <c r="B223" s="186" t="s">
        <v>1056</v>
      </c>
      <c r="C223" s="187">
        <v>49</v>
      </c>
      <c r="D223" s="186" t="s">
        <v>1057</v>
      </c>
      <c r="E223" s="186"/>
      <c r="F223" s="186" t="s">
        <v>324</v>
      </c>
      <c r="G223" s="186"/>
      <c r="H223" s="188">
        <v>1300</v>
      </c>
      <c r="I223" s="189"/>
      <c r="J223" s="186" t="s">
        <v>936</v>
      </c>
      <c r="K223" s="186"/>
      <c r="L223" s="186" t="s">
        <v>10</v>
      </c>
      <c r="M223" s="186" t="s">
        <v>10</v>
      </c>
      <c r="N223" s="189"/>
      <c r="O223" s="189"/>
    </row>
    <row r="224" spans="1:15" ht="11.1" customHeight="1" x14ac:dyDescent="0.2">
      <c r="A224" s="186" t="s">
        <v>952</v>
      </c>
      <c r="B224" s="186" t="s">
        <v>1056</v>
      </c>
      <c r="C224" s="187">
        <v>58</v>
      </c>
      <c r="D224" s="186" t="s">
        <v>1057</v>
      </c>
      <c r="E224" s="186"/>
      <c r="F224" s="186" t="s">
        <v>371</v>
      </c>
      <c r="G224" s="186"/>
      <c r="H224" s="188">
        <v>3740</v>
      </c>
      <c r="I224" s="189"/>
      <c r="J224" s="186" t="s">
        <v>936</v>
      </c>
      <c r="K224" s="186"/>
      <c r="L224" s="186" t="s">
        <v>10</v>
      </c>
      <c r="M224" s="186" t="s">
        <v>10</v>
      </c>
      <c r="N224" s="189"/>
      <c r="O224" s="189"/>
    </row>
    <row r="225" spans="1:15" ht="11.1" customHeight="1" x14ac:dyDescent="0.2">
      <c r="A225" s="186" t="s">
        <v>952</v>
      </c>
      <c r="B225" s="186" t="s">
        <v>1056</v>
      </c>
      <c r="C225" s="187">
        <v>59</v>
      </c>
      <c r="D225" s="186" t="s">
        <v>1057</v>
      </c>
      <c r="E225" s="186"/>
      <c r="F225" s="186" t="s">
        <v>372</v>
      </c>
      <c r="G225" s="186"/>
      <c r="H225" s="188">
        <v>3740</v>
      </c>
      <c r="I225" s="189"/>
      <c r="J225" s="186" t="s">
        <v>936</v>
      </c>
      <c r="K225" s="186"/>
      <c r="L225" s="186" t="s">
        <v>10</v>
      </c>
      <c r="M225" s="186" t="s">
        <v>10</v>
      </c>
      <c r="N225" s="189"/>
      <c r="O225" s="189"/>
    </row>
    <row r="226" spans="1:15" ht="11.1" customHeight="1" x14ac:dyDescent="0.2">
      <c r="A226" s="186" t="s">
        <v>952</v>
      </c>
      <c r="B226" s="186" t="s">
        <v>1056</v>
      </c>
      <c r="C226" s="187">
        <v>60</v>
      </c>
      <c r="D226" s="186" t="s">
        <v>1057</v>
      </c>
      <c r="E226" s="186"/>
      <c r="F226" s="186" t="s">
        <v>1064</v>
      </c>
      <c r="G226" s="186"/>
      <c r="H226" s="188">
        <v>5160</v>
      </c>
      <c r="I226" s="189"/>
      <c r="J226" s="186" t="s">
        <v>936</v>
      </c>
      <c r="K226" s="186"/>
      <c r="L226" s="186" t="s">
        <v>10</v>
      </c>
      <c r="M226" s="186" t="s">
        <v>10</v>
      </c>
      <c r="N226" s="189"/>
      <c r="O226" s="189"/>
    </row>
    <row r="227" spans="1:15" ht="11.1" customHeight="1" x14ac:dyDescent="0.2">
      <c r="A227" s="186" t="s">
        <v>952</v>
      </c>
      <c r="B227" s="186" t="s">
        <v>1056</v>
      </c>
      <c r="C227" s="187">
        <v>65</v>
      </c>
      <c r="D227" s="186" t="s">
        <v>1057</v>
      </c>
      <c r="E227" s="186"/>
      <c r="F227" s="186" t="s">
        <v>374</v>
      </c>
      <c r="G227" s="186"/>
      <c r="H227" s="190">
        <v>590</v>
      </c>
      <c r="I227" s="189"/>
      <c r="J227" s="186" t="s">
        <v>936</v>
      </c>
      <c r="K227" s="186"/>
      <c r="L227" s="186" t="s">
        <v>10</v>
      </c>
      <c r="M227" s="186" t="s">
        <v>10</v>
      </c>
      <c r="N227" s="189"/>
      <c r="O227" s="189"/>
    </row>
    <row r="228" spans="1:15" ht="11.1" customHeight="1" x14ac:dyDescent="0.2">
      <c r="A228" s="186" t="s">
        <v>952</v>
      </c>
      <c r="B228" s="186" t="s">
        <v>1056</v>
      </c>
      <c r="C228" s="187">
        <v>77</v>
      </c>
      <c r="D228" s="186" t="s">
        <v>1057</v>
      </c>
      <c r="E228" s="186"/>
      <c r="F228" s="186" t="s">
        <v>375</v>
      </c>
      <c r="G228" s="186"/>
      <c r="H228" s="190">
        <v>0.01</v>
      </c>
      <c r="I228" s="189"/>
      <c r="J228" s="186" t="s">
        <v>936</v>
      </c>
      <c r="K228" s="186"/>
      <c r="L228" s="186" t="s">
        <v>10</v>
      </c>
      <c r="M228" s="186" t="s">
        <v>10</v>
      </c>
      <c r="N228" s="189"/>
      <c r="O228" s="189"/>
    </row>
    <row r="229" spans="1:15" ht="11.1" customHeight="1" x14ac:dyDescent="0.2">
      <c r="A229" s="186" t="s">
        <v>952</v>
      </c>
      <c r="B229" s="186" t="s">
        <v>1056</v>
      </c>
      <c r="C229" s="187">
        <v>78</v>
      </c>
      <c r="D229" s="186" t="s">
        <v>1057</v>
      </c>
      <c r="E229" s="186"/>
      <c r="F229" s="186" t="s">
        <v>376</v>
      </c>
      <c r="G229" s="186"/>
      <c r="H229" s="190">
        <v>0.01</v>
      </c>
      <c r="I229" s="189"/>
      <c r="J229" s="186" t="s">
        <v>936</v>
      </c>
      <c r="K229" s="186"/>
      <c r="L229" s="186" t="s">
        <v>10</v>
      </c>
      <c r="M229" s="186" t="s">
        <v>10</v>
      </c>
      <c r="N229" s="189"/>
      <c r="O229" s="189"/>
    </row>
    <row r="230" spans="1:15" ht="11.1" customHeight="1" x14ac:dyDescent="0.2">
      <c r="A230" s="186" t="s">
        <v>952</v>
      </c>
      <c r="B230" s="186" t="s">
        <v>1056</v>
      </c>
      <c r="C230" s="187">
        <v>79</v>
      </c>
      <c r="D230" s="186" t="s">
        <v>1057</v>
      </c>
      <c r="E230" s="186"/>
      <c r="F230" s="186" t="s">
        <v>377</v>
      </c>
      <c r="G230" s="186"/>
      <c r="H230" s="190">
        <v>0.01</v>
      </c>
      <c r="I230" s="189"/>
      <c r="J230" s="186" t="s">
        <v>936</v>
      </c>
      <c r="K230" s="186"/>
      <c r="L230" s="186" t="s">
        <v>10</v>
      </c>
      <c r="M230" s="186" t="s">
        <v>10</v>
      </c>
      <c r="N230" s="189"/>
      <c r="O230" s="189"/>
    </row>
    <row r="231" spans="1:15" ht="11.1" customHeight="1" x14ac:dyDescent="0.2">
      <c r="A231" s="186" t="s">
        <v>952</v>
      </c>
      <c r="B231" s="186" t="s">
        <v>1056</v>
      </c>
      <c r="C231" s="187">
        <v>80</v>
      </c>
      <c r="D231" s="186" t="s">
        <v>1057</v>
      </c>
      <c r="E231" s="186"/>
      <c r="F231" s="186" t="s">
        <v>378</v>
      </c>
      <c r="G231" s="186"/>
      <c r="H231" s="190">
        <v>0.01</v>
      </c>
      <c r="I231" s="189"/>
      <c r="J231" s="186" t="s">
        <v>936</v>
      </c>
      <c r="K231" s="186"/>
      <c r="L231" s="186" t="s">
        <v>10</v>
      </c>
      <c r="M231" s="186" t="s">
        <v>10</v>
      </c>
      <c r="N231" s="189"/>
      <c r="O231" s="189"/>
    </row>
    <row r="232" spans="1:15" ht="11.1" customHeight="1" x14ac:dyDescent="0.2">
      <c r="A232" s="186" t="s">
        <v>952</v>
      </c>
      <c r="B232" s="186" t="s">
        <v>1056</v>
      </c>
      <c r="C232" s="187">
        <v>69</v>
      </c>
      <c r="D232" s="186" t="s">
        <v>1057</v>
      </c>
      <c r="E232" s="186"/>
      <c r="F232" s="186" t="s">
        <v>1065</v>
      </c>
      <c r="G232" s="186"/>
      <c r="H232" s="190">
        <v>0.01</v>
      </c>
      <c r="I232" s="189"/>
      <c r="J232" s="186" t="s">
        <v>936</v>
      </c>
      <c r="K232" s="186"/>
      <c r="L232" s="186" t="s">
        <v>10</v>
      </c>
      <c r="M232" s="186" t="s">
        <v>10</v>
      </c>
      <c r="N232" s="189"/>
      <c r="O232" s="189"/>
    </row>
    <row r="233" spans="1:15" ht="11.1" customHeight="1" x14ac:dyDescent="0.2">
      <c r="A233" s="186" t="s">
        <v>952</v>
      </c>
      <c r="B233" s="186" t="s">
        <v>1056</v>
      </c>
      <c r="C233" s="187">
        <v>70</v>
      </c>
      <c r="D233" s="186" t="s">
        <v>1057</v>
      </c>
      <c r="E233" s="186"/>
      <c r="F233" s="186" t="s">
        <v>1066</v>
      </c>
      <c r="G233" s="186"/>
      <c r="H233" s="190">
        <v>0.01</v>
      </c>
      <c r="I233" s="189"/>
      <c r="J233" s="186" t="s">
        <v>936</v>
      </c>
      <c r="K233" s="186"/>
      <c r="L233" s="186" t="s">
        <v>10</v>
      </c>
      <c r="M233" s="186" t="s">
        <v>10</v>
      </c>
      <c r="N233" s="189"/>
      <c r="O233" s="189"/>
    </row>
    <row r="234" spans="1:15" ht="11.1" customHeight="1" x14ac:dyDescent="0.2">
      <c r="A234" s="186" t="s">
        <v>952</v>
      </c>
      <c r="B234" s="186" t="s">
        <v>1056</v>
      </c>
      <c r="C234" s="187">
        <v>71</v>
      </c>
      <c r="D234" s="186" t="s">
        <v>1057</v>
      </c>
      <c r="E234" s="186"/>
      <c r="F234" s="186" t="s">
        <v>1067</v>
      </c>
      <c r="G234" s="186"/>
      <c r="H234" s="190">
        <v>0.01</v>
      </c>
      <c r="I234" s="189"/>
      <c r="J234" s="186" t="s">
        <v>936</v>
      </c>
      <c r="K234" s="186"/>
      <c r="L234" s="186" t="s">
        <v>10</v>
      </c>
      <c r="M234" s="186" t="s">
        <v>10</v>
      </c>
      <c r="N234" s="189"/>
      <c r="O234" s="189"/>
    </row>
    <row r="235" spans="1:15" ht="11.1" customHeight="1" x14ac:dyDescent="0.2">
      <c r="A235" s="186" t="s">
        <v>952</v>
      </c>
      <c r="B235" s="186" t="s">
        <v>1056</v>
      </c>
      <c r="C235" s="187">
        <v>68</v>
      </c>
      <c r="D235" s="186" t="s">
        <v>1057</v>
      </c>
      <c r="E235" s="186"/>
      <c r="F235" s="186" t="s">
        <v>309</v>
      </c>
      <c r="G235" s="186"/>
      <c r="H235" s="190">
        <v>30</v>
      </c>
      <c r="I235" s="189"/>
      <c r="J235" s="186" t="s">
        <v>936</v>
      </c>
      <c r="K235" s="186"/>
      <c r="L235" s="186" t="s">
        <v>10</v>
      </c>
      <c r="M235" s="186" t="s">
        <v>10</v>
      </c>
      <c r="N235" s="189"/>
      <c r="O235" s="189"/>
    </row>
    <row r="236" spans="1:15" ht="11.1" customHeight="1" x14ac:dyDescent="0.2">
      <c r="A236" s="186" t="s">
        <v>952</v>
      </c>
      <c r="B236" s="186" t="s">
        <v>1056</v>
      </c>
      <c r="C236" s="187">
        <v>73</v>
      </c>
      <c r="D236" s="186" t="s">
        <v>1057</v>
      </c>
      <c r="E236" s="186"/>
      <c r="F236" s="186" t="s">
        <v>1068</v>
      </c>
      <c r="G236" s="186"/>
      <c r="H236" s="190">
        <v>20</v>
      </c>
      <c r="I236" s="189"/>
      <c r="J236" s="186" t="s">
        <v>936</v>
      </c>
      <c r="K236" s="186"/>
      <c r="L236" s="186" t="s">
        <v>10</v>
      </c>
      <c r="M236" s="186" t="s">
        <v>10</v>
      </c>
      <c r="N236" s="189"/>
      <c r="O236" s="189"/>
    </row>
    <row r="237" spans="1:15" ht="11.1" customHeight="1" x14ac:dyDescent="0.2">
      <c r="A237" s="186" t="s">
        <v>952</v>
      </c>
      <c r="B237" s="186" t="s">
        <v>1056</v>
      </c>
      <c r="C237" s="187">
        <v>74</v>
      </c>
      <c r="D237" s="186" t="s">
        <v>1057</v>
      </c>
      <c r="E237" s="186"/>
      <c r="F237" s="186" t="s">
        <v>325</v>
      </c>
      <c r="G237" s="186"/>
      <c r="H237" s="190">
        <v>390</v>
      </c>
      <c r="I237" s="189"/>
      <c r="J237" s="186" t="s">
        <v>936</v>
      </c>
      <c r="K237" s="186"/>
      <c r="L237" s="186" t="s">
        <v>10</v>
      </c>
      <c r="M237" s="186" t="s">
        <v>10</v>
      </c>
      <c r="N237" s="189"/>
      <c r="O237" s="189"/>
    </row>
    <row r="238" spans="1:15" ht="11.1" customHeight="1" x14ac:dyDescent="0.2">
      <c r="A238" s="186" t="s">
        <v>952</v>
      </c>
      <c r="B238" s="186" t="s">
        <v>1056</v>
      </c>
      <c r="C238" s="187">
        <v>76</v>
      </c>
      <c r="D238" s="186" t="s">
        <v>1057</v>
      </c>
      <c r="E238" s="186"/>
      <c r="F238" s="186" t="s">
        <v>305</v>
      </c>
      <c r="G238" s="186"/>
      <c r="H238" s="190">
        <v>10</v>
      </c>
      <c r="I238" s="189"/>
      <c r="J238" s="186" t="s">
        <v>936</v>
      </c>
      <c r="K238" s="186"/>
      <c r="L238" s="186" t="s">
        <v>10</v>
      </c>
      <c r="M238" s="186" t="s">
        <v>10</v>
      </c>
      <c r="N238" s="189"/>
      <c r="O238" s="189"/>
    </row>
    <row r="239" spans="1:15" ht="11.1" customHeight="1" x14ac:dyDescent="0.2">
      <c r="A239" s="186" t="s">
        <v>952</v>
      </c>
      <c r="B239" s="186" t="s">
        <v>1056</v>
      </c>
      <c r="C239" s="187">
        <v>62</v>
      </c>
      <c r="D239" s="186" t="s">
        <v>1057</v>
      </c>
      <c r="E239" s="186"/>
      <c r="F239" s="186" t="s">
        <v>373</v>
      </c>
      <c r="G239" s="186"/>
      <c r="H239" s="188">
        <v>6940</v>
      </c>
      <c r="I239" s="189"/>
      <c r="J239" s="186" t="s">
        <v>936</v>
      </c>
      <c r="K239" s="186"/>
      <c r="L239" s="186" t="s">
        <v>10</v>
      </c>
      <c r="M239" s="186" t="s">
        <v>10</v>
      </c>
      <c r="N239" s="189"/>
      <c r="O239" s="189"/>
    </row>
    <row r="240" spans="1:15" ht="11.1" customHeight="1" x14ac:dyDescent="0.2">
      <c r="A240" s="186" t="s">
        <v>952</v>
      </c>
      <c r="B240" s="186" t="s">
        <v>1056</v>
      </c>
      <c r="C240" s="187">
        <v>28</v>
      </c>
      <c r="D240" s="186" t="s">
        <v>1057</v>
      </c>
      <c r="E240" s="186"/>
      <c r="F240" s="186" t="s">
        <v>346</v>
      </c>
      <c r="G240" s="186"/>
      <c r="H240" s="188">
        <v>5040</v>
      </c>
      <c r="I240" s="189"/>
      <c r="J240" s="186" t="s">
        <v>936</v>
      </c>
      <c r="K240" s="186"/>
      <c r="L240" s="186" t="s">
        <v>10</v>
      </c>
      <c r="M240" s="186" t="s">
        <v>10</v>
      </c>
      <c r="N240" s="189"/>
      <c r="O240" s="189"/>
    </row>
    <row r="241" spans="1:15" ht="11.1" customHeight="1" x14ac:dyDescent="0.2">
      <c r="A241" s="186" t="s">
        <v>952</v>
      </c>
      <c r="B241" s="186" t="s">
        <v>1056</v>
      </c>
      <c r="C241" s="187">
        <v>29</v>
      </c>
      <c r="D241" s="186" t="s">
        <v>1057</v>
      </c>
      <c r="E241" s="186"/>
      <c r="F241" s="186" t="s">
        <v>315</v>
      </c>
      <c r="G241" s="186"/>
      <c r="H241" s="188">
        <v>4140</v>
      </c>
      <c r="I241" s="189"/>
      <c r="J241" s="186" t="s">
        <v>936</v>
      </c>
      <c r="K241" s="186"/>
      <c r="L241" s="186" t="s">
        <v>10</v>
      </c>
      <c r="M241" s="186" t="s">
        <v>10</v>
      </c>
      <c r="N241" s="189"/>
      <c r="O241" s="189"/>
    </row>
    <row r="242" spans="1:15" ht="11.1" customHeight="1" x14ac:dyDescent="0.2">
      <c r="A242" s="186" t="s">
        <v>952</v>
      </c>
      <c r="B242" s="186" t="s">
        <v>1056</v>
      </c>
      <c r="C242" s="187">
        <v>61</v>
      </c>
      <c r="D242" s="186" t="s">
        <v>1057</v>
      </c>
      <c r="E242" s="186"/>
      <c r="F242" s="186" t="s">
        <v>348</v>
      </c>
      <c r="G242" s="186"/>
      <c r="H242" s="188">
        <v>6080</v>
      </c>
      <c r="I242" s="189"/>
      <c r="J242" s="186" t="s">
        <v>936</v>
      </c>
      <c r="K242" s="186"/>
      <c r="L242" s="186" t="s">
        <v>10</v>
      </c>
      <c r="M242" s="186" t="s">
        <v>10</v>
      </c>
      <c r="N242" s="189"/>
      <c r="O242" s="189"/>
    </row>
    <row r="243" spans="1:15" ht="11.1" customHeight="1" x14ac:dyDescent="0.2">
      <c r="A243" s="186" t="s">
        <v>952</v>
      </c>
      <c r="B243" s="186" t="s">
        <v>1056</v>
      </c>
      <c r="C243" s="187">
        <v>54</v>
      </c>
      <c r="D243" s="186" t="s">
        <v>1057</v>
      </c>
      <c r="E243" s="186"/>
      <c r="F243" s="186" t="s">
        <v>369</v>
      </c>
      <c r="G243" s="186"/>
      <c r="H243" s="190">
        <v>620</v>
      </c>
      <c r="I243" s="189"/>
      <c r="J243" s="186" t="s">
        <v>936</v>
      </c>
      <c r="K243" s="186"/>
      <c r="L243" s="186" t="s">
        <v>10</v>
      </c>
      <c r="M243" s="186" t="s">
        <v>10</v>
      </c>
      <c r="N243" s="189"/>
      <c r="O243" s="189"/>
    </row>
    <row r="244" spans="1:15" ht="11.1" customHeight="1" x14ac:dyDescent="0.2">
      <c r="A244" s="186" t="s">
        <v>952</v>
      </c>
      <c r="B244" s="186" t="s">
        <v>1056</v>
      </c>
      <c r="C244" s="187">
        <v>47</v>
      </c>
      <c r="D244" s="186" t="s">
        <v>1057</v>
      </c>
      <c r="E244" s="186"/>
      <c r="F244" s="186" t="s">
        <v>321</v>
      </c>
      <c r="G244" s="186"/>
      <c r="H244" s="188">
        <v>1560</v>
      </c>
      <c r="I244" s="189"/>
      <c r="J244" s="186" t="s">
        <v>936</v>
      </c>
      <c r="K244" s="186"/>
      <c r="L244" s="186" t="s">
        <v>10</v>
      </c>
      <c r="M244" s="186" t="s">
        <v>10</v>
      </c>
      <c r="N244" s="189"/>
      <c r="O244" s="189"/>
    </row>
    <row r="245" spans="1:15" ht="11.1" customHeight="1" x14ac:dyDescent="0.2">
      <c r="A245" s="186" t="s">
        <v>952</v>
      </c>
      <c r="B245" s="186" t="s">
        <v>1056</v>
      </c>
      <c r="C245" s="187">
        <v>50</v>
      </c>
      <c r="D245" s="186" t="s">
        <v>1057</v>
      </c>
      <c r="E245" s="186"/>
      <c r="F245" s="186" t="s">
        <v>367</v>
      </c>
      <c r="G245" s="186"/>
      <c r="H245" s="188">
        <v>1300</v>
      </c>
      <c r="I245" s="189"/>
      <c r="J245" s="186" t="s">
        <v>936</v>
      </c>
      <c r="K245" s="186"/>
      <c r="L245" s="186" t="s">
        <v>10</v>
      </c>
      <c r="M245" s="186" t="s">
        <v>10</v>
      </c>
      <c r="N245" s="189"/>
      <c r="O245" s="189"/>
    </row>
    <row r="246" spans="1:15" ht="11.1" customHeight="1" x14ac:dyDescent="0.2">
      <c r="A246" s="186" t="s">
        <v>952</v>
      </c>
      <c r="B246" s="186" t="s">
        <v>1056</v>
      </c>
      <c r="C246" s="187">
        <v>24</v>
      </c>
      <c r="D246" s="186" t="s">
        <v>1057</v>
      </c>
      <c r="E246" s="186"/>
      <c r="F246" s="186" t="s">
        <v>319</v>
      </c>
      <c r="G246" s="186"/>
      <c r="H246" s="190">
        <v>480</v>
      </c>
      <c r="I246" s="189"/>
      <c r="J246" s="186" t="s">
        <v>936</v>
      </c>
      <c r="K246" s="186"/>
      <c r="L246" s="186" t="s">
        <v>10</v>
      </c>
      <c r="M246" s="186" t="s">
        <v>10</v>
      </c>
      <c r="N246" s="189"/>
      <c r="O246" s="189"/>
    </row>
    <row r="247" spans="1:15" ht="11.1" customHeight="1" x14ac:dyDescent="0.2">
      <c r="A247" s="186" t="s">
        <v>952</v>
      </c>
      <c r="B247" s="186" t="s">
        <v>1056</v>
      </c>
      <c r="C247" s="187">
        <v>26</v>
      </c>
      <c r="D247" s="186" t="s">
        <v>1057</v>
      </c>
      <c r="E247" s="186"/>
      <c r="F247" s="186" t="s">
        <v>313</v>
      </c>
      <c r="G247" s="186"/>
      <c r="H247" s="190">
        <v>370</v>
      </c>
      <c r="I247" s="189"/>
      <c r="J247" s="186" t="s">
        <v>936</v>
      </c>
      <c r="K247" s="186"/>
      <c r="L247" s="186" t="s">
        <v>10</v>
      </c>
      <c r="M247" s="186" t="s">
        <v>10</v>
      </c>
      <c r="N247" s="189"/>
      <c r="O247" s="189"/>
    </row>
    <row r="248" spans="1:15" ht="11.1" customHeight="1" x14ac:dyDescent="0.2">
      <c r="A248" s="186" t="s">
        <v>952</v>
      </c>
      <c r="B248" s="186" t="s">
        <v>1056</v>
      </c>
      <c r="C248" s="187">
        <v>27</v>
      </c>
      <c r="D248" s="186" t="s">
        <v>1057</v>
      </c>
      <c r="E248" s="186"/>
      <c r="F248" s="186" t="s">
        <v>314</v>
      </c>
      <c r="G248" s="186"/>
      <c r="H248" s="190">
        <v>170</v>
      </c>
      <c r="I248" s="189"/>
      <c r="J248" s="186" t="s">
        <v>936</v>
      </c>
      <c r="K248" s="186"/>
      <c r="L248" s="186" t="s">
        <v>10</v>
      </c>
      <c r="M248" s="186" t="s">
        <v>10</v>
      </c>
      <c r="N248" s="189"/>
      <c r="O248" s="189"/>
    </row>
    <row r="249" spans="1:15" ht="11.1" customHeight="1" x14ac:dyDescent="0.2">
      <c r="A249" s="186" t="s">
        <v>952</v>
      </c>
      <c r="B249" s="186" t="s">
        <v>1056</v>
      </c>
      <c r="C249" s="187">
        <v>48</v>
      </c>
      <c r="D249" s="186" t="s">
        <v>1057</v>
      </c>
      <c r="E249" s="186"/>
      <c r="F249" s="186" t="s">
        <v>312</v>
      </c>
      <c r="G249" s="186"/>
      <c r="H249" s="190">
        <v>190</v>
      </c>
      <c r="I249" s="189"/>
      <c r="J249" s="186" t="s">
        <v>936</v>
      </c>
      <c r="K249" s="186"/>
      <c r="L249" s="186" t="s">
        <v>10</v>
      </c>
      <c r="M249" s="186" t="s">
        <v>10</v>
      </c>
      <c r="N249" s="189"/>
      <c r="O249" s="189"/>
    </row>
    <row r="250" spans="1:15" ht="11.1" customHeight="1" x14ac:dyDescent="0.2">
      <c r="A250" s="186" t="s">
        <v>952</v>
      </c>
      <c r="B250" s="186" t="s">
        <v>1056</v>
      </c>
      <c r="C250" s="187">
        <v>52</v>
      </c>
      <c r="D250" s="186" t="s">
        <v>1057</v>
      </c>
      <c r="E250" s="186"/>
      <c r="F250" s="186" t="s">
        <v>323</v>
      </c>
      <c r="G250" s="186"/>
      <c r="H250" s="190">
        <v>200</v>
      </c>
      <c r="I250" s="189"/>
      <c r="J250" s="186" t="s">
        <v>936</v>
      </c>
      <c r="K250" s="186"/>
      <c r="L250" s="186" t="s">
        <v>10</v>
      </c>
      <c r="M250" s="186" t="s">
        <v>10</v>
      </c>
      <c r="N250" s="189"/>
      <c r="O250" s="189"/>
    </row>
    <row r="251" spans="1:15" ht="11.1" customHeight="1" x14ac:dyDescent="0.2">
      <c r="A251" s="186" t="s">
        <v>952</v>
      </c>
      <c r="B251" s="186" t="s">
        <v>1056</v>
      </c>
      <c r="C251" s="187">
        <v>57</v>
      </c>
      <c r="D251" s="186" t="s">
        <v>1057</v>
      </c>
      <c r="E251" s="186"/>
      <c r="F251" s="186" t="s">
        <v>302</v>
      </c>
      <c r="G251" s="186"/>
      <c r="H251" s="190">
        <v>130</v>
      </c>
      <c r="I251" s="189"/>
      <c r="J251" s="186" t="s">
        <v>936</v>
      </c>
      <c r="K251" s="186"/>
      <c r="L251" s="186" t="s">
        <v>10</v>
      </c>
      <c r="M251" s="186" t="s">
        <v>10</v>
      </c>
      <c r="N251" s="189"/>
      <c r="O251" s="189"/>
    </row>
    <row r="252" spans="1:15" ht="11.1" customHeight="1" x14ac:dyDescent="0.2">
      <c r="A252" s="186" t="s">
        <v>952</v>
      </c>
      <c r="B252" s="186" t="s">
        <v>1056</v>
      </c>
      <c r="C252" s="187">
        <v>64</v>
      </c>
      <c r="D252" s="186" t="s">
        <v>1057</v>
      </c>
      <c r="E252" s="186"/>
      <c r="F252" s="186" t="s">
        <v>332</v>
      </c>
      <c r="G252" s="186"/>
      <c r="H252" s="188">
        <v>2290</v>
      </c>
      <c r="I252" s="189"/>
      <c r="J252" s="186" t="s">
        <v>936</v>
      </c>
      <c r="K252" s="186"/>
      <c r="L252" s="186" t="s">
        <v>10</v>
      </c>
      <c r="M252" s="186" t="s">
        <v>10</v>
      </c>
      <c r="N252" s="189"/>
      <c r="O252" s="189"/>
    </row>
    <row r="253" spans="1:15" ht="11.1" customHeight="1" x14ac:dyDescent="0.2">
      <c r="A253" s="186" t="s">
        <v>952</v>
      </c>
      <c r="B253" s="186" t="s">
        <v>1056</v>
      </c>
      <c r="C253" s="187">
        <v>51</v>
      </c>
      <c r="D253" s="186" t="s">
        <v>1057</v>
      </c>
      <c r="E253" s="186"/>
      <c r="F253" s="186" t="s">
        <v>308</v>
      </c>
      <c r="G253" s="186"/>
      <c r="H253" s="190">
        <v>480</v>
      </c>
      <c r="I253" s="189"/>
      <c r="J253" s="186" t="s">
        <v>936</v>
      </c>
      <c r="K253" s="186"/>
      <c r="L253" s="186" t="s">
        <v>10</v>
      </c>
      <c r="M253" s="186" t="s">
        <v>10</v>
      </c>
      <c r="N253" s="189"/>
      <c r="O253" s="189"/>
    </row>
    <row r="254" spans="1:15" ht="11.1" customHeight="1" x14ac:dyDescent="0.2">
      <c r="A254" s="186" t="s">
        <v>952</v>
      </c>
      <c r="B254" s="186" t="s">
        <v>1056</v>
      </c>
      <c r="C254" s="187">
        <v>66</v>
      </c>
      <c r="D254" s="186" t="s">
        <v>1057</v>
      </c>
      <c r="E254" s="186"/>
      <c r="F254" s="186" t="s">
        <v>327</v>
      </c>
      <c r="G254" s="186"/>
      <c r="H254" s="190">
        <v>210</v>
      </c>
      <c r="I254" s="189"/>
      <c r="J254" s="186" t="s">
        <v>936</v>
      </c>
      <c r="K254" s="186"/>
      <c r="L254" s="186" t="s">
        <v>10</v>
      </c>
      <c r="M254" s="186" t="s">
        <v>10</v>
      </c>
      <c r="N254" s="189"/>
      <c r="O254" s="189"/>
    </row>
    <row r="255" spans="1:15" ht="11.1" customHeight="1" x14ac:dyDescent="0.2">
      <c r="A255" s="186" t="s">
        <v>952</v>
      </c>
      <c r="B255" s="186" t="s">
        <v>1056</v>
      </c>
      <c r="C255" s="187">
        <v>19</v>
      </c>
      <c r="D255" s="186" t="s">
        <v>1057</v>
      </c>
      <c r="E255" s="186"/>
      <c r="F255" s="186" t="s">
        <v>1069</v>
      </c>
      <c r="G255" s="186"/>
      <c r="H255" s="190">
        <v>280</v>
      </c>
      <c r="I255" s="189"/>
      <c r="J255" s="186" t="s">
        <v>936</v>
      </c>
      <c r="K255" s="186"/>
      <c r="L255" s="186" t="s">
        <v>10</v>
      </c>
      <c r="M255" s="186" t="s">
        <v>10</v>
      </c>
      <c r="N255" s="189"/>
      <c r="O255" s="189"/>
    </row>
    <row r="256" spans="1:15" ht="11.1" customHeight="1" x14ac:dyDescent="0.2">
      <c r="A256" s="186" t="s">
        <v>952</v>
      </c>
      <c r="B256" s="186" t="s">
        <v>1056</v>
      </c>
      <c r="C256" s="187">
        <v>72</v>
      </c>
      <c r="D256" s="186" t="s">
        <v>1057</v>
      </c>
      <c r="E256" s="186"/>
      <c r="F256" s="186" t="s">
        <v>343</v>
      </c>
      <c r="G256" s="186"/>
      <c r="H256" s="190">
        <v>40</v>
      </c>
      <c r="I256" s="189"/>
      <c r="J256" s="186" t="s">
        <v>936</v>
      </c>
      <c r="K256" s="186"/>
      <c r="L256" s="186" t="s">
        <v>10</v>
      </c>
      <c r="M256" s="186" t="s">
        <v>10</v>
      </c>
      <c r="N256" s="189"/>
      <c r="O256" s="189"/>
    </row>
    <row r="257" spans="1:15" ht="11.1" customHeight="1" x14ac:dyDescent="0.2">
      <c r="A257" s="186" t="s">
        <v>952</v>
      </c>
      <c r="B257" s="186" t="s">
        <v>1056</v>
      </c>
      <c r="C257" s="187">
        <v>34</v>
      </c>
      <c r="D257" s="186" t="s">
        <v>1057</v>
      </c>
      <c r="E257" s="186"/>
      <c r="F257" s="186" t="s">
        <v>1070</v>
      </c>
      <c r="G257" s="186"/>
      <c r="H257" s="188">
        <v>6330</v>
      </c>
      <c r="I257" s="189"/>
      <c r="J257" s="186" t="s">
        <v>936</v>
      </c>
      <c r="K257" s="186"/>
      <c r="L257" s="186" t="s">
        <v>10</v>
      </c>
      <c r="M257" s="186" t="s">
        <v>10</v>
      </c>
      <c r="N257" s="189"/>
      <c r="O257" s="189"/>
    </row>
    <row r="258" spans="1:15" ht="11.1" customHeight="1" x14ac:dyDescent="0.2">
      <c r="A258" s="186" t="s">
        <v>952</v>
      </c>
      <c r="B258" s="186" t="s">
        <v>1056</v>
      </c>
      <c r="C258" s="187">
        <v>35</v>
      </c>
      <c r="D258" s="186" t="s">
        <v>1057</v>
      </c>
      <c r="E258" s="186"/>
      <c r="F258" s="186" t="s">
        <v>1071</v>
      </c>
      <c r="G258" s="186"/>
      <c r="H258" s="188">
        <v>7270</v>
      </c>
      <c r="I258" s="189"/>
      <c r="J258" s="186" t="s">
        <v>936</v>
      </c>
      <c r="K258" s="186"/>
      <c r="L258" s="186" t="s">
        <v>10</v>
      </c>
      <c r="M258" s="186" t="s">
        <v>10</v>
      </c>
      <c r="N258" s="189"/>
      <c r="O258" s="189"/>
    </row>
    <row r="259" spans="1:15" ht="11.1" customHeight="1" x14ac:dyDescent="0.2">
      <c r="A259" s="186" t="s">
        <v>952</v>
      </c>
      <c r="B259" s="186" t="s">
        <v>1056</v>
      </c>
      <c r="C259" s="187">
        <v>36</v>
      </c>
      <c r="D259" s="186" t="s">
        <v>1057</v>
      </c>
      <c r="E259" s="186"/>
      <c r="F259" s="186" t="s">
        <v>1072</v>
      </c>
      <c r="G259" s="186"/>
      <c r="H259" s="188">
        <v>7810</v>
      </c>
      <c r="I259" s="189"/>
      <c r="J259" s="186" t="s">
        <v>936</v>
      </c>
      <c r="K259" s="186"/>
      <c r="L259" s="186" t="s">
        <v>10</v>
      </c>
      <c r="M259" s="186" t="s">
        <v>10</v>
      </c>
      <c r="N259" s="189"/>
      <c r="O259" s="189"/>
    </row>
    <row r="260" spans="1:15" ht="11.1" customHeight="1" x14ac:dyDescent="0.2">
      <c r="A260" s="186" t="s">
        <v>952</v>
      </c>
      <c r="B260" s="186" t="s">
        <v>1056</v>
      </c>
      <c r="C260" s="187">
        <v>67</v>
      </c>
      <c r="D260" s="186" t="s">
        <v>1057</v>
      </c>
      <c r="E260" s="186"/>
      <c r="F260" s="186" t="s">
        <v>1073</v>
      </c>
      <c r="G260" s="186"/>
      <c r="H260" s="190">
        <v>30</v>
      </c>
      <c r="I260" s="189"/>
      <c r="J260" s="186" t="s">
        <v>936</v>
      </c>
      <c r="K260" s="186"/>
      <c r="L260" s="186" t="s">
        <v>10</v>
      </c>
      <c r="M260" s="186" t="s">
        <v>10</v>
      </c>
      <c r="N260" s="189"/>
      <c r="O260" s="189"/>
    </row>
    <row r="261" spans="1:15" ht="11.1" customHeight="1" x14ac:dyDescent="0.2">
      <c r="A261" s="186" t="s">
        <v>952</v>
      </c>
      <c r="B261" s="186" t="s">
        <v>1056</v>
      </c>
      <c r="C261" s="187">
        <v>25</v>
      </c>
      <c r="D261" s="186" t="s">
        <v>1057</v>
      </c>
      <c r="E261" s="186"/>
      <c r="F261" s="186" t="s">
        <v>317</v>
      </c>
      <c r="G261" s="186"/>
      <c r="H261" s="190">
        <v>950</v>
      </c>
      <c r="I261" s="189"/>
      <c r="J261" s="186" t="s">
        <v>936</v>
      </c>
      <c r="K261" s="186"/>
      <c r="L261" s="186" t="s">
        <v>10</v>
      </c>
      <c r="M261" s="186" t="s">
        <v>10</v>
      </c>
      <c r="N261" s="189"/>
      <c r="O261" s="189"/>
    </row>
    <row r="262" spans="1:15" ht="11.1" customHeight="1" x14ac:dyDescent="0.2">
      <c r="A262" s="186" t="s">
        <v>952</v>
      </c>
      <c r="B262" s="186" t="s">
        <v>1056</v>
      </c>
      <c r="C262" s="187">
        <v>33</v>
      </c>
      <c r="D262" s="186" t="s">
        <v>1057</v>
      </c>
      <c r="E262" s="186"/>
      <c r="F262" s="186" t="s">
        <v>1074</v>
      </c>
      <c r="G262" s="186"/>
      <c r="H262" s="188">
        <v>1600</v>
      </c>
      <c r="I262" s="189"/>
      <c r="J262" s="186" t="s">
        <v>936</v>
      </c>
      <c r="K262" s="186"/>
      <c r="L262" s="186" t="s">
        <v>10</v>
      </c>
      <c r="M262" s="186" t="s">
        <v>10</v>
      </c>
      <c r="N262" s="189"/>
      <c r="O262" s="189"/>
    </row>
    <row r="263" spans="1:15" ht="11.1" customHeight="1" x14ac:dyDescent="0.2">
      <c r="A263" s="186" t="s">
        <v>952</v>
      </c>
      <c r="B263" s="186" t="s">
        <v>1056</v>
      </c>
      <c r="C263" s="187">
        <v>44</v>
      </c>
      <c r="D263" s="186" t="s">
        <v>1057</v>
      </c>
      <c r="E263" s="186"/>
      <c r="F263" s="186" t="s">
        <v>363</v>
      </c>
      <c r="G263" s="186"/>
      <c r="H263" s="188">
        <v>11560</v>
      </c>
      <c r="I263" s="189"/>
      <c r="J263" s="186" t="s">
        <v>936</v>
      </c>
      <c r="K263" s="186"/>
      <c r="L263" s="186" t="s">
        <v>10</v>
      </c>
      <c r="M263" s="186" t="s">
        <v>10</v>
      </c>
      <c r="N263" s="189"/>
      <c r="O263" s="189"/>
    </row>
    <row r="264" spans="1:15" ht="11.1" customHeight="1" x14ac:dyDescent="0.2">
      <c r="A264" s="186" t="s">
        <v>952</v>
      </c>
      <c r="B264" s="186" t="s">
        <v>1056</v>
      </c>
      <c r="C264" s="187">
        <v>55</v>
      </c>
      <c r="D264" s="186" t="s">
        <v>1057</v>
      </c>
      <c r="E264" s="186"/>
      <c r="F264" s="186" t="s">
        <v>1075</v>
      </c>
      <c r="G264" s="186"/>
      <c r="H264" s="190">
        <v>620</v>
      </c>
      <c r="I264" s="189"/>
      <c r="J264" s="186" t="s">
        <v>936</v>
      </c>
      <c r="K264" s="186"/>
      <c r="L264" s="186" t="s">
        <v>10</v>
      </c>
      <c r="M264" s="186" t="s">
        <v>10</v>
      </c>
      <c r="N264" s="189"/>
      <c r="O264" s="189"/>
    </row>
    <row r="265" spans="1:15" ht="11.1" customHeight="1" x14ac:dyDescent="0.2">
      <c r="A265" s="186" t="s">
        <v>952</v>
      </c>
      <c r="B265" s="186" t="s">
        <v>1056</v>
      </c>
      <c r="C265" s="187">
        <v>56</v>
      </c>
      <c r="D265" s="186" t="s">
        <v>1057</v>
      </c>
      <c r="E265" s="186"/>
      <c r="F265" s="186" t="s">
        <v>1076</v>
      </c>
      <c r="G265" s="186"/>
      <c r="H265" s="190">
        <v>620</v>
      </c>
      <c r="I265" s="189"/>
      <c r="J265" s="186" t="s">
        <v>936</v>
      </c>
      <c r="K265" s="186"/>
      <c r="L265" s="186" t="s">
        <v>10</v>
      </c>
      <c r="M265" s="186" t="s">
        <v>10</v>
      </c>
      <c r="N265" s="189"/>
      <c r="O265" s="189"/>
    </row>
    <row r="266" spans="1:15" ht="11.1" customHeight="1" x14ac:dyDescent="0.2">
      <c r="A266" s="186" t="s">
        <v>952</v>
      </c>
      <c r="B266" s="186" t="s">
        <v>1056</v>
      </c>
      <c r="C266" s="187">
        <v>81</v>
      </c>
      <c r="D266" s="186" t="s">
        <v>1057</v>
      </c>
      <c r="E266" s="186"/>
      <c r="F266" s="186" t="s">
        <v>1077</v>
      </c>
      <c r="G266" s="186"/>
      <c r="H266" s="190">
        <v>700</v>
      </c>
      <c r="I266" s="189"/>
      <c r="J266" s="186" t="s">
        <v>936</v>
      </c>
      <c r="K266" s="186"/>
      <c r="L266" s="186" t="s">
        <v>10</v>
      </c>
      <c r="M266" s="186" t="s">
        <v>10</v>
      </c>
      <c r="N266" s="189"/>
      <c r="O266" s="189"/>
    </row>
    <row r="267" spans="1:15" ht="11.1" customHeight="1" x14ac:dyDescent="0.2">
      <c r="A267" s="186" t="s">
        <v>952</v>
      </c>
      <c r="B267" s="186" t="s">
        <v>1056</v>
      </c>
      <c r="C267" s="187">
        <v>40</v>
      </c>
      <c r="D267" s="186" t="s">
        <v>1057</v>
      </c>
      <c r="E267" s="186"/>
      <c r="F267" s="186" t="s">
        <v>1078</v>
      </c>
      <c r="G267" s="186"/>
      <c r="H267" s="188">
        <v>6130</v>
      </c>
      <c r="I267" s="189"/>
      <c r="J267" s="186" t="s">
        <v>936</v>
      </c>
      <c r="K267" s="186"/>
      <c r="L267" s="186" t="s">
        <v>10</v>
      </c>
      <c r="M267" s="186" t="s">
        <v>10</v>
      </c>
      <c r="N267" s="189"/>
      <c r="O267" s="189"/>
    </row>
    <row r="268" spans="1:15" ht="11.1" customHeight="1" x14ac:dyDescent="0.2">
      <c r="A268" s="186" t="s">
        <v>952</v>
      </c>
      <c r="B268" s="186" t="s">
        <v>1056</v>
      </c>
      <c r="C268" s="187">
        <v>37</v>
      </c>
      <c r="D268" s="186" t="s">
        <v>1057</v>
      </c>
      <c r="E268" s="186"/>
      <c r="F268" s="186" t="s">
        <v>1079</v>
      </c>
      <c r="G268" s="186"/>
      <c r="H268" s="188">
        <v>1590</v>
      </c>
      <c r="I268" s="189"/>
      <c r="J268" s="186" t="s">
        <v>936</v>
      </c>
      <c r="K268" s="186"/>
      <c r="L268" s="186" t="s">
        <v>10</v>
      </c>
      <c r="M268" s="186" t="s">
        <v>10</v>
      </c>
      <c r="N268" s="189"/>
      <c r="O268" s="189"/>
    </row>
    <row r="269" spans="1:15" ht="11.1" customHeight="1" x14ac:dyDescent="0.2">
      <c r="A269" s="186" t="s">
        <v>952</v>
      </c>
      <c r="B269" s="186" t="s">
        <v>1056</v>
      </c>
      <c r="C269" s="187">
        <v>38</v>
      </c>
      <c r="D269" s="186" t="s">
        <v>1057</v>
      </c>
      <c r="E269" s="186"/>
      <c r="F269" s="186" t="s">
        <v>1080</v>
      </c>
      <c r="G269" s="186"/>
      <c r="H269" s="188">
        <v>4920</v>
      </c>
      <c r="I269" s="189"/>
      <c r="J269" s="186" t="s">
        <v>936</v>
      </c>
      <c r="K269" s="186"/>
      <c r="L269" s="186" t="s">
        <v>10</v>
      </c>
      <c r="M269" s="186" t="s">
        <v>10</v>
      </c>
      <c r="N269" s="189"/>
      <c r="O269" s="189"/>
    </row>
    <row r="270" spans="1:15" ht="11.1" customHeight="1" x14ac:dyDescent="0.2">
      <c r="A270" s="186" t="s">
        <v>952</v>
      </c>
      <c r="B270" s="186" t="s">
        <v>1056</v>
      </c>
      <c r="C270" s="187">
        <v>39</v>
      </c>
      <c r="D270" s="186" t="s">
        <v>1057</v>
      </c>
      <c r="E270" s="186"/>
      <c r="F270" s="186" t="s">
        <v>1081</v>
      </c>
      <c r="G270" s="186"/>
      <c r="H270" s="188">
        <v>5530</v>
      </c>
      <c r="I270" s="189"/>
      <c r="J270" s="186" t="s">
        <v>936</v>
      </c>
      <c r="K270" s="186"/>
      <c r="L270" s="186" t="s">
        <v>10</v>
      </c>
      <c r="M270" s="186" t="s">
        <v>10</v>
      </c>
      <c r="N270" s="189"/>
      <c r="O270" s="189"/>
    </row>
    <row r="271" spans="1:15" ht="11.1" customHeight="1" x14ac:dyDescent="0.2">
      <c r="A271" s="186" t="s">
        <v>952</v>
      </c>
      <c r="B271" s="186" t="s">
        <v>1056</v>
      </c>
      <c r="C271" s="187">
        <v>41</v>
      </c>
      <c r="D271" s="186" t="s">
        <v>1057</v>
      </c>
      <c r="E271" s="186"/>
      <c r="F271" s="186" t="s">
        <v>341</v>
      </c>
      <c r="G271" s="186"/>
      <c r="H271" s="188">
        <v>1000</v>
      </c>
      <c r="I271" s="189"/>
      <c r="J271" s="186" t="s">
        <v>936</v>
      </c>
      <c r="K271" s="186"/>
      <c r="L271" s="186" t="s">
        <v>10</v>
      </c>
      <c r="M271" s="186" t="s">
        <v>10</v>
      </c>
      <c r="N271" s="189"/>
      <c r="O271" s="189"/>
    </row>
    <row r="272" spans="1:15" ht="11.1" customHeight="1" x14ac:dyDescent="0.2">
      <c r="A272" s="186" t="s">
        <v>952</v>
      </c>
      <c r="B272" s="186" t="s">
        <v>1056</v>
      </c>
      <c r="C272" s="187">
        <v>42</v>
      </c>
      <c r="D272" s="186" t="s">
        <v>1057</v>
      </c>
      <c r="E272" s="186"/>
      <c r="F272" s="186" t="s">
        <v>342</v>
      </c>
      <c r="G272" s="186"/>
      <c r="H272" s="188">
        <v>1000</v>
      </c>
      <c r="I272" s="189"/>
      <c r="J272" s="186" t="s">
        <v>936</v>
      </c>
      <c r="K272" s="186"/>
      <c r="L272" s="186" t="s">
        <v>10</v>
      </c>
      <c r="M272" s="186" t="s">
        <v>10</v>
      </c>
      <c r="N272" s="189"/>
      <c r="O272" s="189"/>
    </row>
    <row r="273" spans="1:15" ht="11.1" customHeight="1" x14ac:dyDescent="0.2">
      <c r="A273" s="186" t="s">
        <v>952</v>
      </c>
      <c r="B273" s="186" t="s">
        <v>1056</v>
      </c>
      <c r="C273" s="187">
        <v>43</v>
      </c>
      <c r="D273" s="186" t="s">
        <v>1057</v>
      </c>
      <c r="E273" s="186"/>
      <c r="F273" s="186" t="s">
        <v>364</v>
      </c>
      <c r="G273" s="186"/>
      <c r="H273" s="188">
        <v>1000</v>
      </c>
      <c r="I273" s="189"/>
      <c r="J273" s="186" t="s">
        <v>936</v>
      </c>
      <c r="K273" s="186"/>
      <c r="L273" s="186" t="s">
        <v>10</v>
      </c>
      <c r="M273" s="186" t="s">
        <v>10</v>
      </c>
      <c r="N273" s="189"/>
      <c r="O273" s="189"/>
    </row>
    <row r="274" spans="1:15" ht="11.1" customHeight="1" x14ac:dyDescent="0.2">
      <c r="A274" s="186" t="s">
        <v>952</v>
      </c>
      <c r="B274" s="186" t="s">
        <v>1056</v>
      </c>
      <c r="C274" s="187">
        <v>21</v>
      </c>
      <c r="D274" s="186" t="s">
        <v>1057</v>
      </c>
      <c r="E274" s="186"/>
      <c r="F274" s="186" t="s">
        <v>509</v>
      </c>
      <c r="G274" s="186"/>
      <c r="H274" s="188">
        <v>5100</v>
      </c>
      <c r="I274" s="189"/>
      <c r="J274" s="186" t="s">
        <v>936</v>
      </c>
      <c r="K274" s="186"/>
      <c r="L274" s="186" t="s">
        <v>10</v>
      </c>
      <c r="M274" s="186" t="s">
        <v>10</v>
      </c>
      <c r="N274" s="189"/>
      <c r="O274" s="189"/>
    </row>
    <row r="275" spans="1:15" ht="11.1" customHeight="1" x14ac:dyDescent="0.2">
      <c r="A275" s="186" t="s">
        <v>952</v>
      </c>
      <c r="B275" s="186" t="s">
        <v>1056</v>
      </c>
      <c r="C275" s="187">
        <v>22</v>
      </c>
      <c r="D275" s="186" t="s">
        <v>1057</v>
      </c>
      <c r="E275" s="186"/>
      <c r="F275" s="186" t="s">
        <v>508</v>
      </c>
      <c r="G275" s="186"/>
      <c r="H275" s="188">
        <v>6660</v>
      </c>
      <c r="I275" s="189"/>
      <c r="J275" s="186" t="s">
        <v>936</v>
      </c>
      <c r="K275" s="186"/>
      <c r="L275" s="186" t="s">
        <v>10</v>
      </c>
      <c r="M275" s="186" t="s">
        <v>10</v>
      </c>
      <c r="N275" s="189"/>
      <c r="O275" s="189"/>
    </row>
    <row r="276" spans="1:15" ht="11.1" customHeight="1" x14ac:dyDescent="0.2">
      <c r="A276" s="186" t="s">
        <v>952</v>
      </c>
      <c r="B276" s="186" t="s">
        <v>1056</v>
      </c>
      <c r="C276" s="187">
        <v>23</v>
      </c>
      <c r="D276" s="186" t="s">
        <v>1057</v>
      </c>
      <c r="E276" s="186"/>
      <c r="F276" s="186" t="s">
        <v>1082</v>
      </c>
      <c r="G276" s="186"/>
      <c r="H276" s="190">
        <v>0.01</v>
      </c>
      <c r="I276" s="189"/>
      <c r="J276" s="186" t="s">
        <v>936</v>
      </c>
      <c r="K276" s="186"/>
      <c r="L276" s="186" t="s">
        <v>10</v>
      </c>
      <c r="M276" s="186" t="s">
        <v>10</v>
      </c>
      <c r="N276" s="189"/>
      <c r="O276" s="189"/>
    </row>
    <row r="277" spans="1:15" ht="11.1" customHeight="1" x14ac:dyDescent="0.2">
      <c r="A277" s="186" t="s">
        <v>952</v>
      </c>
      <c r="B277" s="186" t="s">
        <v>1056</v>
      </c>
      <c r="C277" s="187">
        <v>17</v>
      </c>
      <c r="D277" s="186" t="s">
        <v>1057</v>
      </c>
      <c r="E277" s="186"/>
      <c r="F277" s="186" t="s">
        <v>1083</v>
      </c>
      <c r="G277" s="186"/>
      <c r="H277" s="190">
        <v>550</v>
      </c>
      <c r="I277" s="189"/>
      <c r="J277" s="186" t="s">
        <v>936</v>
      </c>
      <c r="K277" s="186"/>
      <c r="L277" s="186" t="s">
        <v>10</v>
      </c>
      <c r="M277" s="186" t="s">
        <v>10</v>
      </c>
      <c r="N277" s="189"/>
      <c r="O277" s="189"/>
    </row>
    <row r="278" spans="1:15" ht="11.1" customHeight="1" x14ac:dyDescent="0.2">
      <c r="A278" s="186" t="s">
        <v>952</v>
      </c>
      <c r="B278" s="186" t="s">
        <v>1056</v>
      </c>
      <c r="C278" s="187">
        <v>82</v>
      </c>
      <c r="D278" s="186" t="s">
        <v>1057</v>
      </c>
      <c r="E278" s="186"/>
      <c r="F278" s="186" t="s">
        <v>726</v>
      </c>
      <c r="G278" s="186"/>
      <c r="H278" s="188">
        <v>8790</v>
      </c>
      <c r="I278" s="189"/>
      <c r="J278" s="186" t="s">
        <v>936</v>
      </c>
      <c r="K278" s="186"/>
      <c r="L278" s="186" t="s">
        <v>10</v>
      </c>
      <c r="M278" s="186" t="s">
        <v>10</v>
      </c>
      <c r="N278" s="189"/>
      <c r="O278" s="189"/>
    </row>
    <row r="279" spans="1:15" ht="11.1" customHeight="1" x14ac:dyDescent="0.2">
      <c r="A279" s="186" t="s">
        <v>952</v>
      </c>
      <c r="B279" s="186" t="s">
        <v>1056</v>
      </c>
      <c r="C279" s="187">
        <v>83</v>
      </c>
      <c r="D279" s="186" t="s">
        <v>1057</v>
      </c>
      <c r="E279" s="186"/>
      <c r="F279" s="186" t="s">
        <v>1084</v>
      </c>
      <c r="G279" s="186"/>
      <c r="H279" s="188">
        <v>1200</v>
      </c>
      <c r="I279" s="189"/>
      <c r="J279" s="186" t="s">
        <v>936</v>
      </c>
      <c r="K279" s="186"/>
      <c r="L279" s="186" t="s">
        <v>10</v>
      </c>
      <c r="M279" s="186" t="s">
        <v>10</v>
      </c>
      <c r="N279" s="189"/>
      <c r="O279" s="189"/>
    </row>
    <row r="280" spans="1:15" ht="11.1" customHeight="1" x14ac:dyDescent="0.2">
      <c r="A280" s="186" t="s">
        <v>952</v>
      </c>
      <c r="B280" s="186" t="s">
        <v>1056</v>
      </c>
      <c r="C280" s="187">
        <v>18</v>
      </c>
      <c r="D280" s="186" t="s">
        <v>1057</v>
      </c>
      <c r="E280" s="186"/>
      <c r="F280" s="186" t="s">
        <v>1085</v>
      </c>
      <c r="G280" s="186"/>
      <c r="H280" s="188">
        <v>1690</v>
      </c>
      <c r="I280" s="189"/>
      <c r="J280" s="186" t="s">
        <v>936</v>
      </c>
      <c r="K280" s="186"/>
      <c r="L280" s="186" t="s">
        <v>10</v>
      </c>
      <c r="M280" s="186" t="s">
        <v>10</v>
      </c>
      <c r="N280" s="189"/>
      <c r="O280" s="189"/>
    </row>
    <row r="281" spans="1:15" ht="11.1" customHeight="1" x14ac:dyDescent="0.2">
      <c r="A281" s="186" t="s">
        <v>952</v>
      </c>
      <c r="B281" s="186" t="s">
        <v>1086</v>
      </c>
      <c r="C281" s="187">
        <v>1</v>
      </c>
      <c r="D281" s="186" t="s">
        <v>1087</v>
      </c>
      <c r="E281" s="186"/>
      <c r="F281" s="186" t="s">
        <v>1088</v>
      </c>
      <c r="G281" s="186"/>
      <c r="H281" s="188">
        <v>2185</v>
      </c>
      <c r="I281" s="189"/>
      <c r="J281" s="186" t="s">
        <v>901</v>
      </c>
      <c r="K281" s="186"/>
      <c r="L281" s="186" t="s">
        <v>10</v>
      </c>
      <c r="M281" s="186" t="s">
        <v>10</v>
      </c>
      <c r="N281" s="190">
        <v>1</v>
      </c>
      <c r="O281" s="189"/>
    </row>
    <row r="282" spans="1:15" ht="11.1" customHeight="1" x14ac:dyDescent="0.2">
      <c r="A282" s="186" t="s">
        <v>952</v>
      </c>
      <c r="B282" s="186" t="s">
        <v>1089</v>
      </c>
      <c r="C282" s="187">
        <v>1</v>
      </c>
      <c r="D282" s="186" t="s">
        <v>674</v>
      </c>
      <c r="E282" s="186"/>
      <c r="F282" s="186" t="s">
        <v>1090</v>
      </c>
      <c r="G282" s="186" t="s">
        <v>1091</v>
      </c>
      <c r="H282" s="188">
        <v>4430</v>
      </c>
      <c r="I282" s="189"/>
      <c r="J282" s="186" t="s">
        <v>901</v>
      </c>
      <c r="K282" s="186"/>
      <c r="L282" s="186" t="s">
        <v>10</v>
      </c>
      <c r="M282" s="186" t="s">
        <v>10</v>
      </c>
      <c r="N282" s="190">
        <v>1</v>
      </c>
      <c r="O282" s="189"/>
    </row>
    <row r="283" spans="1:15" ht="11.1" customHeight="1" x14ac:dyDescent="0.2">
      <c r="A283" s="186" t="s">
        <v>952</v>
      </c>
      <c r="B283" s="186" t="s">
        <v>1089</v>
      </c>
      <c r="C283" s="187">
        <v>2</v>
      </c>
      <c r="D283" s="186" t="s">
        <v>674</v>
      </c>
      <c r="E283" s="186"/>
      <c r="F283" s="186" t="s">
        <v>1092</v>
      </c>
      <c r="G283" s="186" t="s">
        <v>1091</v>
      </c>
      <c r="H283" s="188">
        <v>4430</v>
      </c>
      <c r="I283" s="189"/>
      <c r="J283" s="186" t="s">
        <v>901</v>
      </c>
      <c r="K283" s="186"/>
      <c r="L283" s="186" t="s">
        <v>10</v>
      </c>
      <c r="M283" s="186" t="s">
        <v>10</v>
      </c>
      <c r="N283" s="190">
        <v>1</v>
      </c>
      <c r="O283" s="189"/>
    </row>
    <row r="284" spans="1:15" ht="11.1" customHeight="1" x14ac:dyDescent="0.2">
      <c r="A284" s="186" t="s">
        <v>952</v>
      </c>
      <c r="B284" s="186" t="s">
        <v>1089</v>
      </c>
      <c r="C284" s="187">
        <v>3</v>
      </c>
      <c r="D284" s="186" t="s">
        <v>674</v>
      </c>
      <c r="E284" s="186"/>
      <c r="F284" s="186" t="s">
        <v>1093</v>
      </c>
      <c r="G284" s="186" t="s">
        <v>1091</v>
      </c>
      <c r="H284" s="188">
        <v>3976</v>
      </c>
      <c r="I284" s="189"/>
      <c r="J284" s="186" t="s">
        <v>901</v>
      </c>
      <c r="K284" s="186"/>
      <c r="L284" s="186" t="s">
        <v>10</v>
      </c>
      <c r="M284" s="186" t="s">
        <v>10</v>
      </c>
      <c r="N284" s="190">
        <v>1</v>
      </c>
      <c r="O284" s="189"/>
    </row>
    <row r="285" spans="1:15" ht="11.1" customHeight="1" x14ac:dyDescent="0.2">
      <c r="A285" s="186" t="s">
        <v>952</v>
      </c>
      <c r="B285" s="186" t="s">
        <v>1089</v>
      </c>
      <c r="C285" s="187">
        <v>4</v>
      </c>
      <c r="D285" s="186" t="s">
        <v>674</v>
      </c>
      <c r="E285" s="186"/>
      <c r="F285" s="186" t="s">
        <v>1094</v>
      </c>
      <c r="G285" s="186" t="s">
        <v>1091</v>
      </c>
      <c r="H285" s="188">
        <v>3976</v>
      </c>
      <c r="I285" s="189"/>
      <c r="J285" s="186" t="s">
        <v>901</v>
      </c>
      <c r="K285" s="186"/>
      <c r="L285" s="186" t="s">
        <v>10</v>
      </c>
      <c r="M285" s="186" t="s">
        <v>10</v>
      </c>
      <c r="N285" s="190">
        <v>1</v>
      </c>
      <c r="O285" s="189"/>
    </row>
    <row r="286" spans="1:15" ht="11.1" customHeight="1" x14ac:dyDescent="0.2">
      <c r="A286" s="186" t="s">
        <v>952</v>
      </c>
      <c r="B286" s="186" t="s">
        <v>1089</v>
      </c>
      <c r="C286" s="187">
        <v>5</v>
      </c>
      <c r="D286" s="186" t="s">
        <v>674</v>
      </c>
      <c r="E286" s="186"/>
      <c r="F286" s="186" t="s">
        <v>1095</v>
      </c>
      <c r="G286" s="186" t="s">
        <v>1091</v>
      </c>
      <c r="H286" s="188">
        <v>3094</v>
      </c>
      <c r="I286" s="189"/>
      <c r="J286" s="186" t="s">
        <v>901</v>
      </c>
      <c r="K286" s="186"/>
      <c r="L286" s="186" t="s">
        <v>10</v>
      </c>
      <c r="M286" s="186" t="s">
        <v>10</v>
      </c>
      <c r="N286" s="190">
        <v>1</v>
      </c>
      <c r="O286" s="189"/>
    </row>
    <row r="287" spans="1:15" ht="11.1" customHeight="1" x14ac:dyDescent="0.2">
      <c r="A287" s="186" t="s">
        <v>952</v>
      </c>
      <c r="B287" s="186" t="s">
        <v>1089</v>
      </c>
      <c r="C287" s="187">
        <v>6</v>
      </c>
      <c r="D287" s="186" t="s">
        <v>674</v>
      </c>
      <c r="E287" s="186"/>
      <c r="F287" s="186" t="s">
        <v>1096</v>
      </c>
      <c r="G287" s="186" t="s">
        <v>1091</v>
      </c>
      <c r="H287" s="188">
        <v>1090</v>
      </c>
      <c r="I287" s="189"/>
      <c r="J287" s="186" t="s">
        <v>1097</v>
      </c>
      <c r="K287" s="186"/>
      <c r="L287" s="186" t="s">
        <v>10</v>
      </c>
      <c r="M287" s="186" t="s">
        <v>10</v>
      </c>
      <c r="N287" s="190">
        <v>1</v>
      </c>
      <c r="O287" s="189"/>
    </row>
    <row r="288" spans="1:15" ht="11.1" customHeight="1" x14ac:dyDescent="0.2">
      <c r="A288" s="186" t="s">
        <v>952</v>
      </c>
      <c r="B288" s="186" t="s">
        <v>1098</v>
      </c>
      <c r="C288" s="187">
        <v>1</v>
      </c>
      <c r="D288" s="186" t="s">
        <v>80</v>
      </c>
      <c r="E288" s="186"/>
      <c r="F288" s="186" t="s">
        <v>935</v>
      </c>
      <c r="G288" s="186"/>
      <c r="H288" s="188">
        <v>2340</v>
      </c>
      <c r="I288" s="189"/>
      <c r="J288" s="186" t="s">
        <v>948</v>
      </c>
      <c r="K288" s="186" t="s">
        <v>1099</v>
      </c>
      <c r="L288" s="186" t="s">
        <v>10</v>
      </c>
      <c r="M288" s="186" t="s">
        <v>10</v>
      </c>
      <c r="N288" s="190">
        <v>1</v>
      </c>
      <c r="O288" s="189"/>
    </row>
    <row r="289" spans="1:15" ht="11.1" customHeight="1" x14ac:dyDescent="0.2">
      <c r="A289" s="186" t="s">
        <v>952</v>
      </c>
      <c r="B289" s="186" t="s">
        <v>1098</v>
      </c>
      <c r="C289" s="187">
        <v>2</v>
      </c>
      <c r="D289" s="186" t="s">
        <v>80</v>
      </c>
      <c r="E289" s="186"/>
      <c r="F289" s="186" t="s">
        <v>947</v>
      </c>
      <c r="G289" s="186"/>
      <c r="H289" s="188">
        <v>2670</v>
      </c>
      <c r="I289" s="189"/>
      <c r="J289" s="186" t="s">
        <v>948</v>
      </c>
      <c r="K289" s="186" t="s">
        <v>1099</v>
      </c>
      <c r="L289" s="186" t="s">
        <v>10</v>
      </c>
      <c r="M289" s="186" t="s">
        <v>10</v>
      </c>
      <c r="N289" s="190">
        <v>1</v>
      </c>
      <c r="O289" s="189"/>
    </row>
    <row r="290" spans="1:15" ht="11.1" customHeight="1" x14ac:dyDescent="0.2">
      <c r="A290" s="186" t="s">
        <v>952</v>
      </c>
      <c r="B290" s="186" t="s">
        <v>1100</v>
      </c>
      <c r="C290" s="187">
        <v>1</v>
      </c>
      <c r="D290" s="186" t="s">
        <v>78</v>
      </c>
      <c r="E290" s="186"/>
      <c r="F290" s="186" t="s">
        <v>935</v>
      </c>
      <c r="G290" s="186"/>
      <c r="H290" s="188">
        <v>1780</v>
      </c>
      <c r="I290" s="189"/>
      <c r="J290" s="186" t="s">
        <v>948</v>
      </c>
      <c r="K290" s="186" t="s">
        <v>1101</v>
      </c>
      <c r="L290" s="186" t="s">
        <v>10</v>
      </c>
      <c r="M290" s="186" t="s">
        <v>10</v>
      </c>
      <c r="N290" s="190">
        <v>1</v>
      </c>
      <c r="O290" s="189"/>
    </row>
    <row r="291" spans="1:15" ht="11.1" customHeight="1" x14ac:dyDescent="0.2">
      <c r="A291" s="186" t="s">
        <v>952</v>
      </c>
      <c r="B291" s="186" t="s">
        <v>1100</v>
      </c>
      <c r="C291" s="187">
        <v>2</v>
      </c>
      <c r="D291" s="186" t="s">
        <v>78</v>
      </c>
      <c r="E291" s="186"/>
      <c r="F291" s="186" t="s">
        <v>947</v>
      </c>
      <c r="G291" s="186"/>
      <c r="H291" s="188">
        <v>1960</v>
      </c>
      <c r="I291" s="189"/>
      <c r="J291" s="186" t="s">
        <v>948</v>
      </c>
      <c r="K291" s="186" t="s">
        <v>1101</v>
      </c>
      <c r="L291" s="186" t="s">
        <v>10</v>
      </c>
      <c r="M291" s="186" t="s">
        <v>10</v>
      </c>
      <c r="N291" s="190">
        <v>1</v>
      </c>
      <c r="O291" s="189"/>
    </row>
    <row r="292" spans="1:15" ht="11.1" customHeight="1" x14ac:dyDescent="0.2">
      <c r="A292" s="186" t="s">
        <v>952</v>
      </c>
      <c r="B292" s="186" t="s">
        <v>1102</v>
      </c>
      <c r="C292" s="187">
        <v>1</v>
      </c>
      <c r="D292" s="186" t="s">
        <v>731</v>
      </c>
      <c r="E292" s="186"/>
      <c r="F292" s="186" t="s">
        <v>935</v>
      </c>
      <c r="G292" s="186"/>
      <c r="H292" s="188">
        <v>3620</v>
      </c>
      <c r="I292" s="189"/>
      <c r="J292" s="186" t="s">
        <v>948</v>
      </c>
      <c r="K292" s="186" t="s">
        <v>1000</v>
      </c>
      <c r="L292" s="186" t="s">
        <v>10</v>
      </c>
      <c r="M292" s="186" t="s">
        <v>10</v>
      </c>
      <c r="N292" s="190">
        <v>1</v>
      </c>
      <c r="O292" s="189"/>
    </row>
    <row r="293" spans="1:15" ht="11.1" customHeight="1" x14ac:dyDescent="0.2">
      <c r="A293" s="186" t="s">
        <v>952</v>
      </c>
      <c r="B293" s="186" t="s">
        <v>1102</v>
      </c>
      <c r="C293" s="187">
        <v>2</v>
      </c>
      <c r="D293" s="186" t="s">
        <v>731</v>
      </c>
      <c r="E293" s="186"/>
      <c r="F293" s="186" t="s">
        <v>947</v>
      </c>
      <c r="G293" s="186"/>
      <c r="H293" s="188">
        <v>4090</v>
      </c>
      <c r="I293" s="189"/>
      <c r="J293" s="186" t="s">
        <v>948</v>
      </c>
      <c r="K293" s="186" t="s">
        <v>1000</v>
      </c>
      <c r="L293" s="186" t="s">
        <v>10</v>
      </c>
      <c r="M293" s="186" t="s">
        <v>10</v>
      </c>
      <c r="N293" s="190">
        <v>1</v>
      </c>
      <c r="O293" s="189"/>
    </row>
    <row r="294" spans="1:15" ht="11.1" customHeight="1" x14ac:dyDescent="0.2">
      <c r="A294" s="186" t="s">
        <v>952</v>
      </c>
      <c r="B294" s="186" t="s">
        <v>1103</v>
      </c>
      <c r="C294" s="187">
        <v>1</v>
      </c>
      <c r="D294" s="186" t="s">
        <v>1104</v>
      </c>
      <c r="E294" s="186"/>
      <c r="F294" s="186" t="s">
        <v>1105</v>
      </c>
      <c r="G294" s="186"/>
      <c r="H294" s="188">
        <v>1900</v>
      </c>
      <c r="I294" s="189"/>
      <c r="J294" s="186" t="s">
        <v>936</v>
      </c>
      <c r="K294" s="186"/>
      <c r="L294" s="186" t="s">
        <v>10</v>
      </c>
      <c r="M294" s="186" t="s">
        <v>10</v>
      </c>
      <c r="N294" s="190">
        <v>1</v>
      </c>
      <c r="O294" s="189"/>
    </row>
    <row r="295" spans="1:15" ht="11.1" customHeight="1" x14ac:dyDescent="0.2">
      <c r="A295" s="186" t="s">
        <v>952</v>
      </c>
      <c r="B295" s="186" t="s">
        <v>1106</v>
      </c>
      <c r="C295" s="187">
        <v>1</v>
      </c>
      <c r="D295" s="186" t="s">
        <v>1107</v>
      </c>
      <c r="E295" s="186"/>
      <c r="F295" s="186" t="s">
        <v>1105</v>
      </c>
      <c r="G295" s="186"/>
      <c r="H295" s="188">
        <v>1900</v>
      </c>
      <c r="I295" s="189"/>
      <c r="J295" s="186" t="s">
        <v>936</v>
      </c>
      <c r="K295" s="186"/>
      <c r="L295" s="186" t="s">
        <v>10</v>
      </c>
      <c r="M295" s="186" t="s">
        <v>10</v>
      </c>
      <c r="N295" s="190">
        <v>1</v>
      </c>
      <c r="O295" s="189"/>
    </row>
    <row r="296" spans="1:15" ht="11.1" customHeight="1" x14ac:dyDescent="0.2">
      <c r="A296" s="186" t="s">
        <v>952</v>
      </c>
      <c r="B296" s="186" t="s">
        <v>1108</v>
      </c>
      <c r="C296" s="187">
        <v>1</v>
      </c>
      <c r="D296" s="186" t="s">
        <v>865</v>
      </c>
      <c r="E296" s="186"/>
      <c r="F296" s="186" t="s">
        <v>935</v>
      </c>
      <c r="G296" s="186"/>
      <c r="H296" s="188">
        <v>3340</v>
      </c>
      <c r="I296" s="189"/>
      <c r="J296" s="186" t="s">
        <v>948</v>
      </c>
      <c r="K296" s="186" t="s">
        <v>946</v>
      </c>
      <c r="L296" s="186" t="s">
        <v>10</v>
      </c>
      <c r="M296" s="186" t="s">
        <v>10</v>
      </c>
      <c r="N296" s="190">
        <v>1</v>
      </c>
      <c r="O296" s="189"/>
    </row>
    <row r="297" spans="1:15" ht="11.1" customHeight="1" x14ac:dyDescent="0.2">
      <c r="A297" s="186" t="s">
        <v>952</v>
      </c>
      <c r="B297" s="186" t="s">
        <v>1108</v>
      </c>
      <c r="C297" s="187">
        <v>2</v>
      </c>
      <c r="D297" s="186" t="s">
        <v>865</v>
      </c>
      <c r="E297" s="186"/>
      <c r="F297" s="186" t="s">
        <v>947</v>
      </c>
      <c r="G297" s="186"/>
      <c r="H297" s="188">
        <v>3830</v>
      </c>
      <c r="I297" s="189"/>
      <c r="J297" s="186" t="s">
        <v>948</v>
      </c>
      <c r="K297" s="186" t="s">
        <v>946</v>
      </c>
      <c r="L297" s="186" t="s">
        <v>10</v>
      </c>
      <c r="M297" s="186" t="s">
        <v>10</v>
      </c>
      <c r="N297" s="190">
        <v>1</v>
      </c>
      <c r="O297" s="189"/>
    </row>
    <row r="298" spans="1:15" ht="11.1" customHeight="1" x14ac:dyDescent="0.2">
      <c r="A298" s="186" t="s">
        <v>952</v>
      </c>
      <c r="B298" s="186" t="s">
        <v>1109</v>
      </c>
      <c r="C298" s="187">
        <v>1</v>
      </c>
      <c r="D298" s="186" t="s">
        <v>866</v>
      </c>
      <c r="E298" s="186"/>
      <c r="F298" s="186" t="s">
        <v>935</v>
      </c>
      <c r="G298" s="186"/>
      <c r="H298" s="188">
        <v>3340</v>
      </c>
      <c r="I298" s="189"/>
      <c r="J298" s="186" t="s">
        <v>948</v>
      </c>
      <c r="K298" s="186" t="s">
        <v>946</v>
      </c>
      <c r="L298" s="186" t="s">
        <v>10</v>
      </c>
      <c r="M298" s="186" t="s">
        <v>10</v>
      </c>
      <c r="N298" s="190">
        <v>1</v>
      </c>
      <c r="O298" s="189"/>
    </row>
    <row r="299" spans="1:15" ht="11.1" customHeight="1" x14ac:dyDescent="0.2">
      <c r="A299" s="186" t="s">
        <v>952</v>
      </c>
      <c r="B299" s="186" t="s">
        <v>1109</v>
      </c>
      <c r="C299" s="187">
        <v>2</v>
      </c>
      <c r="D299" s="186" t="s">
        <v>866</v>
      </c>
      <c r="E299" s="186"/>
      <c r="F299" s="186" t="s">
        <v>947</v>
      </c>
      <c r="G299" s="186"/>
      <c r="H299" s="188">
        <v>3210</v>
      </c>
      <c r="I299" s="189"/>
      <c r="J299" s="186" t="s">
        <v>948</v>
      </c>
      <c r="K299" s="186" t="s">
        <v>946</v>
      </c>
      <c r="L299" s="186" t="s">
        <v>10</v>
      </c>
      <c r="M299" s="186" t="s">
        <v>10</v>
      </c>
      <c r="N299" s="190">
        <v>1</v>
      </c>
      <c r="O299" s="189"/>
    </row>
    <row r="300" spans="1:15" ht="11.1" customHeight="1" x14ac:dyDescent="0.2">
      <c r="A300" s="186" t="s">
        <v>952</v>
      </c>
      <c r="B300" s="186" t="s">
        <v>1110</v>
      </c>
      <c r="C300" s="187">
        <v>1</v>
      </c>
      <c r="D300" s="186" t="s">
        <v>1111</v>
      </c>
      <c r="E300" s="186"/>
      <c r="F300" s="186" t="s">
        <v>935</v>
      </c>
      <c r="G300" s="186"/>
      <c r="H300" s="188">
        <v>7480</v>
      </c>
      <c r="I300" s="189"/>
      <c r="J300" s="186" t="s">
        <v>948</v>
      </c>
      <c r="K300" s="186" t="s">
        <v>937</v>
      </c>
      <c r="L300" s="186" t="s">
        <v>10</v>
      </c>
      <c r="M300" s="186" t="s">
        <v>10</v>
      </c>
      <c r="N300" s="190">
        <v>1</v>
      </c>
      <c r="O300" s="189"/>
    </row>
    <row r="301" spans="1:15" ht="11.1" customHeight="1" x14ac:dyDescent="0.2">
      <c r="A301" s="186" t="s">
        <v>952</v>
      </c>
      <c r="B301" s="186" t="s">
        <v>1110</v>
      </c>
      <c r="C301" s="187">
        <v>2</v>
      </c>
      <c r="D301" s="186" t="s">
        <v>1111</v>
      </c>
      <c r="E301" s="186"/>
      <c r="F301" s="186" t="s">
        <v>947</v>
      </c>
      <c r="G301" s="186"/>
      <c r="H301" s="188">
        <v>8490</v>
      </c>
      <c r="I301" s="189"/>
      <c r="J301" s="186" t="s">
        <v>948</v>
      </c>
      <c r="K301" s="186" t="s">
        <v>937</v>
      </c>
      <c r="L301" s="186" t="s">
        <v>10</v>
      </c>
      <c r="M301" s="186" t="s">
        <v>10</v>
      </c>
      <c r="N301" s="190">
        <v>1</v>
      </c>
      <c r="O301" s="189"/>
    </row>
    <row r="302" spans="1:15" ht="11.1" customHeight="1" x14ac:dyDescent="0.2">
      <c r="A302" s="186" t="s">
        <v>952</v>
      </c>
      <c r="B302" s="186" t="s">
        <v>1112</v>
      </c>
      <c r="C302" s="187">
        <v>1</v>
      </c>
      <c r="D302" s="186" t="s">
        <v>1113</v>
      </c>
      <c r="E302" s="186"/>
      <c r="F302" s="186" t="s">
        <v>935</v>
      </c>
      <c r="G302" s="186"/>
      <c r="H302" s="188">
        <v>7320</v>
      </c>
      <c r="I302" s="189"/>
      <c r="J302" s="186" t="s">
        <v>948</v>
      </c>
      <c r="K302" s="186" t="s">
        <v>937</v>
      </c>
      <c r="L302" s="186" t="s">
        <v>10</v>
      </c>
      <c r="M302" s="186" t="s">
        <v>10</v>
      </c>
      <c r="N302" s="190">
        <v>1</v>
      </c>
      <c r="O302" s="189"/>
    </row>
    <row r="303" spans="1:15" ht="11.1" customHeight="1" x14ac:dyDescent="0.2">
      <c r="A303" s="186" t="s">
        <v>952</v>
      </c>
      <c r="B303" s="186" t="s">
        <v>1112</v>
      </c>
      <c r="C303" s="187">
        <v>2</v>
      </c>
      <c r="D303" s="186" t="s">
        <v>1113</v>
      </c>
      <c r="E303" s="186"/>
      <c r="F303" s="186" t="s">
        <v>947</v>
      </c>
      <c r="G303" s="186"/>
      <c r="H303" s="188">
        <v>8340</v>
      </c>
      <c r="I303" s="189"/>
      <c r="J303" s="186" t="s">
        <v>948</v>
      </c>
      <c r="K303" s="186" t="s">
        <v>937</v>
      </c>
      <c r="L303" s="186" t="s">
        <v>10</v>
      </c>
      <c r="M303" s="186" t="s">
        <v>10</v>
      </c>
      <c r="N303" s="190">
        <v>1</v>
      </c>
      <c r="O303" s="189"/>
    </row>
    <row r="304" spans="1:15" ht="11.1" customHeight="1" x14ac:dyDescent="0.2">
      <c r="A304" s="186" t="s">
        <v>952</v>
      </c>
      <c r="B304" s="186" t="s">
        <v>1114</v>
      </c>
      <c r="C304" s="187">
        <v>1</v>
      </c>
      <c r="D304" s="186" t="s">
        <v>863</v>
      </c>
      <c r="E304" s="186"/>
      <c r="F304" s="186" t="s">
        <v>935</v>
      </c>
      <c r="G304" s="186"/>
      <c r="H304" s="188">
        <v>2530</v>
      </c>
      <c r="I304" s="189"/>
      <c r="J304" s="186" t="s">
        <v>948</v>
      </c>
      <c r="K304" s="186" t="s">
        <v>951</v>
      </c>
      <c r="L304" s="186" t="s">
        <v>10</v>
      </c>
      <c r="M304" s="186" t="s">
        <v>10</v>
      </c>
      <c r="N304" s="190">
        <v>1</v>
      </c>
      <c r="O304" s="189"/>
    </row>
    <row r="305" spans="1:15" ht="11.1" customHeight="1" x14ac:dyDescent="0.2">
      <c r="A305" s="186" t="s">
        <v>952</v>
      </c>
      <c r="B305" s="186" t="s">
        <v>1114</v>
      </c>
      <c r="C305" s="187">
        <v>2</v>
      </c>
      <c r="D305" s="186" t="s">
        <v>863</v>
      </c>
      <c r="E305" s="186"/>
      <c r="F305" s="186" t="s">
        <v>947</v>
      </c>
      <c r="G305" s="186"/>
      <c r="H305" s="188">
        <v>2820</v>
      </c>
      <c r="I305" s="189"/>
      <c r="J305" s="186" t="s">
        <v>948</v>
      </c>
      <c r="K305" s="186" t="s">
        <v>951</v>
      </c>
      <c r="L305" s="186" t="s">
        <v>10</v>
      </c>
      <c r="M305" s="186" t="s">
        <v>10</v>
      </c>
      <c r="N305" s="190">
        <v>1</v>
      </c>
      <c r="O305" s="189"/>
    </row>
    <row r="306" spans="1:15" ht="11.1" customHeight="1" x14ac:dyDescent="0.2">
      <c r="A306" s="186" t="s">
        <v>952</v>
      </c>
      <c r="B306" s="186" t="s">
        <v>1115</v>
      </c>
      <c r="C306" s="187">
        <v>1</v>
      </c>
      <c r="D306" s="186" t="s">
        <v>1116</v>
      </c>
      <c r="E306" s="186"/>
      <c r="F306" s="186" t="s">
        <v>1117</v>
      </c>
      <c r="G306" s="186"/>
      <c r="H306" s="190">
        <v>400</v>
      </c>
      <c r="I306" s="189"/>
      <c r="J306" s="186" t="s">
        <v>936</v>
      </c>
      <c r="K306" s="186"/>
      <c r="L306" s="186" t="s">
        <v>10</v>
      </c>
      <c r="M306" s="186" t="s">
        <v>10</v>
      </c>
      <c r="N306" s="190">
        <v>1</v>
      </c>
      <c r="O306" s="189"/>
    </row>
    <row r="307" spans="1:15" ht="11.1" customHeight="1" x14ac:dyDescent="0.2">
      <c r="A307" s="186" t="s">
        <v>952</v>
      </c>
      <c r="B307" s="186" t="s">
        <v>1118</v>
      </c>
      <c r="C307" s="187">
        <v>1</v>
      </c>
      <c r="D307" s="186" t="s">
        <v>864</v>
      </c>
      <c r="E307" s="186"/>
      <c r="F307" s="186" t="s">
        <v>935</v>
      </c>
      <c r="G307" s="186"/>
      <c r="H307" s="188">
        <v>2530</v>
      </c>
      <c r="I307" s="189"/>
      <c r="J307" s="186" t="s">
        <v>948</v>
      </c>
      <c r="K307" s="186" t="s">
        <v>951</v>
      </c>
      <c r="L307" s="186" t="s">
        <v>10</v>
      </c>
      <c r="M307" s="186" t="s">
        <v>10</v>
      </c>
      <c r="N307" s="190">
        <v>1</v>
      </c>
      <c r="O307" s="189"/>
    </row>
    <row r="308" spans="1:15" ht="11.1" customHeight="1" x14ac:dyDescent="0.2">
      <c r="A308" s="186" t="s">
        <v>952</v>
      </c>
      <c r="B308" s="186" t="s">
        <v>1118</v>
      </c>
      <c r="C308" s="187">
        <v>2</v>
      </c>
      <c r="D308" s="186" t="s">
        <v>864</v>
      </c>
      <c r="E308" s="186"/>
      <c r="F308" s="186" t="s">
        <v>947</v>
      </c>
      <c r="G308" s="186"/>
      <c r="H308" s="188">
        <v>2820</v>
      </c>
      <c r="I308" s="189"/>
      <c r="J308" s="186" t="s">
        <v>948</v>
      </c>
      <c r="K308" s="186" t="s">
        <v>951</v>
      </c>
      <c r="L308" s="186" t="s">
        <v>10</v>
      </c>
      <c r="M308" s="186" t="s">
        <v>10</v>
      </c>
      <c r="N308" s="190">
        <v>1</v>
      </c>
      <c r="O308" s="189"/>
    </row>
    <row r="309" spans="1:15" ht="11.1" customHeight="1" x14ac:dyDescent="0.2">
      <c r="A309" s="186" t="s">
        <v>952</v>
      </c>
      <c r="B309" s="186" t="s">
        <v>1119</v>
      </c>
      <c r="C309" s="187">
        <v>3</v>
      </c>
      <c r="D309" s="186" t="s">
        <v>1120</v>
      </c>
      <c r="E309" s="186"/>
      <c r="F309" s="186" t="s">
        <v>900</v>
      </c>
      <c r="G309" s="186"/>
      <c r="H309" s="188">
        <v>11083.4458</v>
      </c>
      <c r="I309" s="189"/>
      <c r="J309" s="186" t="s">
        <v>901</v>
      </c>
      <c r="K309" s="186"/>
      <c r="L309" s="186" t="s">
        <v>10</v>
      </c>
      <c r="M309" s="186" t="s">
        <v>10</v>
      </c>
      <c r="N309" s="190">
        <v>1</v>
      </c>
      <c r="O309" s="189"/>
    </row>
    <row r="310" spans="1:15" ht="11.1" customHeight="1" x14ac:dyDescent="0.2">
      <c r="A310" s="186" t="s">
        <v>952</v>
      </c>
      <c r="B310" s="186" t="s">
        <v>1119</v>
      </c>
      <c r="C310" s="187">
        <v>17</v>
      </c>
      <c r="D310" s="186" t="s">
        <v>1120</v>
      </c>
      <c r="E310" s="186"/>
      <c r="F310" s="186" t="s">
        <v>902</v>
      </c>
      <c r="G310" s="186"/>
      <c r="H310" s="188">
        <v>13853.3073</v>
      </c>
      <c r="I310" s="189"/>
      <c r="J310" s="186" t="s">
        <v>901</v>
      </c>
      <c r="K310" s="186"/>
      <c r="L310" s="186" t="s">
        <v>10</v>
      </c>
      <c r="M310" s="186" t="s">
        <v>10</v>
      </c>
      <c r="N310" s="190">
        <v>1</v>
      </c>
      <c r="O310" s="189"/>
    </row>
    <row r="311" spans="1:15" ht="11.1" customHeight="1" x14ac:dyDescent="0.2">
      <c r="A311" s="186" t="s">
        <v>952</v>
      </c>
      <c r="B311" s="186" t="s">
        <v>1119</v>
      </c>
      <c r="C311" s="187">
        <v>1</v>
      </c>
      <c r="D311" s="186" t="s">
        <v>1120</v>
      </c>
      <c r="E311" s="186"/>
      <c r="F311" s="186" t="s">
        <v>903</v>
      </c>
      <c r="G311" s="186"/>
      <c r="H311" s="188">
        <v>6465.6767</v>
      </c>
      <c r="I311" s="189"/>
      <c r="J311" s="186" t="s">
        <v>901</v>
      </c>
      <c r="K311" s="186"/>
      <c r="L311" s="186" t="s">
        <v>10</v>
      </c>
      <c r="M311" s="186" t="s">
        <v>10</v>
      </c>
      <c r="N311" s="190">
        <v>1</v>
      </c>
      <c r="O311" s="189"/>
    </row>
    <row r="312" spans="1:15" ht="11.1" customHeight="1" x14ac:dyDescent="0.2">
      <c r="A312" s="186" t="s">
        <v>952</v>
      </c>
      <c r="B312" s="186" t="s">
        <v>1119</v>
      </c>
      <c r="C312" s="187">
        <v>15</v>
      </c>
      <c r="D312" s="186" t="s">
        <v>1120</v>
      </c>
      <c r="E312" s="186"/>
      <c r="F312" s="186" t="s">
        <v>904</v>
      </c>
      <c r="G312" s="186"/>
      <c r="H312" s="188">
        <v>8081.5959000000003</v>
      </c>
      <c r="I312" s="189"/>
      <c r="J312" s="186" t="s">
        <v>901</v>
      </c>
      <c r="K312" s="186"/>
      <c r="L312" s="186" t="s">
        <v>10</v>
      </c>
      <c r="M312" s="186" t="s">
        <v>10</v>
      </c>
      <c r="N312" s="190">
        <v>1</v>
      </c>
      <c r="O312" s="189"/>
    </row>
    <row r="313" spans="1:15" ht="11.1" customHeight="1" x14ac:dyDescent="0.2">
      <c r="A313" s="186" t="s">
        <v>952</v>
      </c>
      <c r="B313" s="186" t="s">
        <v>1119</v>
      </c>
      <c r="C313" s="187">
        <v>2</v>
      </c>
      <c r="D313" s="186" t="s">
        <v>1120</v>
      </c>
      <c r="E313" s="186"/>
      <c r="F313" s="186" t="s">
        <v>905</v>
      </c>
      <c r="G313" s="186"/>
      <c r="H313" s="188">
        <v>9297.5350999999991</v>
      </c>
      <c r="I313" s="189"/>
      <c r="J313" s="186" t="s">
        <v>901</v>
      </c>
      <c r="K313" s="186"/>
      <c r="L313" s="186" t="s">
        <v>10</v>
      </c>
      <c r="M313" s="186" t="s">
        <v>10</v>
      </c>
      <c r="N313" s="190">
        <v>1</v>
      </c>
      <c r="O313" s="189"/>
    </row>
    <row r="314" spans="1:15" ht="11.1" customHeight="1" x14ac:dyDescent="0.2">
      <c r="A314" s="186" t="s">
        <v>952</v>
      </c>
      <c r="B314" s="186" t="s">
        <v>1119</v>
      </c>
      <c r="C314" s="187">
        <v>16</v>
      </c>
      <c r="D314" s="186" t="s">
        <v>1120</v>
      </c>
      <c r="E314" s="186"/>
      <c r="F314" s="186" t="s">
        <v>906</v>
      </c>
      <c r="G314" s="186"/>
      <c r="H314" s="188">
        <v>11619.419</v>
      </c>
      <c r="I314" s="189"/>
      <c r="J314" s="186" t="s">
        <v>901</v>
      </c>
      <c r="K314" s="186"/>
      <c r="L314" s="186" t="s">
        <v>10</v>
      </c>
      <c r="M314" s="186" t="s">
        <v>10</v>
      </c>
      <c r="N314" s="190">
        <v>1</v>
      </c>
      <c r="O314" s="189"/>
    </row>
    <row r="315" spans="1:15" ht="11.1" customHeight="1" x14ac:dyDescent="0.2">
      <c r="A315" s="186" t="s">
        <v>952</v>
      </c>
      <c r="B315" s="186" t="s">
        <v>1119</v>
      </c>
      <c r="C315" s="187">
        <v>4</v>
      </c>
      <c r="D315" s="186" t="s">
        <v>1120</v>
      </c>
      <c r="E315" s="186"/>
      <c r="F315" s="186" t="s">
        <v>907</v>
      </c>
      <c r="G315" s="186"/>
      <c r="H315" s="188">
        <v>7841.6079</v>
      </c>
      <c r="I315" s="189"/>
      <c r="J315" s="186" t="s">
        <v>901</v>
      </c>
      <c r="K315" s="186"/>
      <c r="L315" s="186" t="s">
        <v>10</v>
      </c>
      <c r="M315" s="186" t="s">
        <v>10</v>
      </c>
      <c r="N315" s="190">
        <v>1</v>
      </c>
      <c r="O315" s="189"/>
    </row>
    <row r="316" spans="1:15" ht="11.1" customHeight="1" x14ac:dyDescent="0.2">
      <c r="A316" s="186" t="s">
        <v>952</v>
      </c>
      <c r="B316" s="186" t="s">
        <v>1119</v>
      </c>
      <c r="C316" s="187">
        <v>18</v>
      </c>
      <c r="D316" s="186" t="s">
        <v>1120</v>
      </c>
      <c r="E316" s="186"/>
      <c r="F316" s="186" t="s">
        <v>908</v>
      </c>
      <c r="G316" s="186"/>
      <c r="H316" s="188">
        <v>9799.51</v>
      </c>
      <c r="I316" s="189"/>
      <c r="J316" s="186" t="s">
        <v>901</v>
      </c>
      <c r="K316" s="186"/>
      <c r="L316" s="186" t="s">
        <v>10</v>
      </c>
      <c r="M316" s="186" t="s">
        <v>10</v>
      </c>
      <c r="N316" s="190">
        <v>1</v>
      </c>
      <c r="O316" s="189"/>
    </row>
    <row r="317" spans="1:15" ht="11.1" customHeight="1" x14ac:dyDescent="0.2">
      <c r="A317" s="186" t="s">
        <v>952</v>
      </c>
      <c r="B317" s="186" t="s">
        <v>1119</v>
      </c>
      <c r="C317" s="187">
        <v>5</v>
      </c>
      <c r="D317" s="186" t="s">
        <v>1120</v>
      </c>
      <c r="E317" s="186"/>
      <c r="F317" s="186" t="s">
        <v>909</v>
      </c>
      <c r="G317" s="186"/>
      <c r="H317" s="188">
        <v>11083.4458</v>
      </c>
      <c r="I317" s="189"/>
      <c r="J317" s="186" t="s">
        <v>901</v>
      </c>
      <c r="K317" s="186"/>
      <c r="L317" s="186" t="s">
        <v>10</v>
      </c>
      <c r="M317" s="186" t="s">
        <v>10</v>
      </c>
      <c r="N317" s="190">
        <v>1</v>
      </c>
      <c r="O317" s="189"/>
    </row>
    <row r="318" spans="1:15" ht="11.1" customHeight="1" x14ac:dyDescent="0.2">
      <c r="A318" s="186" t="s">
        <v>952</v>
      </c>
      <c r="B318" s="186" t="s">
        <v>1119</v>
      </c>
      <c r="C318" s="187">
        <v>19</v>
      </c>
      <c r="D318" s="186" t="s">
        <v>1120</v>
      </c>
      <c r="E318" s="186"/>
      <c r="F318" s="186" t="s">
        <v>910</v>
      </c>
      <c r="G318" s="186"/>
      <c r="H318" s="188">
        <v>13853.3073</v>
      </c>
      <c r="I318" s="189"/>
      <c r="J318" s="186" t="s">
        <v>901</v>
      </c>
      <c r="K318" s="186"/>
      <c r="L318" s="186" t="s">
        <v>10</v>
      </c>
      <c r="M318" s="186" t="s">
        <v>10</v>
      </c>
      <c r="N318" s="190">
        <v>1</v>
      </c>
      <c r="O318" s="189"/>
    </row>
    <row r="319" spans="1:15" ht="11.1" customHeight="1" x14ac:dyDescent="0.2">
      <c r="A319" s="186" t="s">
        <v>952</v>
      </c>
      <c r="B319" s="186" t="s">
        <v>1119</v>
      </c>
      <c r="C319" s="187">
        <v>6</v>
      </c>
      <c r="D319" s="186" t="s">
        <v>1120</v>
      </c>
      <c r="E319" s="186"/>
      <c r="F319" s="186" t="s">
        <v>911</v>
      </c>
      <c r="G319" s="186"/>
      <c r="H319" s="188">
        <v>12865.3567</v>
      </c>
      <c r="I319" s="189"/>
      <c r="J319" s="186" t="s">
        <v>901</v>
      </c>
      <c r="K319" s="186"/>
      <c r="L319" s="186" t="s">
        <v>10</v>
      </c>
      <c r="M319" s="186" t="s">
        <v>10</v>
      </c>
      <c r="N319" s="190">
        <v>1</v>
      </c>
      <c r="O319" s="189"/>
    </row>
    <row r="320" spans="1:15" ht="11.1" customHeight="1" x14ac:dyDescent="0.2">
      <c r="A320" s="186" t="s">
        <v>952</v>
      </c>
      <c r="B320" s="186" t="s">
        <v>1119</v>
      </c>
      <c r="C320" s="187">
        <v>20</v>
      </c>
      <c r="D320" s="186" t="s">
        <v>1120</v>
      </c>
      <c r="E320" s="186"/>
      <c r="F320" s="186" t="s">
        <v>912</v>
      </c>
      <c r="G320" s="186"/>
      <c r="H320" s="188">
        <v>16081.195900000001</v>
      </c>
      <c r="I320" s="189"/>
      <c r="J320" s="186" t="s">
        <v>901</v>
      </c>
      <c r="K320" s="186"/>
      <c r="L320" s="186" t="s">
        <v>10</v>
      </c>
      <c r="M320" s="186" t="s">
        <v>10</v>
      </c>
      <c r="N320" s="190">
        <v>1</v>
      </c>
      <c r="O320" s="189"/>
    </row>
    <row r="321" spans="1:15" ht="11.1" customHeight="1" x14ac:dyDescent="0.2">
      <c r="A321" s="186" t="s">
        <v>952</v>
      </c>
      <c r="B321" s="186" t="s">
        <v>1119</v>
      </c>
      <c r="C321" s="187">
        <v>7</v>
      </c>
      <c r="D321" s="186" t="s">
        <v>1120</v>
      </c>
      <c r="E321" s="186"/>
      <c r="F321" s="186" t="s">
        <v>913</v>
      </c>
      <c r="G321" s="186"/>
      <c r="H321" s="188">
        <v>14653.2673</v>
      </c>
      <c r="I321" s="189"/>
      <c r="J321" s="186" t="s">
        <v>901</v>
      </c>
      <c r="K321" s="186"/>
      <c r="L321" s="186" t="s">
        <v>10</v>
      </c>
      <c r="M321" s="186" t="s">
        <v>10</v>
      </c>
      <c r="N321" s="190">
        <v>1</v>
      </c>
      <c r="O321" s="189"/>
    </row>
    <row r="322" spans="1:15" ht="11.1" customHeight="1" x14ac:dyDescent="0.2">
      <c r="A322" s="186" t="s">
        <v>952</v>
      </c>
      <c r="B322" s="186" t="s">
        <v>1119</v>
      </c>
      <c r="C322" s="187">
        <v>21</v>
      </c>
      <c r="D322" s="186" t="s">
        <v>1120</v>
      </c>
      <c r="E322" s="186"/>
      <c r="F322" s="186" t="s">
        <v>914</v>
      </c>
      <c r="G322" s="186"/>
      <c r="H322" s="188">
        <v>18315.084200000001</v>
      </c>
      <c r="I322" s="189"/>
      <c r="J322" s="186" t="s">
        <v>901</v>
      </c>
      <c r="K322" s="186"/>
      <c r="L322" s="186" t="s">
        <v>10</v>
      </c>
      <c r="M322" s="186" t="s">
        <v>10</v>
      </c>
      <c r="N322" s="190">
        <v>1</v>
      </c>
      <c r="O322" s="189"/>
    </row>
    <row r="323" spans="1:15" ht="11.1" customHeight="1" x14ac:dyDescent="0.2">
      <c r="A323" s="186" t="s">
        <v>952</v>
      </c>
      <c r="B323" s="186" t="s">
        <v>1119</v>
      </c>
      <c r="C323" s="187">
        <v>8</v>
      </c>
      <c r="D323" s="186" t="s">
        <v>1120</v>
      </c>
      <c r="E323" s="186"/>
      <c r="F323" s="186" t="s">
        <v>915</v>
      </c>
      <c r="G323" s="186"/>
      <c r="H323" s="188">
        <v>7113.6442999999999</v>
      </c>
      <c r="I323" s="189"/>
      <c r="J323" s="186" t="s">
        <v>901</v>
      </c>
      <c r="K323" s="186"/>
      <c r="L323" s="186" t="s">
        <v>10</v>
      </c>
      <c r="M323" s="186" t="s">
        <v>10</v>
      </c>
      <c r="N323" s="190">
        <v>1</v>
      </c>
      <c r="O323" s="189"/>
    </row>
    <row r="324" spans="1:15" ht="11.1" customHeight="1" x14ac:dyDescent="0.2">
      <c r="A324" s="186" t="s">
        <v>952</v>
      </c>
      <c r="B324" s="186" t="s">
        <v>1119</v>
      </c>
      <c r="C324" s="187">
        <v>22</v>
      </c>
      <c r="D324" s="186" t="s">
        <v>1120</v>
      </c>
      <c r="E324" s="186"/>
      <c r="F324" s="186" t="s">
        <v>916</v>
      </c>
      <c r="G324" s="186"/>
      <c r="H324" s="188">
        <v>8889.5555000000004</v>
      </c>
      <c r="I324" s="189"/>
      <c r="J324" s="186" t="s">
        <v>901</v>
      </c>
      <c r="K324" s="186"/>
      <c r="L324" s="186" t="s">
        <v>10</v>
      </c>
      <c r="M324" s="186" t="s">
        <v>10</v>
      </c>
      <c r="N324" s="190">
        <v>1</v>
      </c>
      <c r="O324" s="189"/>
    </row>
    <row r="325" spans="1:15" ht="11.1" customHeight="1" x14ac:dyDescent="0.2">
      <c r="A325" s="186" t="s">
        <v>952</v>
      </c>
      <c r="B325" s="186" t="s">
        <v>1119</v>
      </c>
      <c r="C325" s="187">
        <v>9</v>
      </c>
      <c r="D325" s="186" t="s">
        <v>1120</v>
      </c>
      <c r="E325" s="186"/>
      <c r="F325" s="186" t="s">
        <v>917</v>
      </c>
      <c r="G325" s="186"/>
      <c r="H325" s="188">
        <v>10225.4887</v>
      </c>
      <c r="I325" s="189"/>
      <c r="J325" s="186" t="s">
        <v>901</v>
      </c>
      <c r="K325" s="186"/>
      <c r="L325" s="186" t="s">
        <v>10</v>
      </c>
      <c r="M325" s="186" t="s">
        <v>10</v>
      </c>
      <c r="N325" s="190">
        <v>1</v>
      </c>
      <c r="O325" s="189"/>
    </row>
    <row r="326" spans="1:15" ht="11.1" customHeight="1" x14ac:dyDescent="0.2">
      <c r="A326" s="186" t="s">
        <v>952</v>
      </c>
      <c r="B326" s="186" t="s">
        <v>1119</v>
      </c>
      <c r="C326" s="187">
        <v>23</v>
      </c>
      <c r="D326" s="186" t="s">
        <v>1120</v>
      </c>
      <c r="E326" s="186"/>
      <c r="F326" s="186" t="s">
        <v>918</v>
      </c>
      <c r="G326" s="186"/>
      <c r="H326" s="188">
        <v>12781.3609</v>
      </c>
      <c r="I326" s="189"/>
      <c r="J326" s="186" t="s">
        <v>901</v>
      </c>
      <c r="K326" s="186"/>
      <c r="L326" s="186" t="s">
        <v>10</v>
      </c>
      <c r="M326" s="186" t="s">
        <v>10</v>
      </c>
      <c r="N326" s="190">
        <v>1</v>
      </c>
      <c r="O326" s="189"/>
    </row>
    <row r="327" spans="1:15" ht="11.1" customHeight="1" x14ac:dyDescent="0.2">
      <c r="A327" s="186" t="s">
        <v>952</v>
      </c>
      <c r="B327" s="186" t="s">
        <v>1119</v>
      </c>
      <c r="C327" s="187">
        <v>10</v>
      </c>
      <c r="D327" s="186" t="s">
        <v>1120</v>
      </c>
      <c r="E327" s="186"/>
      <c r="F327" s="186" t="s">
        <v>919</v>
      </c>
      <c r="G327" s="186"/>
      <c r="H327" s="188">
        <v>12191.3904</v>
      </c>
      <c r="I327" s="189"/>
      <c r="J327" s="186" t="s">
        <v>901</v>
      </c>
      <c r="K327" s="186"/>
      <c r="L327" s="186" t="s">
        <v>10</v>
      </c>
      <c r="M327" s="186" t="s">
        <v>10</v>
      </c>
      <c r="N327" s="190">
        <v>1</v>
      </c>
      <c r="O327" s="189"/>
    </row>
    <row r="328" spans="1:15" ht="11.1" customHeight="1" x14ac:dyDescent="0.2">
      <c r="A328" s="186" t="s">
        <v>952</v>
      </c>
      <c r="B328" s="186" t="s">
        <v>1119</v>
      </c>
      <c r="C328" s="187">
        <v>24</v>
      </c>
      <c r="D328" s="186" t="s">
        <v>1120</v>
      </c>
      <c r="E328" s="186"/>
      <c r="F328" s="186" t="s">
        <v>920</v>
      </c>
      <c r="G328" s="186"/>
      <c r="H328" s="188">
        <v>15241.2379</v>
      </c>
      <c r="I328" s="189"/>
      <c r="J328" s="186" t="s">
        <v>901</v>
      </c>
      <c r="K328" s="186"/>
      <c r="L328" s="186" t="s">
        <v>10</v>
      </c>
      <c r="M328" s="186" t="s">
        <v>10</v>
      </c>
      <c r="N328" s="190">
        <v>1</v>
      </c>
      <c r="O328" s="189"/>
    </row>
    <row r="329" spans="1:15" ht="11.1" customHeight="1" x14ac:dyDescent="0.2">
      <c r="A329" s="186" t="s">
        <v>952</v>
      </c>
      <c r="B329" s="186" t="s">
        <v>1119</v>
      </c>
      <c r="C329" s="187">
        <v>11</v>
      </c>
      <c r="D329" s="186" t="s">
        <v>1120</v>
      </c>
      <c r="E329" s="186"/>
      <c r="F329" s="186" t="s">
        <v>921</v>
      </c>
      <c r="G329" s="186"/>
      <c r="H329" s="188">
        <v>8619.5689999999995</v>
      </c>
      <c r="I329" s="189"/>
      <c r="J329" s="186" t="s">
        <v>901</v>
      </c>
      <c r="K329" s="186"/>
      <c r="L329" s="186" t="s">
        <v>10</v>
      </c>
      <c r="M329" s="186" t="s">
        <v>10</v>
      </c>
      <c r="N329" s="190">
        <v>1</v>
      </c>
      <c r="O329" s="189"/>
    </row>
    <row r="330" spans="1:15" ht="11.1" customHeight="1" x14ac:dyDescent="0.2">
      <c r="A330" s="186" t="s">
        <v>952</v>
      </c>
      <c r="B330" s="186" t="s">
        <v>1119</v>
      </c>
      <c r="C330" s="187">
        <v>25</v>
      </c>
      <c r="D330" s="186" t="s">
        <v>1120</v>
      </c>
      <c r="E330" s="186"/>
      <c r="F330" s="186" t="s">
        <v>922</v>
      </c>
      <c r="G330" s="186"/>
      <c r="H330" s="188">
        <v>10773.461300000001</v>
      </c>
      <c r="I330" s="189"/>
      <c r="J330" s="186" t="s">
        <v>901</v>
      </c>
      <c r="K330" s="186"/>
      <c r="L330" s="186" t="s">
        <v>10</v>
      </c>
      <c r="M330" s="186" t="s">
        <v>10</v>
      </c>
      <c r="N330" s="190">
        <v>1</v>
      </c>
      <c r="O330" s="189"/>
    </row>
    <row r="331" spans="1:15" ht="11.1" customHeight="1" x14ac:dyDescent="0.2">
      <c r="A331" s="186" t="s">
        <v>952</v>
      </c>
      <c r="B331" s="186" t="s">
        <v>1119</v>
      </c>
      <c r="C331" s="187">
        <v>12</v>
      </c>
      <c r="D331" s="186" t="s">
        <v>1120</v>
      </c>
      <c r="E331" s="186"/>
      <c r="F331" s="186" t="s">
        <v>923</v>
      </c>
      <c r="G331" s="186"/>
      <c r="H331" s="188">
        <v>12191.3904</v>
      </c>
      <c r="I331" s="189"/>
      <c r="J331" s="186" t="s">
        <v>901</v>
      </c>
      <c r="K331" s="186"/>
      <c r="L331" s="186" t="s">
        <v>10</v>
      </c>
      <c r="M331" s="186" t="s">
        <v>10</v>
      </c>
      <c r="N331" s="190">
        <v>1</v>
      </c>
      <c r="O331" s="189"/>
    </row>
    <row r="332" spans="1:15" ht="11.1" customHeight="1" x14ac:dyDescent="0.2">
      <c r="A332" s="186" t="s">
        <v>952</v>
      </c>
      <c r="B332" s="186" t="s">
        <v>1119</v>
      </c>
      <c r="C332" s="187">
        <v>26</v>
      </c>
      <c r="D332" s="186" t="s">
        <v>1120</v>
      </c>
      <c r="E332" s="186"/>
      <c r="F332" s="186" t="s">
        <v>924</v>
      </c>
      <c r="G332" s="186"/>
      <c r="H332" s="188">
        <v>15241.2379</v>
      </c>
      <c r="I332" s="189"/>
      <c r="J332" s="186" t="s">
        <v>901</v>
      </c>
      <c r="K332" s="186"/>
      <c r="L332" s="186" t="s">
        <v>10</v>
      </c>
      <c r="M332" s="186" t="s">
        <v>10</v>
      </c>
      <c r="N332" s="190">
        <v>1</v>
      </c>
      <c r="O332" s="189"/>
    </row>
    <row r="333" spans="1:15" ht="11.1" customHeight="1" x14ac:dyDescent="0.2">
      <c r="A333" s="186" t="s">
        <v>952</v>
      </c>
      <c r="B333" s="186" t="s">
        <v>1119</v>
      </c>
      <c r="C333" s="187">
        <v>13</v>
      </c>
      <c r="D333" s="186" t="s">
        <v>1120</v>
      </c>
      <c r="E333" s="186"/>
      <c r="F333" s="186" t="s">
        <v>925</v>
      </c>
      <c r="G333" s="186"/>
      <c r="H333" s="188">
        <v>14155.2922</v>
      </c>
      <c r="I333" s="189"/>
      <c r="J333" s="186" t="s">
        <v>901</v>
      </c>
      <c r="K333" s="186"/>
      <c r="L333" s="186" t="s">
        <v>10</v>
      </c>
      <c r="M333" s="186" t="s">
        <v>10</v>
      </c>
      <c r="N333" s="190">
        <v>1</v>
      </c>
      <c r="O333" s="189"/>
    </row>
    <row r="334" spans="1:15" ht="11.1" customHeight="1" x14ac:dyDescent="0.2">
      <c r="A334" s="186" t="s">
        <v>952</v>
      </c>
      <c r="B334" s="186" t="s">
        <v>1119</v>
      </c>
      <c r="C334" s="187">
        <v>27</v>
      </c>
      <c r="D334" s="186" t="s">
        <v>1120</v>
      </c>
      <c r="E334" s="186"/>
      <c r="F334" s="186" t="s">
        <v>926</v>
      </c>
      <c r="G334" s="186"/>
      <c r="H334" s="188">
        <v>17693.115300000001</v>
      </c>
      <c r="I334" s="189"/>
      <c r="J334" s="186" t="s">
        <v>901</v>
      </c>
      <c r="K334" s="186"/>
      <c r="L334" s="186" t="s">
        <v>10</v>
      </c>
      <c r="M334" s="186" t="s">
        <v>10</v>
      </c>
      <c r="N334" s="190">
        <v>1</v>
      </c>
      <c r="O334" s="189"/>
    </row>
    <row r="335" spans="1:15" ht="11.1" customHeight="1" x14ac:dyDescent="0.2">
      <c r="A335" s="186" t="s">
        <v>952</v>
      </c>
      <c r="B335" s="186" t="s">
        <v>1119</v>
      </c>
      <c r="C335" s="187">
        <v>14</v>
      </c>
      <c r="D335" s="186" t="s">
        <v>1120</v>
      </c>
      <c r="E335" s="186"/>
      <c r="F335" s="186" t="s">
        <v>927</v>
      </c>
      <c r="G335" s="186"/>
      <c r="H335" s="188">
        <v>16119.194</v>
      </c>
      <c r="I335" s="189"/>
      <c r="J335" s="186" t="s">
        <v>901</v>
      </c>
      <c r="K335" s="186"/>
      <c r="L335" s="186" t="s">
        <v>10</v>
      </c>
      <c r="M335" s="186" t="s">
        <v>10</v>
      </c>
      <c r="N335" s="190">
        <v>1</v>
      </c>
      <c r="O335" s="189"/>
    </row>
    <row r="336" spans="1:15" ht="11.1" customHeight="1" x14ac:dyDescent="0.2">
      <c r="A336" s="186" t="s">
        <v>952</v>
      </c>
      <c r="B336" s="186" t="s">
        <v>1119</v>
      </c>
      <c r="C336" s="187">
        <v>28</v>
      </c>
      <c r="D336" s="186" t="s">
        <v>1120</v>
      </c>
      <c r="E336" s="186"/>
      <c r="F336" s="186" t="s">
        <v>928</v>
      </c>
      <c r="G336" s="186"/>
      <c r="H336" s="188">
        <v>20150.992399999999</v>
      </c>
      <c r="I336" s="189"/>
      <c r="J336" s="186" t="s">
        <v>901</v>
      </c>
      <c r="K336" s="186"/>
      <c r="L336" s="186" t="s">
        <v>10</v>
      </c>
      <c r="M336" s="186" t="s">
        <v>10</v>
      </c>
      <c r="N336" s="190">
        <v>1</v>
      </c>
      <c r="O336" s="189"/>
    </row>
  </sheetData>
  <sheetProtection algorithmName="SHA-512" hashValue="s5Er4Wey76mIkyhdPWbMhfB0W+55Mcys7lpRB2OLO1EnQlRGNuXr+/x33RGO2eX9GNpfNOZiz9Cr9uOiLbISDA==" saltValue="zRqxZFgqX7srlayuvvwOig==" spinCount="100000" sheet="1" objects="1" scenarios="1"/>
  <pageMargins left="0.39370078740157483" right="0.39370078740157483" top="0.39370078740157483" bottom="0.39370078740157483" header="0" footer="0"/>
  <pageSetup pageOrder="overThenDown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AF28"/>
  <sheetViews>
    <sheetView topLeftCell="N1" workbookViewId="0">
      <selection activeCell="AE9" sqref="AE9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8" max="8" width="10.28515625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  <col min="18" max="18" width="9.7109375" customWidth="1"/>
    <col min="20" max="20" width="13.7109375" customWidth="1"/>
    <col min="22" max="22" width="18.28515625" customWidth="1"/>
    <col min="24" max="24" width="16.85546875" customWidth="1"/>
    <col min="26" max="26" width="14.42578125" customWidth="1"/>
    <col min="31" max="31" width="26.140625" customWidth="1"/>
    <col min="32" max="32" width="15.5703125" style="1" customWidth="1"/>
  </cols>
  <sheetData>
    <row r="1" spans="1:32" x14ac:dyDescent="0.25">
      <c r="A1" t="s">
        <v>100</v>
      </c>
      <c r="C1" t="s">
        <v>101</v>
      </c>
      <c r="D1" t="s">
        <v>114</v>
      </c>
      <c r="G1" t="s">
        <v>124</v>
      </c>
      <c r="H1" t="s">
        <v>1128</v>
      </c>
      <c r="J1" t="s">
        <v>125</v>
      </c>
      <c r="M1" s="1" t="s">
        <v>861</v>
      </c>
      <c r="O1" s="1" t="s">
        <v>862</v>
      </c>
      <c r="R1" t="s">
        <v>125</v>
      </c>
      <c r="T1" t="s">
        <v>478</v>
      </c>
      <c r="V1" t="s">
        <v>1150</v>
      </c>
      <c r="X1" t="s">
        <v>1153</v>
      </c>
      <c r="Z1" s="252" t="s">
        <v>1155</v>
      </c>
      <c r="AE1" t="s">
        <v>1220</v>
      </c>
      <c r="AF1" s="1" t="s">
        <v>1221</v>
      </c>
    </row>
    <row r="2" spans="1:32" x14ac:dyDescent="0.25">
      <c r="A2" s="97" t="s">
        <v>723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  <c r="R2" s="4" t="s">
        <v>126</v>
      </c>
      <c r="T2" t="s">
        <v>6</v>
      </c>
      <c r="V2" t="s">
        <v>1151</v>
      </c>
      <c r="X2" t="s">
        <v>1154</v>
      </c>
      <c r="Z2" s="250" t="s">
        <v>1156</v>
      </c>
      <c r="AE2" t="s">
        <v>1194</v>
      </c>
      <c r="AF2" s="1" t="s">
        <v>1222</v>
      </c>
    </row>
    <row r="3" spans="1:32" x14ac:dyDescent="0.25">
      <c r="A3" s="20" t="s">
        <v>724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  <c r="R3" s="4" t="s">
        <v>127</v>
      </c>
      <c r="T3" t="s">
        <v>7</v>
      </c>
      <c r="V3" t="s">
        <v>1152</v>
      </c>
      <c r="X3" t="s">
        <v>10</v>
      </c>
      <c r="Z3" s="250" t="s">
        <v>1157</v>
      </c>
      <c r="AE3" t="s">
        <v>1195</v>
      </c>
      <c r="AF3" s="1" t="s">
        <v>1223</v>
      </c>
    </row>
    <row r="4" spans="1:32" x14ac:dyDescent="0.25">
      <c r="A4" s="98" t="s">
        <v>725</v>
      </c>
      <c r="C4" s="4" t="s">
        <v>104</v>
      </c>
      <c r="D4" t="s">
        <v>113</v>
      </c>
      <c r="J4" s="4" t="s">
        <v>674</v>
      </c>
      <c r="M4" s="1">
        <v>176</v>
      </c>
      <c r="O4" s="1">
        <v>296</v>
      </c>
      <c r="R4" s="4" t="s">
        <v>674</v>
      </c>
      <c r="T4" t="s">
        <v>9</v>
      </c>
      <c r="Z4" s="250" t="s">
        <v>92</v>
      </c>
      <c r="AE4" t="s">
        <v>1196</v>
      </c>
      <c r="AF4" s="1" t="s">
        <v>1224</v>
      </c>
    </row>
    <row r="5" spans="1:32" x14ac:dyDescent="0.25">
      <c r="C5" s="4" t="s">
        <v>105</v>
      </c>
      <c r="D5" t="s">
        <v>113</v>
      </c>
      <c r="M5" s="1">
        <v>236</v>
      </c>
      <c r="O5" s="1">
        <v>346</v>
      </c>
      <c r="R5" s="4" t="s">
        <v>1148</v>
      </c>
      <c r="Z5" s="251" t="s">
        <v>95</v>
      </c>
      <c r="AE5" t="s">
        <v>1197</v>
      </c>
      <c r="AF5" s="1" t="s">
        <v>1225</v>
      </c>
    </row>
    <row r="6" spans="1:32" x14ac:dyDescent="0.25">
      <c r="C6" s="4" t="s">
        <v>106</v>
      </c>
      <c r="D6" t="s">
        <v>113</v>
      </c>
      <c r="M6" s="1">
        <v>285</v>
      </c>
      <c r="O6" s="1">
        <v>376</v>
      </c>
      <c r="R6" s="4" t="s">
        <v>1149</v>
      </c>
      <c r="AE6" t="s">
        <v>1198</v>
      </c>
      <c r="AF6" s="1" t="s">
        <v>1226</v>
      </c>
    </row>
    <row r="7" spans="1:32" x14ac:dyDescent="0.25">
      <c r="C7" s="4" t="s">
        <v>107</v>
      </c>
      <c r="D7" t="s">
        <v>113</v>
      </c>
      <c r="M7" s="1">
        <v>356</v>
      </c>
      <c r="O7" s="1">
        <v>396</v>
      </c>
      <c r="AE7" t="s">
        <v>1227</v>
      </c>
      <c r="AF7" s="1" t="s">
        <v>1228</v>
      </c>
    </row>
    <row r="8" spans="1:32" x14ac:dyDescent="0.25">
      <c r="C8" s="4" t="s">
        <v>108</v>
      </c>
      <c r="D8" t="s">
        <v>113</v>
      </c>
      <c r="M8" s="1">
        <v>476</v>
      </c>
      <c r="O8" s="1">
        <v>446</v>
      </c>
      <c r="AE8" t="s">
        <v>1199</v>
      </c>
      <c r="AF8" s="1" t="s">
        <v>1229</v>
      </c>
    </row>
    <row r="9" spans="1:32" x14ac:dyDescent="0.25">
      <c r="C9" s="4" t="s">
        <v>109</v>
      </c>
      <c r="D9" t="s">
        <v>113</v>
      </c>
      <c r="M9" s="1">
        <v>536</v>
      </c>
      <c r="O9" s="1">
        <v>496</v>
      </c>
      <c r="AE9" t="s">
        <v>1200</v>
      </c>
      <c r="AF9" s="1" t="s">
        <v>1230</v>
      </c>
    </row>
    <row r="10" spans="1:32" x14ac:dyDescent="0.25">
      <c r="C10" s="4" t="s">
        <v>110</v>
      </c>
      <c r="D10" t="s">
        <v>113</v>
      </c>
      <c r="M10" s="1">
        <v>573</v>
      </c>
      <c r="O10" s="1">
        <v>596</v>
      </c>
      <c r="AE10" t="s">
        <v>1201</v>
      </c>
      <c r="AF10" s="1" t="s">
        <v>1229</v>
      </c>
    </row>
    <row r="11" spans="1:32" x14ac:dyDescent="0.25">
      <c r="C11" s="4" t="s">
        <v>112</v>
      </c>
      <c r="D11" t="s">
        <v>115</v>
      </c>
      <c r="M11" s="1">
        <v>596</v>
      </c>
      <c r="O11" s="1">
        <v>696</v>
      </c>
      <c r="AE11" t="s">
        <v>1202</v>
      </c>
      <c r="AF11" s="1" t="s">
        <v>1230</v>
      </c>
    </row>
    <row r="12" spans="1:32" x14ac:dyDescent="0.25">
      <c r="C12" s="4" t="s">
        <v>111</v>
      </c>
      <c r="D12" t="s">
        <v>115</v>
      </c>
      <c r="M12" s="1">
        <v>716</v>
      </c>
      <c r="O12" s="1">
        <v>796</v>
      </c>
      <c r="R12" t="s">
        <v>1158</v>
      </c>
      <c r="T12" s="252" t="s">
        <v>92</v>
      </c>
      <c r="V12" s="255" t="s">
        <v>533</v>
      </c>
      <c r="X12" t="s">
        <v>1163</v>
      </c>
      <c r="AE12" t="s">
        <v>1203</v>
      </c>
      <c r="AF12" s="1" t="s">
        <v>1232</v>
      </c>
    </row>
    <row r="13" spans="1:32" x14ac:dyDescent="0.25">
      <c r="M13" s="1">
        <v>956</v>
      </c>
      <c r="O13" s="1">
        <v>896</v>
      </c>
      <c r="R13">
        <v>120</v>
      </c>
      <c r="T13" s="250" t="s">
        <v>1159</v>
      </c>
      <c r="V13" s="253" t="s">
        <v>1161</v>
      </c>
      <c r="X13" t="s">
        <v>1164</v>
      </c>
      <c r="AE13" t="s">
        <v>1204</v>
      </c>
      <c r="AF13" s="1" t="s">
        <v>1233</v>
      </c>
    </row>
    <row r="14" spans="1:32" x14ac:dyDescent="0.25">
      <c r="M14" s="1">
        <v>1316</v>
      </c>
      <c r="R14">
        <v>150</v>
      </c>
      <c r="T14" s="251" t="s">
        <v>1160</v>
      </c>
      <c r="V14" s="254" t="s">
        <v>1162</v>
      </c>
      <c r="X14" t="s">
        <v>1165</v>
      </c>
      <c r="AE14" t="s">
        <v>1205</v>
      </c>
      <c r="AF14" s="1" t="s">
        <v>1235</v>
      </c>
    </row>
    <row r="15" spans="1:32" x14ac:dyDescent="0.25">
      <c r="R15" t="s">
        <v>10</v>
      </c>
      <c r="T15" s="251" t="s">
        <v>10</v>
      </c>
      <c r="V15" s="256" t="s">
        <v>10</v>
      </c>
      <c r="X15" t="s">
        <v>1166</v>
      </c>
      <c r="AE15" t="s">
        <v>1206</v>
      </c>
      <c r="AF15" s="1" t="s">
        <v>1236</v>
      </c>
    </row>
    <row r="16" spans="1:32" x14ac:dyDescent="0.25">
      <c r="X16" t="s">
        <v>1167</v>
      </c>
      <c r="AE16" t="s">
        <v>1207</v>
      </c>
      <c r="AF16" s="1" t="s">
        <v>1237</v>
      </c>
    </row>
    <row r="17" spans="18:32" x14ac:dyDescent="0.25">
      <c r="X17" t="s">
        <v>1168</v>
      </c>
      <c r="AE17" t="s">
        <v>1208</v>
      </c>
      <c r="AF17" s="1" t="s">
        <v>1238</v>
      </c>
    </row>
    <row r="18" spans="18:32" x14ac:dyDescent="0.25">
      <c r="X18" t="s">
        <v>1169</v>
      </c>
      <c r="AE18" t="s">
        <v>1209</v>
      </c>
      <c r="AF18" s="1" t="s">
        <v>1239</v>
      </c>
    </row>
    <row r="19" spans="18:32" x14ac:dyDescent="0.25">
      <c r="R19" t="s">
        <v>1171</v>
      </c>
      <c r="X19" t="s">
        <v>1170</v>
      </c>
      <c r="AE19" t="s">
        <v>1210</v>
      </c>
      <c r="AF19" s="1" t="s">
        <v>1240</v>
      </c>
    </row>
    <row r="20" spans="18:32" x14ac:dyDescent="0.25">
      <c r="R20" t="s">
        <v>71</v>
      </c>
      <c r="AE20" t="s">
        <v>1211</v>
      </c>
      <c r="AF20" s="1" t="s">
        <v>1241</v>
      </c>
    </row>
    <row r="21" spans="18:32" x14ac:dyDescent="0.25">
      <c r="R21" t="s">
        <v>10</v>
      </c>
      <c r="AE21" t="s">
        <v>1212</v>
      </c>
      <c r="AF21" s="1" t="s">
        <v>1245</v>
      </c>
    </row>
    <row r="22" spans="18:32" x14ac:dyDescent="0.25">
      <c r="AE22" t="s">
        <v>1213</v>
      </c>
      <c r="AF22" s="1" t="s">
        <v>1246</v>
      </c>
    </row>
    <row r="23" spans="18:32" x14ac:dyDescent="0.25">
      <c r="AE23" t="s">
        <v>1214</v>
      </c>
      <c r="AF23" s="1" t="s">
        <v>1247</v>
      </c>
    </row>
    <row r="24" spans="18:32" x14ac:dyDescent="0.25">
      <c r="AE24" t="s">
        <v>1215</v>
      </c>
      <c r="AF24" s="1" t="s">
        <v>1248</v>
      </c>
    </row>
    <row r="25" spans="18:32" x14ac:dyDescent="0.25">
      <c r="AE25" t="s">
        <v>1216</v>
      </c>
      <c r="AF25" s="1" t="s">
        <v>1249</v>
      </c>
    </row>
    <row r="26" spans="18:32" x14ac:dyDescent="0.25">
      <c r="AE26" t="s">
        <v>1217</v>
      </c>
      <c r="AF26" s="1" t="s">
        <v>1250</v>
      </c>
    </row>
    <row r="27" spans="18:32" x14ac:dyDescent="0.25">
      <c r="AE27" t="s">
        <v>1218</v>
      </c>
      <c r="AF27" s="1" t="s">
        <v>1251</v>
      </c>
    </row>
    <row r="28" spans="18:32" x14ac:dyDescent="0.25">
      <c r="AE28" t="s">
        <v>1219</v>
      </c>
      <c r="AF28" s="1" t="s">
        <v>1252</v>
      </c>
    </row>
  </sheetData>
  <sheetProtection algorithmName="SHA-512" hashValue="Zffe/3QiAYELcmb+VPjPh57V857PbBCCIH/8ZfLCe98kipzcjnAeWjeGDYZNdR4J85R2UkqLT42bpaH8fszhEQ==" saltValue="fPFgYeIMXU0HQFZMPLLkcg==" spinCount="100000" sheet="1" objects="1" scenarios="1"/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F7084-BF72-41B1-836A-31E8BA0B4D70}">
  <sheetPr codeName="Лист10"/>
  <dimension ref="A1:M55"/>
  <sheetViews>
    <sheetView showGridLines="0" topLeftCell="A7" zoomScaleNormal="100" workbookViewId="0">
      <selection activeCell="H55" sqref="H55:J55"/>
    </sheetView>
  </sheetViews>
  <sheetFormatPr defaultRowHeight="12" x14ac:dyDescent="0.2"/>
  <cols>
    <col min="1" max="1" width="18.7109375" style="257" customWidth="1"/>
    <col min="2" max="2" width="6" style="257" customWidth="1"/>
    <col min="3" max="3" width="6.28515625" style="257" customWidth="1"/>
    <col min="4" max="4" width="12.7109375" style="257" customWidth="1"/>
    <col min="5" max="5" width="6.28515625" style="257" customWidth="1"/>
    <col min="6" max="6" width="7.28515625" style="257" customWidth="1"/>
    <col min="7" max="7" width="6.28515625" style="257" customWidth="1"/>
    <col min="8" max="8" width="9.140625" style="257"/>
    <col min="9" max="9" width="5.28515625" style="257" customWidth="1"/>
    <col min="10" max="10" width="9" style="257" customWidth="1"/>
    <col min="11" max="11" width="9.140625" style="257"/>
    <col min="12" max="12" width="10.140625" style="257" bestFit="1" customWidth="1"/>
    <col min="13" max="16384" width="9.140625" style="257"/>
  </cols>
  <sheetData>
    <row r="1" spans="1:13" ht="30" customHeight="1" x14ac:dyDescent="0.2">
      <c r="A1" s="260" t="s">
        <v>1172</v>
      </c>
      <c r="B1" s="274">
        <v>55</v>
      </c>
      <c r="C1" s="260" t="s">
        <v>886</v>
      </c>
      <c r="D1" s="275">
        <v>546</v>
      </c>
      <c r="E1" s="276" t="s">
        <v>1173</v>
      </c>
      <c r="F1" s="274">
        <v>43</v>
      </c>
      <c r="G1" s="260" t="s">
        <v>1174</v>
      </c>
      <c r="H1" s="274">
        <v>1</v>
      </c>
      <c r="I1" s="260" t="s">
        <v>1175</v>
      </c>
      <c r="J1" s="277" t="s">
        <v>1253</v>
      </c>
    </row>
    <row r="2" spans="1:13" x14ac:dyDescent="0.2">
      <c r="A2" s="259" t="s">
        <v>1176</v>
      </c>
      <c r="B2" s="302" t="s">
        <v>1164</v>
      </c>
      <c r="C2" s="302"/>
      <c r="D2" s="302"/>
      <c r="E2" s="302"/>
      <c r="F2" s="302"/>
      <c r="G2" s="302"/>
      <c r="H2" s="302"/>
      <c r="I2" s="302"/>
      <c r="J2" s="302"/>
    </row>
    <row r="3" spans="1:13" x14ac:dyDescent="0.2">
      <c r="A3" s="266" t="s">
        <v>1177</v>
      </c>
      <c r="B3" s="301" t="s">
        <v>1178</v>
      </c>
      <c r="C3" s="301"/>
      <c r="D3" s="301"/>
      <c r="E3" s="301"/>
      <c r="F3" s="301"/>
      <c r="G3" s="301"/>
      <c r="H3" s="301"/>
      <c r="I3" s="301"/>
      <c r="J3" s="301"/>
    </row>
    <row r="4" spans="1:13" ht="16.5" customHeight="1" x14ac:dyDescent="0.2">
      <c r="A4" s="298" t="s">
        <v>1231</v>
      </c>
      <c r="B4" s="298"/>
      <c r="C4" s="298"/>
      <c r="D4" s="298"/>
      <c r="E4" s="298"/>
      <c r="F4" s="298"/>
      <c r="G4" s="298"/>
      <c r="H4" s="298"/>
      <c r="I4" s="298"/>
      <c r="J4" s="298"/>
    </row>
    <row r="5" spans="1:13" ht="15" customHeight="1" x14ac:dyDescent="0.2">
      <c r="A5" s="267" t="s">
        <v>1179</v>
      </c>
      <c r="B5" s="299" t="s">
        <v>1151</v>
      </c>
      <c r="C5" s="299"/>
      <c r="D5" s="299"/>
      <c r="E5" s="299"/>
      <c r="F5" s="299"/>
      <c r="G5" s="299"/>
      <c r="H5" s="299"/>
      <c r="I5" s="299"/>
      <c r="J5" s="299"/>
    </row>
    <row r="6" spans="1:13" ht="15" customHeight="1" x14ac:dyDescent="0.2">
      <c r="A6" s="269"/>
      <c r="B6" s="268">
        <v>333</v>
      </c>
      <c r="C6" s="268"/>
      <c r="D6" s="268"/>
      <c r="E6" s="268"/>
      <c r="F6" s="268"/>
      <c r="G6" s="268"/>
      <c r="H6" s="268"/>
      <c r="I6" s="268"/>
      <c r="J6" s="268"/>
      <c r="M6" s="259"/>
    </row>
    <row r="7" spans="1:13" ht="15" customHeight="1" x14ac:dyDescent="0.2">
      <c r="A7" s="270" t="s">
        <v>1180</v>
      </c>
      <c r="B7" s="273">
        <v>33</v>
      </c>
      <c r="C7" s="259"/>
      <c r="D7" s="259"/>
      <c r="E7" s="259"/>
      <c r="F7" s="259"/>
      <c r="G7" s="259"/>
      <c r="H7" s="259"/>
      <c r="I7" s="259"/>
      <c r="J7" s="259"/>
    </row>
    <row r="8" spans="1:13" ht="15" customHeight="1" x14ac:dyDescent="0.2">
      <c r="A8" s="270" t="s">
        <v>1181</v>
      </c>
      <c r="B8" s="273">
        <v>33</v>
      </c>
      <c r="C8" s="259"/>
      <c r="D8" s="259"/>
      <c r="E8" s="259"/>
      <c r="F8" s="259"/>
      <c r="G8" s="259"/>
      <c r="H8" s="259"/>
      <c r="I8" s="259"/>
      <c r="J8" s="259"/>
    </row>
    <row r="9" spans="1:13" ht="15" customHeight="1" x14ac:dyDescent="0.2">
      <c r="A9" s="270" t="s">
        <v>1182</v>
      </c>
      <c r="B9" s="273">
        <v>160</v>
      </c>
      <c r="C9" s="259"/>
      <c r="D9" s="259"/>
      <c r="E9" s="259"/>
      <c r="F9" s="259"/>
      <c r="G9" s="259"/>
      <c r="H9" s="259"/>
      <c r="I9" s="259"/>
      <c r="J9" s="259"/>
    </row>
    <row r="10" spans="1:13" ht="15.75" customHeight="1" x14ac:dyDescent="0.2">
      <c r="A10" s="259"/>
      <c r="B10" s="259"/>
      <c r="C10" s="259"/>
      <c r="D10" s="259"/>
      <c r="E10" s="259"/>
      <c r="F10" s="259"/>
      <c r="G10" s="259"/>
      <c r="H10" s="259"/>
      <c r="I10" s="259"/>
      <c r="J10" s="259"/>
    </row>
    <row r="11" spans="1:13" x14ac:dyDescent="0.2">
      <c r="A11" s="281" t="s">
        <v>1234</v>
      </c>
      <c r="B11" s="310" t="s">
        <v>665</v>
      </c>
      <c r="C11" s="310"/>
      <c r="D11" s="310"/>
      <c r="E11" s="310"/>
      <c r="F11" s="310"/>
      <c r="G11" s="310"/>
      <c r="H11" s="310"/>
      <c r="I11" s="310"/>
      <c r="J11" s="311"/>
    </row>
    <row r="12" spans="1:13" x14ac:dyDescent="0.2">
      <c r="A12" s="282" t="s">
        <v>1153</v>
      </c>
      <c r="B12" s="302" t="s">
        <v>1154</v>
      </c>
      <c r="C12" s="302"/>
      <c r="D12" s="302"/>
      <c r="E12" s="302"/>
      <c r="F12" s="302"/>
      <c r="G12" s="302"/>
      <c r="H12" s="302"/>
      <c r="I12" s="302"/>
      <c r="J12" s="312"/>
    </row>
    <row r="13" spans="1:13" x14ac:dyDescent="0.2">
      <c r="A13" s="282" t="s">
        <v>1155</v>
      </c>
      <c r="B13" s="302" t="s">
        <v>1157</v>
      </c>
      <c r="C13" s="302"/>
      <c r="D13" s="302"/>
      <c r="E13" s="302"/>
      <c r="F13" s="302"/>
      <c r="G13" s="302"/>
      <c r="H13" s="302"/>
      <c r="I13" s="302"/>
      <c r="J13" s="312"/>
    </row>
    <row r="14" spans="1:13" x14ac:dyDescent="0.2">
      <c r="A14" s="282" t="s">
        <v>1158</v>
      </c>
      <c r="B14" s="302">
        <v>150</v>
      </c>
      <c r="C14" s="302"/>
      <c r="D14" s="302"/>
      <c r="E14" s="302"/>
      <c r="F14" s="302"/>
      <c r="G14" s="302"/>
      <c r="H14" s="302"/>
      <c r="I14" s="302"/>
      <c r="J14" s="312"/>
    </row>
    <row r="15" spans="1:13" x14ac:dyDescent="0.2">
      <c r="A15" s="283" t="s">
        <v>92</v>
      </c>
      <c r="B15" s="301" t="s">
        <v>1160</v>
      </c>
      <c r="C15" s="301"/>
      <c r="D15" s="301"/>
      <c r="E15" s="301"/>
      <c r="F15" s="301"/>
      <c r="G15" s="301"/>
      <c r="H15" s="301"/>
      <c r="I15" s="301"/>
      <c r="J15" s="313"/>
      <c r="K15" s="259"/>
    </row>
    <row r="16" spans="1:13" ht="15.75" customHeight="1" thickBot="1" x14ac:dyDescent="0.25">
      <c r="A16" s="278" t="s">
        <v>87</v>
      </c>
      <c r="C16" s="280" t="s">
        <v>123</v>
      </c>
      <c r="D16" s="279">
        <v>1</v>
      </c>
      <c r="E16" s="316" t="s">
        <v>1183</v>
      </c>
      <c r="F16" s="316"/>
      <c r="G16" s="309" t="s">
        <v>10</v>
      </c>
      <c r="H16" s="309"/>
      <c r="I16" s="309"/>
      <c r="J16" s="309"/>
    </row>
    <row r="17" spans="1:10" ht="16.5" thickTop="1" x14ac:dyDescent="0.25">
      <c r="A17" s="303" t="s">
        <v>1242</v>
      </c>
      <c r="B17" s="304"/>
      <c r="C17" s="304"/>
      <c r="D17" s="304"/>
      <c r="E17" s="304"/>
      <c r="F17" s="304"/>
      <c r="G17" s="304"/>
      <c r="H17" s="304"/>
      <c r="I17" s="304"/>
      <c r="J17" s="305"/>
    </row>
    <row r="18" spans="1:10" x14ac:dyDescent="0.2">
      <c r="A18" s="271" t="s">
        <v>1184</v>
      </c>
      <c r="B18" s="293">
        <v>2</v>
      </c>
      <c r="C18" s="293"/>
      <c r="D18" s="293"/>
      <c r="E18" s="293"/>
      <c r="F18" s="293"/>
      <c r="G18" s="293"/>
      <c r="H18" s="293"/>
      <c r="I18" s="293"/>
      <c r="J18" s="294"/>
    </row>
    <row r="19" spans="1:10" ht="15.75" customHeight="1" thickBot="1" x14ac:dyDescent="0.25">
      <c r="A19" s="261" t="s">
        <v>1185</v>
      </c>
      <c r="B19" s="295">
        <v>2</v>
      </c>
      <c r="C19" s="295"/>
      <c r="D19" s="295"/>
      <c r="E19" s="295"/>
      <c r="F19" s="295"/>
      <c r="G19" s="295"/>
      <c r="H19" s="295"/>
      <c r="I19" s="295"/>
      <c r="J19" s="296"/>
    </row>
    <row r="20" spans="1:10" ht="16.5" thickTop="1" x14ac:dyDescent="0.25">
      <c r="A20" s="306" t="s">
        <v>1243</v>
      </c>
      <c r="B20" s="307"/>
      <c r="C20" s="307"/>
      <c r="D20" s="307"/>
      <c r="E20" s="307"/>
      <c r="F20" s="307"/>
      <c r="G20" s="307"/>
      <c r="H20" s="307"/>
      <c r="I20" s="307"/>
      <c r="J20" s="308"/>
    </row>
    <row r="21" spans="1:10" ht="15.75" customHeight="1" thickBot="1" x14ac:dyDescent="0.25">
      <c r="A21" s="272" t="s">
        <v>1186</v>
      </c>
      <c r="B21" s="314" t="s">
        <v>126</v>
      </c>
      <c r="C21" s="314"/>
      <c r="D21" s="258"/>
      <c r="E21" s="258" t="s">
        <v>1187</v>
      </c>
      <c r="F21" s="258"/>
      <c r="G21" s="279">
        <v>2</v>
      </c>
      <c r="H21" s="258"/>
      <c r="I21" s="258"/>
      <c r="J21" s="262"/>
    </row>
    <row r="22" spans="1:10" ht="12.75" thickTop="1" x14ac:dyDescent="0.2"/>
    <row r="23" spans="1:10" ht="15" customHeight="1" x14ac:dyDescent="0.2">
      <c r="A23" s="257" t="s">
        <v>1188</v>
      </c>
      <c r="E23" s="315" t="s">
        <v>71</v>
      </c>
      <c r="F23" s="315"/>
      <c r="G23" s="315"/>
      <c r="H23" s="315"/>
      <c r="I23" s="315"/>
      <c r="J23" s="315"/>
    </row>
    <row r="24" spans="1:10" ht="37.5" customHeight="1" x14ac:dyDescent="0.2">
      <c r="A24" s="264" t="s">
        <v>1189</v>
      </c>
      <c r="B24" s="265"/>
      <c r="C24" s="265"/>
      <c r="D24" s="265"/>
      <c r="E24" s="291">
        <v>1</v>
      </c>
      <c r="F24" s="291"/>
      <c r="G24" s="291"/>
      <c r="H24" s="291"/>
      <c r="I24" s="291"/>
      <c r="J24" s="291"/>
    </row>
    <row r="25" spans="1:10" x14ac:dyDescent="0.2">
      <c r="A25" s="297" t="s">
        <v>1244</v>
      </c>
      <c r="B25" s="297"/>
      <c r="C25" s="297"/>
      <c r="D25" s="297"/>
      <c r="E25" s="297"/>
      <c r="F25" s="297"/>
      <c r="G25" s="297"/>
      <c r="H25" s="297"/>
      <c r="I25" s="297"/>
      <c r="J25" s="297"/>
    </row>
    <row r="26" spans="1:10" x14ac:dyDescent="0.2">
      <c r="A26" s="297"/>
      <c r="B26" s="297"/>
      <c r="C26" s="297"/>
      <c r="D26" s="297"/>
      <c r="E26" s="297"/>
      <c r="F26" s="297"/>
      <c r="G26" s="297"/>
      <c r="H26" s="297"/>
      <c r="I26" s="297"/>
      <c r="J26" s="297"/>
    </row>
    <row r="27" spans="1:10" x14ac:dyDescent="0.2">
      <c r="A27" s="297"/>
      <c r="B27" s="297"/>
      <c r="C27" s="297"/>
      <c r="D27" s="297"/>
      <c r="E27" s="297"/>
      <c r="F27" s="297"/>
      <c r="G27" s="297"/>
      <c r="H27" s="297"/>
      <c r="I27" s="297"/>
      <c r="J27" s="297"/>
    </row>
    <row r="28" spans="1:10" x14ac:dyDescent="0.2">
      <c r="A28" s="297"/>
      <c r="B28" s="297"/>
      <c r="C28" s="297"/>
      <c r="D28" s="297"/>
      <c r="E28" s="297"/>
      <c r="F28" s="297"/>
      <c r="G28" s="297"/>
      <c r="H28" s="297"/>
      <c r="I28" s="297"/>
      <c r="J28" s="297"/>
    </row>
    <row r="29" spans="1:10" x14ac:dyDescent="0.2">
      <c r="A29" s="297"/>
      <c r="B29" s="297"/>
      <c r="C29" s="297"/>
      <c r="D29" s="297"/>
      <c r="E29" s="297"/>
      <c r="F29" s="297"/>
      <c r="G29" s="297"/>
      <c r="H29" s="297"/>
      <c r="I29" s="297"/>
      <c r="J29" s="297"/>
    </row>
    <row r="30" spans="1:10" x14ac:dyDescent="0.2">
      <c r="A30" s="297"/>
      <c r="B30" s="297"/>
      <c r="C30" s="297"/>
      <c r="D30" s="297"/>
      <c r="E30" s="297"/>
      <c r="F30" s="297"/>
      <c r="G30" s="297"/>
      <c r="H30" s="297"/>
      <c r="I30" s="297"/>
      <c r="J30" s="297"/>
    </row>
    <row r="31" spans="1:10" x14ac:dyDescent="0.2">
      <c r="A31" s="297"/>
      <c r="B31" s="297"/>
      <c r="C31" s="297"/>
      <c r="D31" s="297"/>
      <c r="E31" s="297"/>
      <c r="F31" s="297"/>
      <c r="G31" s="297"/>
      <c r="H31" s="297"/>
      <c r="I31" s="297"/>
      <c r="J31" s="297"/>
    </row>
    <row r="32" spans="1:10" x14ac:dyDescent="0.2">
      <c r="A32" s="297"/>
      <c r="B32" s="297"/>
      <c r="C32" s="297"/>
      <c r="D32" s="297"/>
      <c r="E32" s="297"/>
      <c r="F32" s="297"/>
      <c r="G32" s="297"/>
      <c r="H32" s="297"/>
      <c r="I32" s="297"/>
      <c r="J32" s="297"/>
    </row>
    <row r="33" spans="1:10" x14ac:dyDescent="0.2">
      <c r="A33" s="297"/>
      <c r="B33" s="297"/>
      <c r="C33" s="297"/>
      <c r="D33" s="297"/>
      <c r="E33" s="297"/>
      <c r="F33" s="297"/>
      <c r="G33" s="297"/>
      <c r="H33" s="297"/>
      <c r="I33" s="297"/>
      <c r="J33" s="297"/>
    </row>
    <row r="34" spans="1:10" x14ac:dyDescent="0.2">
      <c r="A34" s="297"/>
      <c r="B34" s="297"/>
      <c r="C34" s="297"/>
      <c r="D34" s="297"/>
      <c r="E34" s="297"/>
      <c r="F34" s="297"/>
      <c r="G34" s="297"/>
      <c r="H34" s="297"/>
      <c r="I34" s="297"/>
      <c r="J34" s="297"/>
    </row>
    <row r="35" spans="1:10" x14ac:dyDescent="0.2">
      <c r="A35" s="297"/>
      <c r="B35" s="297"/>
      <c r="C35" s="297"/>
      <c r="D35" s="297"/>
      <c r="E35" s="297"/>
      <c r="F35" s="297"/>
      <c r="G35" s="297"/>
      <c r="H35" s="297"/>
      <c r="I35" s="297"/>
      <c r="J35" s="297"/>
    </row>
    <row r="36" spans="1:10" x14ac:dyDescent="0.2">
      <c r="A36" s="297"/>
      <c r="B36" s="297"/>
      <c r="C36" s="297"/>
      <c r="D36" s="297"/>
      <c r="E36" s="297"/>
      <c r="F36" s="297"/>
      <c r="G36" s="297"/>
      <c r="H36" s="297"/>
      <c r="I36" s="297"/>
      <c r="J36" s="297"/>
    </row>
    <row r="37" spans="1:10" x14ac:dyDescent="0.2">
      <c r="A37" s="297"/>
      <c r="B37" s="297"/>
      <c r="C37" s="297"/>
      <c r="D37" s="297"/>
      <c r="E37" s="297"/>
      <c r="F37" s="297"/>
      <c r="G37" s="297"/>
      <c r="H37" s="297"/>
      <c r="I37" s="297"/>
      <c r="J37" s="297"/>
    </row>
    <row r="38" spans="1:10" x14ac:dyDescent="0.2">
      <c r="A38" s="297"/>
      <c r="B38" s="297"/>
      <c r="C38" s="297"/>
      <c r="D38" s="297"/>
      <c r="E38" s="297"/>
      <c r="F38" s="297"/>
      <c r="G38" s="297"/>
      <c r="H38" s="297"/>
      <c r="I38" s="297"/>
      <c r="J38" s="297"/>
    </row>
    <row r="39" spans="1:10" x14ac:dyDescent="0.2">
      <c r="A39" s="297"/>
      <c r="B39" s="297"/>
      <c r="C39" s="297"/>
      <c r="D39" s="297"/>
      <c r="E39" s="297"/>
      <c r="F39" s="297"/>
      <c r="G39" s="297"/>
      <c r="H39" s="297"/>
      <c r="I39" s="297"/>
      <c r="J39" s="297"/>
    </row>
    <row r="40" spans="1:10" x14ac:dyDescent="0.2">
      <c r="A40" s="297"/>
      <c r="B40" s="297"/>
      <c r="C40" s="297"/>
      <c r="D40" s="297"/>
      <c r="E40" s="297"/>
      <c r="F40" s="297"/>
      <c r="G40" s="297"/>
      <c r="H40" s="297"/>
      <c r="I40" s="297"/>
      <c r="J40" s="297"/>
    </row>
    <row r="41" spans="1:10" x14ac:dyDescent="0.2">
      <c r="A41" s="297"/>
      <c r="B41" s="297"/>
      <c r="C41" s="297"/>
      <c r="D41" s="297"/>
      <c r="E41" s="297"/>
      <c r="F41" s="297"/>
      <c r="G41" s="297"/>
      <c r="H41" s="297"/>
      <c r="I41" s="297"/>
      <c r="J41" s="297"/>
    </row>
    <row r="42" spans="1:10" x14ac:dyDescent="0.2">
      <c r="A42" s="297"/>
      <c r="B42" s="297"/>
      <c r="C42" s="297"/>
      <c r="D42" s="297"/>
      <c r="E42" s="297"/>
      <c r="F42" s="297"/>
      <c r="G42" s="297"/>
      <c r="H42" s="297"/>
      <c r="I42" s="297"/>
      <c r="J42" s="297"/>
    </row>
    <row r="43" spans="1:10" x14ac:dyDescent="0.2">
      <c r="A43" s="297"/>
      <c r="B43" s="297"/>
      <c r="C43" s="297"/>
      <c r="D43" s="297"/>
      <c r="E43" s="297"/>
      <c r="F43" s="297"/>
      <c r="G43" s="297"/>
      <c r="H43" s="297"/>
      <c r="I43" s="297"/>
      <c r="J43" s="297"/>
    </row>
    <row r="44" spans="1:10" x14ac:dyDescent="0.2">
      <c r="A44" s="297"/>
      <c r="B44" s="297"/>
      <c r="C44" s="297"/>
      <c r="D44" s="297"/>
      <c r="E44" s="297"/>
      <c r="F44" s="297"/>
      <c r="G44" s="297"/>
      <c r="H44" s="297"/>
      <c r="I44" s="297"/>
      <c r="J44" s="297"/>
    </row>
    <row r="45" spans="1:10" x14ac:dyDescent="0.2">
      <c r="A45" s="297"/>
      <c r="B45" s="297"/>
      <c r="C45" s="297"/>
      <c r="D45" s="297"/>
      <c r="E45" s="297"/>
      <c r="F45" s="297"/>
      <c r="G45" s="297"/>
      <c r="H45" s="297"/>
      <c r="I45" s="297"/>
      <c r="J45" s="297"/>
    </row>
    <row r="46" spans="1:10" x14ac:dyDescent="0.2">
      <c r="A46" s="297"/>
      <c r="B46" s="297"/>
      <c r="C46" s="297"/>
      <c r="D46" s="297"/>
      <c r="E46" s="297"/>
      <c r="F46" s="297"/>
      <c r="G46" s="297"/>
      <c r="H46" s="297"/>
      <c r="I46" s="297"/>
      <c r="J46" s="297"/>
    </row>
    <row r="47" spans="1:10" x14ac:dyDescent="0.2">
      <c r="A47" s="297"/>
      <c r="B47" s="297"/>
      <c r="C47" s="297"/>
      <c r="D47" s="297"/>
      <c r="E47" s="297"/>
      <c r="F47" s="297"/>
      <c r="G47" s="297"/>
      <c r="H47" s="297"/>
      <c r="I47" s="297"/>
      <c r="J47" s="297"/>
    </row>
    <row r="48" spans="1:10" x14ac:dyDescent="0.2">
      <c r="A48" s="297"/>
      <c r="B48" s="297"/>
      <c r="C48" s="297"/>
      <c r="D48" s="297"/>
      <c r="E48" s="297"/>
      <c r="F48" s="297"/>
      <c r="G48" s="297"/>
      <c r="H48" s="297"/>
      <c r="I48" s="297"/>
      <c r="J48" s="297"/>
    </row>
    <row r="49" spans="1:10" x14ac:dyDescent="0.2">
      <c r="A49" s="297"/>
      <c r="B49" s="297"/>
      <c r="C49" s="297"/>
      <c r="D49" s="297"/>
      <c r="E49" s="297"/>
      <c r="F49" s="297"/>
      <c r="G49" s="297"/>
      <c r="H49" s="297"/>
      <c r="I49" s="297"/>
      <c r="J49" s="297"/>
    </row>
    <row r="50" spans="1:10" x14ac:dyDescent="0.2">
      <c r="A50" s="297"/>
      <c r="B50" s="297"/>
      <c r="C50" s="297"/>
      <c r="D50" s="297"/>
      <c r="E50" s="297"/>
      <c r="F50" s="297"/>
      <c r="G50" s="297"/>
      <c r="H50" s="297"/>
      <c r="I50" s="297"/>
      <c r="J50" s="297"/>
    </row>
    <row r="51" spans="1:10" x14ac:dyDescent="0.2">
      <c r="A51" s="297"/>
      <c r="B51" s="297"/>
      <c r="C51" s="297"/>
      <c r="D51" s="297"/>
      <c r="E51" s="297"/>
      <c r="F51" s="297"/>
      <c r="G51" s="297"/>
      <c r="H51" s="297"/>
      <c r="I51" s="297"/>
      <c r="J51" s="297"/>
    </row>
    <row r="52" spans="1:10" x14ac:dyDescent="0.2">
      <c r="A52" s="257" t="s">
        <v>1190</v>
      </c>
      <c r="B52" s="292">
        <v>3226</v>
      </c>
      <c r="C52" s="292"/>
      <c r="G52" s="257" t="s">
        <v>1175</v>
      </c>
      <c r="I52" s="300">
        <v>45793</v>
      </c>
      <c r="J52" s="300"/>
    </row>
    <row r="53" spans="1:10" x14ac:dyDescent="0.2">
      <c r="A53" s="257" t="s">
        <v>1191</v>
      </c>
      <c r="B53" s="292" t="s">
        <v>1178</v>
      </c>
      <c r="C53" s="292"/>
      <c r="G53" s="257" t="s">
        <v>1192</v>
      </c>
      <c r="I53" s="292" t="s">
        <v>1254</v>
      </c>
      <c r="J53" s="292"/>
    </row>
    <row r="55" spans="1:10" x14ac:dyDescent="0.2">
      <c r="G55" s="263" t="s">
        <v>1193</v>
      </c>
      <c r="H55" s="292" t="s">
        <v>1255</v>
      </c>
      <c r="I55" s="292"/>
      <c r="J55" s="292"/>
    </row>
  </sheetData>
  <sheetProtection algorithmName="SHA-512" hashValue="Lpklcy7R/9/KTyHYScA1wewzRMmQjMk/rJYCbuxCEik4WjicXvvf2L3fwCANHbAJbByhKH27dAN7y1xxAAPTiw==" saltValue="1i39ERIJKdRuZ/k7f5yf1w==" spinCount="100000" sheet="1" objects="1" scenarios="1"/>
  <mergeCells count="24">
    <mergeCell ref="B3:J3"/>
    <mergeCell ref="B2:J2"/>
    <mergeCell ref="A17:J17"/>
    <mergeCell ref="A20:J20"/>
    <mergeCell ref="G16:J16"/>
    <mergeCell ref="B11:J11"/>
    <mergeCell ref="B12:J12"/>
    <mergeCell ref="B13:J13"/>
    <mergeCell ref="B14:J14"/>
    <mergeCell ref="B15:J15"/>
    <mergeCell ref="E16:F16"/>
    <mergeCell ref="H55:J55"/>
    <mergeCell ref="A4:J4"/>
    <mergeCell ref="B5:J5"/>
    <mergeCell ref="I52:J52"/>
    <mergeCell ref="I53:J53"/>
    <mergeCell ref="B21:C21"/>
    <mergeCell ref="E23:J23"/>
    <mergeCell ref="E24:J24"/>
    <mergeCell ref="B53:C53"/>
    <mergeCell ref="B52:C52"/>
    <mergeCell ref="B18:J18"/>
    <mergeCell ref="B19:J19"/>
    <mergeCell ref="A25:J5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cp:lastPrinted>2025-06-23T10:38:38Z</cp:lastPrinted>
  <dcterms:created xsi:type="dcterms:W3CDTF">2024-11-02T05:53:59Z</dcterms:created>
  <dcterms:modified xsi:type="dcterms:W3CDTF">2025-06-23T13:44:54Z</dcterms:modified>
</cp:coreProperties>
</file>