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omments3.xml" ContentType="application/vnd.openxmlformats-officedocument.spreadsheetml.comment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4BD61AA6-5292-4A69-B399-7039259696FB}" xr6:coauthVersionLast="45" xr6:coauthVersionMax="47" xr10:uidLastSave="{00000000-0000-0000-0000-000000000000}"/>
  <bookViews>
    <workbookView xWindow="-120" yWindow="-120" windowWidth="29040" windowHeight="15840" tabRatio="591" activeTab="4" xr2:uid="{F87E9273-758C-4CB3-8CA7-04461C90845A}"/>
  </bookViews>
  <sheets>
    <sheet name="Заказ" sheetId="7" r:id="rId1"/>
    <sheet name="Тест" sheetId="16" r:id="rId2"/>
    <sheet name="Заказ для теста" sheetId="20" r:id="rId3"/>
    <sheet name="Расчет" sheetId="4" r:id="rId4"/>
    <sheet name="Таблица с признаками" sheetId="1" r:id="rId5"/>
    <sheet name="комплекты фурнитуры" sheetId="15" r:id="rId6"/>
    <sheet name="Базовые цены" sheetId="10" r:id="rId7"/>
    <sheet name="186" sheetId="19" r:id="rId8"/>
    <sheet name="Результат" sheetId="18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Настройки" sheetId="6" r:id="rId15"/>
  </sheets>
  <functionGroups builtInGroupCount="19"/>
  <externalReferences>
    <externalReference r:id="rId16"/>
    <externalReference r:id="rId17"/>
    <externalReference r:id="rId18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5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5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5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5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5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5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83" i="16" l="1"/>
  <c r="Q83" i="16"/>
  <c r="Q82" i="16"/>
  <c r="S81" i="16"/>
  <c r="R81" i="16"/>
  <c r="Q81" i="16"/>
  <c r="R80" i="16"/>
  <c r="Q80" i="16"/>
  <c r="S79" i="16"/>
  <c r="R79" i="16"/>
  <c r="Q79" i="16"/>
  <c r="S78" i="16"/>
  <c r="R78" i="16"/>
  <c r="Q78" i="16"/>
  <c r="S77" i="16"/>
  <c r="R77" i="16"/>
  <c r="Q77" i="16"/>
  <c r="Q76" i="16"/>
  <c r="Q75" i="16"/>
  <c r="S74" i="16"/>
  <c r="R74" i="16"/>
  <c r="Q74" i="16"/>
  <c r="S73" i="16"/>
  <c r="R73" i="16"/>
  <c r="Q73" i="16"/>
  <c r="S72" i="16"/>
  <c r="R72" i="16"/>
  <c r="Q72" i="16"/>
  <c r="S71" i="16"/>
  <c r="R71" i="16"/>
  <c r="Q71" i="16"/>
  <c r="Q70" i="16"/>
  <c r="R69" i="16"/>
  <c r="Q69" i="16"/>
  <c r="Q68" i="16"/>
  <c r="S67" i="16"/>
  <c r="R67" i="16"/>
  <c r="Q67" i="16"/>
  <c r="S66" i="16"/>
  <c r="R66" i="16"/>
  <c r="Q66" i="16"/>
  <c r="S65" i="16"/>
  <c r="R65" i="16"/>
  <c r="Q65" i="16"/>
  <c r="S64" i="16"/>
  <c r="R64" i="16"/>
  <c r="Q64" i="16"/>
  <c r="S63" i="16"/>
  <c r="R63" i="16"/>
  <c r="Q63" i="16"/>
  <c r="S62" i="16"/>
  <c r="R62" i="16"/>
  <c r="Q62" i="16"/>
  <c r="Q61" i="16"/>
  <c r="S60" i="16"/>
  <c r="R60" i="16"/>
  <c r="Q60" i="16"/>
  <c r="R59" i="16"/>
  <c r="Q59" i="16"/>
  <c r="R58" i="16"/>
  <c r="Q58" i="16"/>
  <c r="R56" i="16"/>
  <c r="Q56" i="16"/>
  <c r="Q55" i="16"/>
  <c r="R54" i="16"/>
  <c r="Q54" i="16"/>
  <c r="R53" i="16"/>
  <c r="Q53" i="16"/>
  <c r="R52" i="16"/>
  <c r="Q52" i="16"/>
  <c r="Q51" i="16"/>
  <c r="Q50" i="16"/>
  <c r="Q49" i="16"/>
  <c r="Q48" i="16"/>
  <c r="S47" i="16"/>
  <c r="R47" i="16"/>
  <c r="Q47" i="16"/>
  <c r="S46" i="16"/>
  <c r="R46" i="16"/>
  <c r="Q46" i="16"/>
  <c r="S45" i="16"/>
  <c r="R45" i="16"/>
  <c r="Q45" i="16"/>
  <c r="S44" i="16"/>
  <c r="R44" i="16"/>
  <c r="Q44" i="16"/>
  <c r="S43" i="16"/>
  <c r="R43" i="16"/>
  <c r="Q43" i="16"/>
  <c r="S42" i="16"/>
  <c r="R42" i="16"/>
  <c r="Q42" i="16"/>
  <c r="S41" i="16"/>
  <c r="R41" i="16"/>
  <c r="Q41" i="16"/>
  <c r="S40" i="16"/>
  <c r="R40" i="16"/>
  <c r="Q40" i="16"/>
  <c r="S39" i="16"/>
  <c r="R39" i="16"/>
  <c r="Q39" i="16"/>
  <c r="Q38" i="16"/>
  <c r="S37" i="16"/>
  <c r="R37" i="16"/>
  <c r="Q37" i="16"/>
  <c r="R36" i="16"/>
  <c r="Q36" i="16"/>
  <c r="R35" i="16"/>
  <c r="Q35" i="16"/>
  <c r="S34" i="16"/>
  <c r="R34" i="16"/>
  <c r="Q34" i="16"/>
  <c r="S33" i="16"/>
  <c r="R33" i="16"/>
  <c r="Q33" i="16"/>
  <c r="Q31" i="16"/>
  <c r="Q30" i="16"/>
  <c r="Q29" i="16"/>
  <c r="Q28" i="16"/>
  <c r="Q27" i="16"/>
  <c r="Q26" i="16"/>
  <c r="Q25" i="16"/>
  <c r="Q24" i="16"/>
  <c r="Q23" i="16"/>
  <c r="Q22" i="16"/>
  <c r="R21" i="16"/>
  <c r="Q21" i="16"/>
  <c r="S19" i="16"/>
  <c r="R19" i="16"/>
  <c r="Q19" i="16"/>
  <c r="R18" i="16"/>
  <c r="S17" i="16"/>
  <c r="R17" i="16"/>
  <c r="Q17" i="16"/>
  <c r="S16" i="16"/>
  <c r="R16" i="16"/>
  <c r="Q16" i="16"/>
  <c r="S15" i="16"/>
  <c r="R15" i="16"/>
  <c r="Q15" i="16"/>
  <c r="S14" i="16"/>
  <c r="R14" i="16"/>
  <c r="Q14" i="16"/>
  <c r="S13" i="16"/>
  <c r="R13" i="16"/>
  <c r="Q13" i="16"/>
  <c r="S12" i="16"/>
  <c r="R12" i="16"/>
  <c r="Q12" i="16"/>
  <c r="S11" i="16"/>
  <c r="R11" i="16"/>
  <c r="Q11" i="16"/>
  <c r="S10" i="16"/>
  <c r="R10" i="16"/>
  <c r="Q10" i="16"/>
  <c r="S9" i="16"/>
  <c r="R9" i="16"/>
  <c r="Q9" i="16"/>
  <c r="S8" i="16"/>
  <c r="R8" i="16"/>
  <c r="Q8" i="16"/>
  <c r="S7" i="16"/>
  <c r="R7" i="16"/>
  <c r="Q7" i="16"/>
  <c r="Q6" i="16"/>
  <c r="Q5" i="16"/>
  <c r="S4" i="16"/>
  <c r="R4" i="16"/>
  <c r="Q4" i="16"/>
  <c r="S3" i="16"/>
  <c r="R3" i="16"/>
  <c r="Q3" i="16"/>
  <c r="S2" i="16"/>
  <c r="R2" i="16"/>
  <c r="Q2" i="16"/>
  <c r="BP72" i="1"/>
  <c r="AT51" i="1"/>
  <c r="AT50" i="1"/>
  <c r="AS49" i="1"/>
  <c r="AX51" i="1"/>
  <c r="AX50" i="1"/>
  <c r="AX49" i="1"/>
  <c r="Y42" i="1" l="1"/>
  <c r="AW36" i="1"/>
  <c r="BP36" i="1" s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2" i="16"/>
  <c r="CC3" i="10" l="1"/>
  <c r="CC4" i="10"/>
  <c r="CC33" i="10"/>
  <c r="CC16" i="10"/>
  <c r="CC22" i="10"/>
  <c r="CC19" i="10"/>
  <c r="CC34" i="10"/>
  <c r="CC32" i="10"/>
  <c r="CC24" i="10"/>
  <c r="CC23" i="10"/>
  <c r="CC20" i="10"/>
  <c r="CC54" i="10"/>
  <c r="CC26" i="10"/>
  <c r="CC12" i="10"/>
  <c r="CC39" i="10"/>
  <c r="CC50" i="10"/>
  <c r="CC47" i="10"/>
  <c r="CC17" i="10"/>
  <c r="CC41" i="10"/>
  <c r="CC10" i="10"/>
  <c r="CC9" i="10"/>
  <c r="CC8" i="10"/>
  <c r="CC7" i="10"/>
  <c r="CC6" i="10"/>
  <c r="CC5" i="10"/>
  <c r="CC15" i="10"/>
  <c r="CC14" i="10"/>
  <c r="CC13" i="10"/>
  <c r="CC52" i="10"/>
  <c r="CC28" i="10"/>
  <c r="CC57" i="10"/>
  <c r="CC46" i="10"/>
  <c r="CC38" i="10"/>
  <c r="CC51" i="10"/>
  <c r="CC18" i="10"/>
  <c r="CC31" i="10"/>
  <c r="CC11" i="10"/>
  <c r="CC21" i="10"/>
  <c r="CC53" i="10"/>
  <c r="CC25" i="10"/>
  <c r="CC56" i="10"/>
  <c r="CC40" i="10"/>
  <c r="CC27" i="10"/>
  <c r="CC45" i="10"/>
  <c r="CC43" i="10"/>
  <c r="CC58" i="10"/>
  <c r="CC44" i="10"/>
  <c r="CC37" i="10"/>
  <c r="CC36" i="10"/>
  <c r="CC35" i="10"/>
  <c r="CC30" i="10"/>
  <c r="CC29" i="10"/>
  <c r="CC49" i="10"/>
  <c r="CC48" i="10"/>
  <c r="CC42" i="10"/>
  <c r="CC55" i="10"/>
  <c r="CC59" i="10"/>
  <c r="AP3" i="10" l="1"/>
  <c r="AP4" i="10"/>
  <c r="AP5" i="10"/>
  <c r="AP6" i="10"/>
  <c r="AP7" i="10"/>
  <c r="AP8" i="10"/>
  <c r="AP9" i="10"/>
  <c r="AP10" i="10"/>
  <c r="AP11" i="10"/>
  <c r="AP12" i="10"/>
  <c r="AP13" i="10"/>
  <c r="AP14" i="10"/>
  <c r="AP15" i="10"/>
  <c r="AP16" i="10"/>
  <c r="AP17" i="10"/>
  <c r="AP18" i="10"/>
  <c r="AP19" i="10"/>
  <c r="AP20" i="10"/>
  <c r="AP21" i="10"/>
  <c r="AP22" i="10"/>
  <c r="AP23" i="10"/>
  <c r="AP24" i="10"/>
  <c r="AP25" i="10"/>
  <c r="AP26" i="10"/>
  <c r="AP27" i="10"/>
  <c r="AP28" i="10"/>
  <c r="AP29" i="10"/>
  <c r="AP30" i="10"/>
  <c r="AP31" i="10"/>
  <c r="AP32" i="10"/>
  <c r="AP2" i="10"/>
  <c r="AO11" i="10" l="1"/>
  <c r="AO13" i="10"/>
  <c r="AO16" i="10"/>
  <c r="AO21" i="10"/>
  <c r="AO2" i="10"/>
  <c r="AO4" i="10"/>
  <c r="AO5" i="10"/>
  <c r="AO8" i="10"/>
  <c r="AO9" i="10"/>
  <c r="AO10" i="10"/>
  <c r="AO12" i="10"/>
  <c r="AO14" i="10"/>
  <c r="AO15" i="10"/>
  <c r="AO17" i="10"/>
  <c r="AO18" i="10"/>
  <c r="AO19" i="10"/>
  <c r="AO20" i="10"/>
  <c r="AO22" i="10"/>
  <c r="AO23" i="10"/>
  <c r="AO24" i="10"/>
  <c r="AO26" i="10"/>
  <c r="AO27" i="10"/>
  <c r="AO28" i="10"/>
  <c r="AO6" i="10"/>
  <c r="AO3" i="10"/>
  <c r="AO25" i="10"/>
  <c r="AO29" i="10"/>
  <c r="AO30" i="10"/>
  <c r="AO31" i="10"/>
  <c r="AO32" i="10"/>
  <c r="AO7" i="10"/>
  <c r="K97" i="15" l="1"/>
  <c r="P96" i="15"/>
  <c r="Q96" i="15"/>
  <c r="K94" i="15"/>
  <c r="K93" i="15"/>
  <c r="K90" i="15"/>
  <c r="K89" i="15"/>
  <c r="K87" i="15"/>
  <c r="K86" i="15"/>
  <c r="K85" i="15"/>
  <c r="K84" i="15"/>
  <c r="K83" i="15"/>
  <c r="K82" i="15"/>
  <c r="K81" i="15"/>
  <c r="K79" i="15"/>
  <c r="K78" i="15"/>
  <c r="K77" i="15"/>
  <c r="H77" i="15"/>
  <c r="I77" i="15" s="1"/>
  <c r="J77" i="15" s="1"/>
  <c r="H76" i="15"/>
  <c r="I76" i="15" s="1"/>
  <c r="K76" i="15"/>
  <c r="K74" i="15"/>
  <c r="K72" i="15"/>
  <c r="K71" i="15"/>
  <c r="K70" i="15"/>
  <c r="H68" i="15"/>
  <c r="I68" i="15" s="1"/>
  <c r="K68" i="15"/>
  <c r="K66" i="15"/>
  <c r="H64" i="15"/>
  <c r="I64" i="15" s="1"/>
  <c r="J64" i="15" s="1"/>
  <c r="K63" i="15"/>
  <c r="K62" i="15"/>
  <c r="H60" i="15"/>
  <c r="I60" i="15" s="1"/>
  <c r="K60" i="15"/>
  <c r="K59" i="15"/>
  <c r="K58" i="15"/>
  <c r="I58" i="15"/>
  <c r="J58" i="15" s="1"/>
  <c r="N58" i="15" s="1"/>
  <c r="P58" i="15" s="1"/>
  <c r="H58" i="15"/>
  <c r="K57" i="15"/>
  <c r="K55" i="15"/>
  <c r="H54" i="15"/>
  <c r="I54" i="15" s="1"/>
  <c r="K54" i="15"/>
  <c r="K53" i="15"/>
  <c r="H51" i="15"/>
  <c r="I51" i="15" s="1"/>
  <c r="K51" i="15"/>
  <c r="K50" i="15"/>
  <c r="K49" i="15"/>
  <c r="K47" i="15"/>
  <c r="K46" i="15"/>
  <c r="K45" i="15"/>
  <c r="K43" i="15"/>
  <c r="K42" i="15"/>
  <c r="K41" i="15"/>
  <c r="H39" i="15"/>
  <c r="I39" i="15" s="1"/>
  <c r="J39" i="15" s="1"/>
  <c r="K36" i="15"/>
  <c r="K35" i="15"/>
  <c r="H35" i="15"/>
  <c r="K32" i="15"/>
  <c r="K27" i="15"/>
  <c r="K26" i="15"/>
  <c r="K23" i="15"/>
  <c r="K19" i="15"/>
  <c r="K17" i="15"/>
  <c r="K15" i="15"/>
  <c r="K14" i="15"/>
  <c r="K11" i="15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I49" i="16" s="1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18" i="15" l="1"/>
  <c r="I18" i="15" s="1"/>
  <c r="J18" i="15" s="1"/>
  <c r="H23" i="15"/>
  <c r="I23" i="15" s="1"/>
  <c r="H27" i="15"/>
  <c r="I27" i="15" s="1"/>
  <c r="H61" i="15"/>
  <c r="I61" i="15" s="1"/>
  <c r="J61" i="15" s="1"/>
  <c r="H65" i="15"/>
  <c r="H69" i="15"/>
  <c r="H72" i="15"/>
  <c r="I72" i="15" s="1"/>
  <c r="H82" i="15"/>
  <c r="I82" i="15" s="1"/>
  <c r="H14" i="15"/>
  <c r="I14" i="15" s="1"/>
  <c r="H41" i="15"/>
  <c r="I41" i="15" s="1"/>
  <c r="H50" i="15"/>
  <c r="I50" i="15" s="1"/>
  <c r="H53" i="15"/>
  <c r="I53" i="15" s="1"/>
  <c r="H86" i="15"/>
  <c r="I86" i="15" s="1"/>
  <c r="H90" i="15"/>
  <c r="H91" i="15" s="1"/>
  <c r="H10" i="15"/>
  <c r="I10" i="15" s="1"/>
  <c r="H22" i="15"/>
  <c r="I22" i="15" s="1"/>
  <c r="J22" i="15" s="1"/>
  <c r="H26" i="15"/>
  <c r="I26" i="15" s="1"/>
  <c r="H34" i="15"/>
  <c r="I34" i="15" s="1"/>
  <c r="J34" i="15" s="1"/>
  <c r="H36" i="15"/>
  <c r="I36" i="15" s="1"/>
  <c r="H81" i="15"/>
  <c r="I81" i="15" s="1"/>
  <c r="H13" i="15"/>
  <c r="I13" i="15" s="1"/>
  <c r="J13" i="15" s="1"/>
  <c r="H17" i="15"/>
  <c r="I17" i="15" s="1"/>
  <c r="J17" i="15" s="1"/>
  <c r="H19" i="15"/>
  <c r="I19" i="15" s="1"/>
  <c r="H31" i="15"/>
  <c r="I31" i="15" s="1"/>
  <c r="H44" i="15"/>
  <c r="I44" i="15" s="1"/>
  <c r="H47" i="15"/>
  <c r="I47" i="15" s="1"/>
  <c r="H57" i="15"/>
  <c r="I57" i="15" s="1"/>
  <c r="H73" i="15"/>
  <c r="H78" i="15"/>
  <c r="I78" i="15" s="1"/>
  <c r="H87" i="15"/>
  <c r="I87" i="15" s="1"/>
  <c r="I88" i="15"/>
  <c r="J88" i="15" s="1"/>
  <c r="I35" i="15"/>
  <c r="J35" i="15" s="1"/>
  <c r="N35" i="15" s="1"/>
  <c r="P35" i="15" s="1"/>
  <c r="Q35" i="15" s="1"/>
  <c r="I65" i="15"/>
  <c r="J65" i="15" s="1"/>
  <c r="I69" i="15"/>
  <c r="J69" i="15" s="1"/>
  <c r="I73" i="15"/>
  <c r="J73" i="15" s="1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47" i="15"/>
  <c r="K39" i="15"/>
  <c r="N39" i="15" s="1"/>
  <c r="P39" i="15" s="1"/>
  <c r="Q39" i="15" s="1"/>
  <c r="K67" i="15"/>
  <c r="K20" i="15"/>
  <c r="J45" i="15"/>
  <c r="N45" i="15" s="1"/>
  <c r="P45" i="15" s="1"/>
  <c r="Q45" i="15" s="1"/>
  <c r="S45" i="15" s="1"/>
  <c r="K24" i="15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N59" i="15" s="1"/>
  <c r="P59" i="15" s="1"/>
  <c r="Q59" i="15" s="1"/>
  <c r="S59" i="15" s="1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2" i="1" s="1"/>
  <c r="J26" i="15"/>
  <c r="N26" i="15" s="1"/>
  <c r="P26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J76" i="15"/>
  <c r="N76" i="15" s="1"/>
  <c r="P76" i="15" s="1"/>
  <c r="Q76" i="15" s="1"/>
  <c r="AY80" i="1" s="1"/>
  <c r="K34" i="15"/>
  <c r="N34" i="15" s="1"/>
  <c r="P34" i="15" s="1"/>
  <c r="Q34" i="15" s="1"/>
  <c r="K37" i="15"/>
  <c r="K65" i="15"/>
  <c r="J68" i="15"/>
  <c r="N68" i="15" s="1"/>
  <c r="P68" i="15" s="1"/>
  <c r="Q68" i="15" s="1"/>
  <c r="AM78" i="1" s="1"/>
  <c r="J71" i="15"/>
  <c r="N71" i="15" s="1"/>
  <c r="P71" i="15" s="1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K21" i="15"/>
  <c r="K13" i="15"/>
  <c r="N13" i="15" s="1"/>
  <c r="P13" i="15" s="1"/>
  <c r="Q13" i="15" s="1"/>
  <c r="K16" i="15"/>
  <c r="K69" i="15"/>
  <c r="N17" i="15"/>
  <c r="P17" i="15" s="1"/>
  <c r="Q17" i="15" s="1"/>
  <c r="S17" i="15" s="1"/>
  <c r="K25" i="15"/>
  <c r="K29" i="15"/>
  <c r="K61" i="15"/>
  <c r="AI58" i="1"/>
  <c r="K44" i="15"/>
  <c r="J44" i="15"/>
  <c r="N47" i="15"/>
  <c r="P47" i="15" s="1"/>
  <c r="Q47" i="15" s="1"/>
  <c r="S47" i="15" s="1"/>
  <c r="K48" i="15"/>
  <c r="J48" i="15"/>
  <c r="K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S86" i="15" l="1"/>
  <c r="J82" i="15"/>
  <c r="N82" i="15" s="1"/>
  <c r="P82" i="15" s="1"/>
  <c r="Q82" i="15" s="1"/>
  <c r="S82" i="15" s="1"/>
  <c r="S83" i="15"/>
  <c r="J53" i="15"/>
  <c r="N53" i="15" s="1"/>
  <c r="P53" i="15" s="1"/>
  <c r="Q53" i="15" s="1"/>
  <c r="S53" i="15" s="1"/>
  <c r="J72" i="15"/>
  <c r="N72" i="15" s="1"/>
  <c r="P72" i="15" s="1"/>
  <c r="Q72" i="15" s="1"/>
  <c r="S72" i="15" s="1"/>
  <c r="J10" i="15"/>
  <c r="N10" i="15" s="1"/>
  <c r="P10" i="15" s="1"/>
  <c r="Q10" i="15" s="1"/>
  <c r="J41" i="15"/>
  <c r="N41" i="15" s="1"/>
  <c r="P41" i="15" s="1"/>
  <c r="Q41" i="15" s="1"/>
  <c r="AT44" i="1" s="1"/>
  <c r="J87" i="15"/>
  <c r="N87" i="15" s="1"/>
  <c r="P87" i="15" s="1"/>
  <c r="Q87" i="15" s="1"/>
  <c r="BN22" i="1" s="1"/>
  <c r="J42" i="15"/>
  <c r="N42" i="15" s="1"/>
  <c r="P42" i="15" s="1"/>
  <c r="Q42" i="15" s="1"/>
  <c r="J52" i="15"/>
  <c r="N73" i="15"/>
  <c r="P73" i="15" s="1"/>
  <c r="Q73" i="15" s="1"/>
  <c r="AW51" i="1" s="1"/>
  <c r="J78" i="15"/>
  <c r="N78" i="15" s="1"/>
  <c r="P78" i="15" s="1"/>
  <c r="Q78" i="15" s="1"/>
  <c r="S78" i="15" s="1"/>
  <c r="J79" i="15"/>
  <c r="N79" i="15" s="1"/>
  <c r="P79" i="15" s="1"/>
  <c r="Q79" i="15" s="1"/>
  <c r="AF50" i="1" s="1"/>
  <c r="BF14" i="1"/>
  <c r="S35" i="15"/>
  <c r="BF72" i="1"/>
  <c r="BF13" i="1"/>
  <c r="BF16" i="1"/>
  <c r="BF17" i="1"/>
  <c r="BF71" i="1"/>
  <c r="N65" i="15"/>
  <c r="P65" i="15" s="1"/>
  <c r="Q65" i="15" s="1"/>
  <c r="S65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 s="1"/>
  <c r="N33" i="15" s="1"/>
  <c r="P33" i="15" s="1"/>
  <c r="Q33" i="15" s="1"/>
  <c r="I16" i="15"/>
  <c r="J16" i="15" s="1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3" i="1" s="1"/>
  <c r="I75" i="15"/>
  <c r="J75" i="15" s="1"/>
  <c r="N75" i="15" s="1"/>
  <c r="P75" i="15" s="1"/>
  <c r="Q75" i="15" s="1"/>
  <c r="I30" i="15"/>
  <c r="J30" i="15"/>
  <c r="N30" i="15" s="1"/>
  <c r="P30" i="15" s="1"/>
  <c r="Q30" i="15" s="1"/>
  <c r="I12" i="15"/>
  <c r="J12" i="15" s="1"/>
  <c r="N12" i="15" s="1"/>
  <c r="P12" i="15" s="1"/>
  <c r="Q12" i="15" s="1"/>
  <c r="S12" i="15" s="1"/>
  <c r="N69" i="15"/>
  <c r="P69" i="15" s="1"/>
  <c r="Q69" i="15" s="1"/>
  <c r="I29" i="15"/>
  <c r="J29" i="15" s="1"/>
  <c r="N29" i="15" s="1"/>
  <c r="P29" i="15" s="1"/>
  <c r="Q29" i="15" s="1"/>
  <c r="I84" i="15"/>
  <c r="J84" i="15" s="1"/>
  <c r="N84" i="15" s="1"/>
  <c r="P84" i="15" s="1"/>
  <c r="I56" i="15"/>
  <c r="J56" i="15" s="1"/>
  <c r="N56" i="15" s="1"/>
  <c r="P56" i="15" s="1"/>
  <c r="Q56" i="15" s="1"/>
  <c r="I25" i="15"/>
  <c r="J25" i="15" s="1"/>
  <c r="N25" i="15" s="1"/>
  <c r="P25" i="15" s="1"/>
  <c r="Q25" i="15" s="1"/>
  <c r="S25" i="15" s="1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N80" i="15" s="1"/>
  <c r="P80" i="15" s="1"/>
  <c r="Q80" i="15" s="1"/>
  <c r="I67" i="15"/>
  <c r="J67" i="15"/>
  <c r="N67" i="15" s="1"/>
  <c r="P67" i="15" s="1"/>
  <c r="Q67" i="15" s="1"/>
  <c r="S67" i="15" s="1"/>
  <c r="I38" i="15"/>
  <c r="J38" i="15"/>
  <c r="N38" i="15" s="1"/>
  <c r="P38" i="15" s="1"/>
  <c r="Q38" i="15" s="1"/>
  <c r="I21" i="15"/>
  <c r="J21" i="15"/>
  <c r="N21" i="15" s="1"/>
  <c r="P21" i="15" s="1"/>
  <c r="Q21" i="15" s="1"/>
  <c r="AF53" i="1"/>
  <c r="AF39" i="1"/>
  <c r="AF47" i="1"/>
  <c r="AF51" i="1"/>
  <c r="BF81" i="1"/>
  <c r="S79" i="15"/>
  <c r="BF79" i="1"/>
  <c r="AI59" i="1"/>
  <c r="BF65" i="1"/>
  <c r="BF18" i="1"/>
  <c r="N52" i="15"/>
  <c r="P52" i="15" s="1"/>
  <c r="Q52" i="15" s="1"/>
  <c r="S52" i="15" s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S18" i="15"/>
  <c r="W20" i="1"/>
  <c r="S64" i="15"/>
  <c r="AP9" i="1"/>
  <c r="AP39" i="1"/>
  <c r="AP11" i="1"/>
  <c r="AP21" i="1"/>
  <c r="BQ21" i="1" s="1"/>
  <c r="AP12" i="1"/>
  <c r="AP56" i="1"/>
  <c r="BQ56" i="1" s="1"/>
  <c r="AP10" i="1"/>
  <c r="AW49" i="1"/>
  <c r="AW35" i="1"/>
  <c r="BP35" i="1" s="1"/>
  <c r="AW50" i="1"/>
  <c r="Q70" i="15"/>
  <c r="S70" i="15" s="1"/>
  <c r="Q71" i="15"/>
  <c r="S71" i="15" s="1"/>
  <c r="S34" i="15"/>
  <c r="BD16" i="1"/>
  <c r="BQ15" i="1" s="1"/>
  <c r="BD13" i="1"/>
  <c r="BD14" i="1"/>
  <c r="BD15" i="1"/>
  <c r="BD71" i="1"/>
  <c r="S22" i="15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BP67" i="1" s="1"/>
  <c r="S69" i="15"/>
  <c r="AN80" i="1"/>
  <c r="BQ80" i="1" s="1"/>
  <c r="AN71" i="1"/>
  <c r="AN77" i="1"/>
  <c r="AN37" i="1"/>
  <c r="AN35" i="1"/>
  <c r="AN53" i="1"/>
  <c r="BQ53" i="1" s="1"/>
  <c r="AN46" i="1"/>
  <c r="AN3" i="1"/>
  <c r="AN63" i="1"/>
  <c r="AN72" i="1"/>
  <c r="AN44" i="1"/>
  <c r="AN13" i="1"/>
  <c r="AN79" i="1"/>
  <c r="AN69" i="1"/>
  <c r="BQ69" i="1" s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BQ54" i="1" s="1"/>
  <c r="AN43" i="1"/>
  <c r="AN40" i="1"/>
  <c r="AN34" i="1"/>
  <c r="AN60" i="1"/>
  <c r="AN83" i="1"/>
  <c r="AN73" i="1"/>
  <c r="AN67" i="1"/>
  <c r="AN45" i="1"/>
  <c r="AN7" i="1"/>
  <c r="S60" i="15"/>
  <c r="AQ59" i="1"/>
  <c r="AQ19" i="1"/>
  <c r="BP19" i="1" s="1"/>
  <c r="AQ58" i="1"/>
  <c r="AQ42" i="1"/>
  <c r="BP42" i="1" s="1"/>
  <c r="S41" i="15"/>
  <c r="AT45" i="1"/>
  <c r="N44" i="15"/>
  <c r="P44" i="15" s="1"/>
  <c r="Q44" i="15" s="1"/>
  <c r="AM45" i="1"/>
  <c r="AM70" i="1"/>
  <c r="AM60" i="1"/>
  <c r="BP60" i="1" s="1"/>
  <c r="AM72" i="1"/>
  <c r="BJ72" i="1"/>
  <c r="BJ17" i="1"/>
  <c r="BR17" i="1" s="1"/>
  <c r="BJ71" i="1"/>
  <c r="BJ16" i="1"/>
  <c r="S61" i="15"/>
  <c r="AR59" i="1"/>
  <c r="AR19" i="1"/>
  <c r="AR42" i="1"/>
  <c r="AR58" i="1"/>
  <c r="BQ58" i="1" s="1"/>
  <c r="S13" i="15"/>
  <c r="T10" i="1"/>
  <c r="T31" i="1"/>
  <c r="T9" i="1"/>
  <c r="T30" i="1"/>
  <c r="AM63" i="1"/>
  <c r="BP63" i="1" s="1"/>
  <c r="AM74" i="1"/>
  <c r="BP74" i="1" s="1"/>
  <c r="AM71" i="1"/>
  <c r="AM7" i="1"/>
  <c r="BP7" i="1" s="1"/>
  <c r="AM28" i="1"/>
  <c r="AM29" i="1"/>
  <c r="AM37" i="1"/>
  <c r="BP37" i="1" s="1"/>
  <c r="AM22" i="1"/>
  <c r="AM46" i="1"/>
  <c r="AM44" i="1"/>
  <c r="AM13" i="1"/>
  <c r="AM34" i="1"/>
  <c r="BP34" i="1" s="1"/>
  <c r="AM41" i="1"/>
  <c r="BP41" i="1" s="1"/>
  <c r="AM33" i="1"/>
  <c r="BP33" i="1" s="1"/>
  <c r="AM8" i="1"/>
  <c r="BP8" i="1" s="1"/>
  <c r="AM40" i="1"/>
  <c r="BP40" i="1" s="1"/>
  <c r="AM14" i="1"/>
  <c r="AM52" i="1"/>
  <c r="BP52" i="1" s="1"/>
  <c r="AM47" i="1"/>
  <c r="AM23" i="1"/>
  <c r="AM4" i="1"/>
  <c r="BP4" i="1" s="1"/>
  <c r="AM3" i="1"/>
  <c r="BP3" i="1" s="1"/>
  <c r="AM43" i="1"/>
  <c r="AM61" i="1"/>
  <c r="AM54" i="1"/>
  <c r="BP54" i="1" s="1"/>
  <c r="S68" i="15"/>
  <c r="AY83" i="1"/>
  <c r="S10" i="15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BP69" i="1" s="1"/>
  <c r="AM82" i="1"/>
  <c r="AM81" i="1"/>
  <c r="AY36" i="1"/>
  <c r="AY35" i="1"/>
  <c r="BQ35" i="1" s="1"/>
  <c r="AM73" i="1"/>
  <c r="BP73" i="1" s="1"/>
  <c r="AM53" i="1"/>
  <c r="BP53" i="1" s="1"/>
  <c r="S76" i="15"/>
  <c r="AM79" i="1"/>
  <c r="AM62" i="1"/>
  <c r="BP62" i="1" s="1"/>
  <c r="S43" i="15"/>
  <c r="AV47" i="1"/>
  <c r="Q26" i="15"/>
  <c r="S27" i="15"/>
  <c r="N48" i="15"/>
  <c r="P48" i="15" s="1"/>
  <c r="Q48" i="15" s="1"/>
  <c r="S23" i="15"/>
  <c r="AB44" i="1"/>
  <c r="AB49" i="1"/>
  <c r="AB45" i="1"/>
  <c r="AB51" i="1"/>
  <c r="AB50" i="1"/>
  <c r="AB46" i="1"/>
  <c r="AB47" i="1"/>
  <c r="AB43" i="1"/>
  <c r="AB48" i="1"/>
  <c r="S19" i="15"/>
  <c r="X52" i="1"/>
  <c r="S85" i="15"/>
  <c r="AJ56" i="1"/>
  <c r="AJ12" i="1"/>
  <c r="AJ31" i="1"/>
  <c r="AJ11" i="1"/>
  <c r="AJ39" i="1"/>
  <c r="AJ9" i="1"/>
  <c r="AJ30" i="1"/>
  <c r="AJ10" i="1"/>
  <c r="S11" i="15"/>
  <c r="S18" i="1"/>
  <c r="S7" i="1"/>
  <c r="S8" i="1"/>
  <c r="S74" i="15"/>
  <c r="AX80" i="1"/>
  <c r="AX35" i="1"/>
  <c r="BP58" i="1"/>
  <c r="S42" i="15"/>
  <c r="AU46" i="1"/>
  <c r="S15" i="15"/>
  <c r="U11" i="1"/>
  <c r="U12" i="1"/>
  <c r="S62" i="15"/>
  <c r="Q63" i="15"/>
  <c r="S63" i="15" s="1"/>
  <c r="AO12" i="1"/>
  <c r="AO9" i="1"/>
  <c r="AO10" i="1"/>
  <c r="AO31" i="1"/>
  <c r="AO56" i="1"/>
  <c r="AO39" i="1"/>
  <c r="AO21" i="1"/>
  <c r="BP21" i="1" s="1"/>
  <c r="AO30" i="1"/>
  <c r="AO11" i="1"/>
  <c r="S36" i="15"/>
  <c r="BH82" i="1"/>
  <c r="BH81" i="1"/>
  <c r="BH79" i="1"/>
  <c r="BH78" i="1"/>
  <c r="BP78" i="1" s="1"/>
  <c r="BH72" i="1"/>
  <c r="BH71" i="1"/>
  <c r="BH77" i="1"/>
  <c r="BH17" i="1"/>
  <c r="BH16" i="1"/>
  <c r="S32" i="15"/>
  <c r="BA18" i="1"/>
  <c r="K31" i="15"/>
  <c r="J31" i="15"/>
  <c r="BP31" i="1" l="1"/>
  <c r="BP30" i="1"/>
  <c r="BQ19" i="1"/>
  <c r="BR19" i="1"/>
  <c r="BQ18" i="1"/>
  <c r="BP77" i="1"/>
  <c r="BN26" i="1"/>
  <c r="BN28" i="1"/>
  <c r="BP59" i="1"/>
  <c r="BP51" i="1"/>
  <c r="BN29" i="1"/>
  <c r="BP29" i="1" s="1"/>
  <c r="BN23" i="1"/>
  <c r="BP23" i="1" s="1"/>
  <c r="S87" i="15"/>
  <c r="S73" i="15"/>
  <c r="AW83" i="1"/>
  <c r="BP83" i="1" s="1"/>
  <c r="BN27" i="1"/>
  <c r="BP44" i="1"/>
  <c r="BN24" i="1"/>
  <c r="AW80" i="1"/>
  <c r="BP80" i="1" s="1"/>
  <c r="AG47" i="1"/>
  <c r="AH47" i="1" s="1"/>
  <c r="AG35" i="1"/>
  <c r="AG53" i="1"/>
  <c r="AG48" i="1"/>
  <c r="AH48" i="1" s="1"/>
  <c r="AG44" i="1"/>
  <c r="AH44" i="1" s="1"/>
  <c r="AG33" i="1"/>
  <c r="AH33" i="1" s="1"/>
  <c r="AG40" i="1"/>
  <c r="S80" i="15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G39" i="1"/>
  <c r="AG42" i="1"/>
  <c r="AH42" i="1" s="1"/>
  <c r="AG38" i="1"/>
  <c r="AH38" i="1" s="1"/>
  <c r="AG32" i="1"/>
  <c r="AH32" i="1" s="1"/>
  <c r="AG50" i="1"/>
  <c r="AH50" i="1" s="1"/>
  <c r="BI78" i="1"/>
  <c r="BR78" i="1" s="1"/>
  <c r="BI81" i="1"/>
  <c r="BR81" i="1" s="1"/>
  <c r="BI16" i="1"/>
  <c r="BR16" i="1" s="1"/>
  <c r="BI72" i="1"/>
  <c r="BR72" i="1" s="1"/>
  <c r="BI15" i="1"/>
  <c r="BR15" i="1" s="1"/>
  <c r="BI66" i="1"/>
  <c r="BR66" i="1" s="1"/>
  <c r="BI77" i="1"/>
  <c r="BI65" i="1"/>
  <c r="BR65" i="1" s="1"/>
  <c r="BE71" i="1"/>
  <c r="BQ71" i="1" s="1"/>
  <c r="BE65" i="1"/>
  <c r="BQ65" i="1" s="1"/>
  <c r="BE66" i="1"/>
  <c r="BQ66" i="1" s="1"/>
  <c r="S33" i="15"/>
  <c r="BE81" i="1"/>
  <c r="BE16" i="1"/>
  <c r="BQ16" i="1" s="1"/>
  <c r="BE77" i="1"/>
  <c r="BQ77" i="1" s="1"/>
  <c r="BE72" i="1"/>
  <c r="BQ72" i="1" s="1"/>
  <c r="BE79" i="1"/>
  <c r="BQ79" i="1" s="1"/>
  <c r="BE78" i="1"/>
  <c r="BE17" i="1"/>
  <c r="BQ17" i="1" s="1"/>
  <c r="BE64" i="1"/>
  <c r="BQ64" i="1" s="1"/>
  <c r="AZ48" i="1"/>
  <c r="AZ55" i="1"/>
  <c r="BP55" i="1" s="1"/>
  <c r="AZ38" i="1"/>
  <c r="BP38" i="1" s="1"/>
  <c r="S75" i="15"/>
  <c r="AH51" i="1"/>
  <c r="AH52" i="1"/>
  <c r="B23" i="10"/>
  <c r="BO56" i="1"/>
  <c r="BR77" i="1"/>
  <c r="S88" i="15"/>
  <c r="V21" i="1"/>
  <c r="S16" i="15"/>
  <c r="V59" i="1"/>
  <c r="AH59" i="1" s="1"/>
  <c r="V58" i="1"/>
  <c r="AH58" i="1" s="1"/>
  <c r="S30" i="15"/>
  <c r="BC16" i="1"/>
  <c r="BC66" i="1"/>
  <c r="BP66" i="1" s="1"/>
  <c r="BC71" i="1"/>
  <c r="BC25" i="1"/>
  <c r="BC17" i="1"/>
  <c r="BP17" i="1" s="1"/>
  <c r="BC77" i="1"/>
  <c r="BC82" i="1"/>
  <c r="BC24" i="1"/>
  <c r="BP24" i="1" s="1"/>
  <c r="BC78" i="1"/>
  <c r="BC64" i="1"/>
  <c r="BP64" i="1" s="1"/>
  <c r="BC72" i="1"/>
  <c r="BC81" i="1"/>
  <c r="BP81" i="1" s="1"/>
  <c r="BC65" i="1"/>
  <c r="BP65" i="1" s="1"/>
  <c r="BC79" i="1"/>
  <c r="BG71" i="1"/>
  <c r="S37" i="15"/>
  <c r="BG13" i="1"/>
  <c r="BR13" i="1" s="1"/>
  <c r="BG14" i="1"/>
  <c r="BR14" i="1" s="1"/>
  <c r="BB14" i="1"/>
  <c r="BB25" i="1"/>
  <c r="BP25" i="1" s="1"/>
  <c r="S29" i="15"/>
  <c r="BB71" i="1"/>
  <c r="BB13" i="1"/>
  <c r="BP13" i="1" s="1"/>
  <c r="BB15" i="1"/>
  <c r="BB16" i="1"/>
  <c r="BP16" i="1" s="1"/>
  <c r="BM27" i="1"/>
  <c r="S91" i="15"/>
  <c r="BM26" i="1"/>
  <c r="BM6" i="1"/>
  <c r="BM5" i="1"/>
  <c r="Y67" i="1"/>
  <c r="Y36" i="1"/>
  <c r="Y64" i="1"/>
  <c r="Y63" i="1"/>
  <c r="Y19" i="1"/>
  <c r="Y60" i="1"/>
  <c r="S20" i="15"/>
  <c r="Y62" i="1"/>
  <c r="Y66" i="1"/>
  <c r="Y65" i="1"/>
  <c r="Z77" i="1"/>
  <c r="Z73" i="1"/>
  <c r="Z72" i="1"/>
  <c r="Z79" i="1"/>
  <c r="S21" i="15"/>
  <c r="Z69" i="1"/>
  <c r="Z75" i="1"/>
  <c r="Z74" i="1"/>
  <c r="Z70" i="1"/>
  <c r="Z76" i="1"/>
  <c r="Z78" i="1"/>
  <c r="Z71" i="1"/>
  <c r="AC41" i="1"/>
  <c r="AH41" i="1" s="1"/>
  <c r="S24" i="15"/>
  <c r="AC40" i="1"/>
  <c r="AH35" i="1"/>
  <c r="BQ59" i="1"/>
  <c r="BQ81" i="1"/>
  <c r="BQ13" i="1"/>
  <c r="AD57" i="1"/>
  <c r="AH57" i="1" s="1"/>
  <c r="BI71" i="1"/>
  <c r="BR71" i="1" s="1"/>
  <c r="BO54" i="1"/>
  <c r="BI64" i="1"/>
  <c r="BR64" i="1" s="1"/>
  <c r="BI79" i="1"/>
  <c r="BR79" i="1" s="1"/>
  <c r="BP49" i="1"/>
  <c r="AH37" i="1"/>
  <c r="BO55" i="1"/>
  <c r="H93" i="15"/>
  <c r="I92" i="15"/>
  <c r="J92" i="15" s="1"/>
  <c r="N92" i="15" s="1"/>
  <c r="P92" i="15" s="1"/>
  <c r="Q92" i="15" s="1"/>
  <c r="Q50" i="15"/>
  <c r="S49" i="15"/>
  <c r="AH53" i="1"/>
  <c r="BQ36" i="1"/>
  <c r="N31" i="15"/>
  <c r="P31" i="15" s="1"/>
  <c r="Q31" i="15" s="1"/>
  <c r="S31" i="15" s="1"/>
  <c r="AS48" i="1"/>
  <c r="BP47" i="1"/>
  <c r="BQ78" i="1"/>
  <c r="BQ83" i="1"/>
  <c r="AH39" i="1"/>
  <c r="AS43" i="1"/>
  <c r="BQ43" i="1" s="1"/>
  <c r="S44" i="15"/>
  <c r="BR45" i="1"/>
  <c r="BQ45" i="1"/>
  <c r="BR44" i="1"/>
  <c r="BQ44" i="1"/>
  <c r="BP22" i="1"/>
  <c r="BQ67" i="1"/>
  <c r="BR67" i="1"/>
  <c r="BR73" i="1"/>
  <c r="BQ73" i="1"/>
  <c r="BR47" i="1"/>
  <c r="BQ47" i="1"/>
  <c r="BP28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AH36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6" i="1"/>
  <c r="BP43" i="1"/>
  <c r="BQ46" i="1"/>
  <c r="BR46" i="1"/>
  <c r="BP46" i="1"/>
  <c r="S26" i="15"/>
  <c r="AE83" i="1"/>
  <c r="AH83" i="1" s="1"/>
  <c r="AE79" i="1"/>
  <c r="AH79" i="1" s="1"/>
  <c r="AE73" i="1"/>
  <c r="AE69" i="1"/>
  <c r="AE64" i="1"/>
  <c r="AE65" i="1"/>
  <c r="AH65" i="1" s="1"/>
  <c r="AE61" i="1"/>
  <c r="AH61" i="1" s="1"/>
  <c r="AE78" i="1"/>
  <c r="AH78" i="1" s="1"/>
  <c r="AE66" i="1"/>
  <c r="AH66" i="1" s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E5" i="1"/>
  <c r="AH5" i="1" s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H63" i="1" s="1"/>
  <c r="AE7" i="1"/>
  <c r="AH7" i="1" s="1"/>
  <c r="AE9" i="1"/>
  <c r="AH9" i="1" s="1"/>
  <c r="AE26" i="1"/>
  <c r="AH26" i="1" s="1"/>
  <c r="AE19" i="1"/>
  <c r="AE21" i="1"/>
  <c r="AH21" i="1" s="1"/>
  <c r="AE8" i="1"/>
  <c r="AH8" i="1" s="1"/>
  <c r="AE71" i="1"/>
  <c r="AH71" i="1" s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AH69" i="1" l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BP15" i="1"/>
  <c r="AH70" i="1"/>
  <c r="H94" i="15"/>
  <c r="I93" i="15"/>
  <c r="J93" i="15" s="1"/>
  <c r="N93" i="15" s="1"/>
  <c r="P93" i="15" s="1"/>
  <c r="Q93" i="15" s="1"/>
  <c r="AH72" i="1"/>
  <c r="BL6" i="1"/>
  <c r="BP6" i="1" s="1"/>
  <c r="BL27" i="1"/>
  <c r="BP27" i="1" s="1"/>
  <c r="S50" i="15"/>
  <c r="AH67" i="1"/>
  <c r="AL82" i="1"/>
  <c r="BP82" i="1" s="1"/>
  <c r="AL76" i="1"/>
  <c r="BP76" i="1" s="1"/>
  <c r="AL61" i="1"/>
  <c r="BP61" i="1" s="1"/>
  <c r="AL75" i="1"/>
  <c r="BP75" i="1" s="1"/>
  <c r="S92" i="15"/>
  <c r="AL68" i="1"/>
  <c r="BP68" i="1" s="1"/>
  <c r="AL70" i="1"/>
  <c r="BP70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I97" i="15" l="1"/>
  <c r="J97" i="15"/>
  <c r="N97" i="15" s="1"/>
  <c r="P97" i="15" s="1"/>
  <c r="Q97" i="15" s="1"/>
  <c r="Q2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<sst xmlns="http://schemas.openxmlformats.org/spreadsheetml/2006/main" count="5145" uniqueCount="1317">
  <si>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</si>
  <si>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</si>
  <si>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</si>
  <si>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</si>
  <si>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</si>
  <si>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</si>
  <si>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</si>
  <si>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</si>
  <si>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</si>
  <si>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</si>
  <si>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</si>
  <si>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</si>
  <si>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</si>
  <si>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</si>
  <si>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</si>
  <si>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</si>
  <si>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</si>
  <si>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</si>
  <si>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</si>
  <si>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</si>
  <si>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</si>
  <si>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</si>
  <si>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</si>
  <si>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</si>
  <si>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</si>
  <si>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</si>
  <si>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</si>
  <si>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</si>
  <si>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</si>
  <si>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</si>
  <si>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</si>
  <si>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</si>
  <si>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</si>
  <si>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</si>
  <si>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</si>
  <si>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</si>
  <si>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</si>
  <si>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</si>
  <si>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</si>
  <si>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</si>
  <si>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</si>
  <si>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</si>
  <si>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</si>
  <si>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</si>
  <si>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</si>
  <si>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</si>
  <si>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</si>
  <si>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</si>
  <si>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</si>
  <si>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</si>
  <si>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</si>
  <si>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</si>
  <si>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</si>
  <si>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</si>
  <si>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</si>
  <si>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</si>
  <si>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</si>
  <si>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</si>
  <si>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</si>
  <si>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</si>
  <si>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</si>
  <si>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</si>
  <si>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</si>
  <si>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</si>
  <si>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</si>
  <si>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</si>
  <si>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</si>
  <si>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</si>
  <si>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</si>
  <si>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</si>
  <si>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</si>
  <si>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</si>
  <si>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</si>
  <si>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</si>
  <si>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</si>
  <si>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</si>
  <si>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</si>
  <si>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</si>
  <si>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</si>
  <si>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</si>
  <si>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</si>
  <si>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</si>
  <si>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</si>
  <si>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</si>
  <si>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</si>
  <si>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</si>
  <si>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</si>
  <si>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</si>
  <si>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</si>
  <si>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</si>
  <si>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</si>
  <si>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</si>
  <si>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</si>
  <si>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</si>
  <si>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</si>
  <si>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</si>
  <si>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</si>
  <si>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</si>
  <si>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</si>
  <si>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</si>
  <si>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</si>
  <si>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</si>
  <si>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</si>
  <si>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</si>
  <si>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</si>
  <si>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</si>
  <si>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</si>
  <si>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</si>
  <si>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</si>
  <si>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</si>
  <si>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</si>
  <si>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</si>
  <si>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</si>
  <si>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</si>
  <si>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</si>
  <si>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</si>
  <si>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</si>
  <si>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</si>
  <si>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</si>
  <si>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</si>
  <si>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</si>
  <si>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</si>
  <si>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</si>
  <si>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</si>
  <si>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</si>
  <si>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</si>
  <si>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</si>
  <si>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</si>
  <si>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</si>
  <si>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</si>
  <si>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</si>
  <si>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</si>
  <si>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</si>
  <si>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</si>
  <si>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</si>
  <si>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</si>
  <si>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</si>
  <si>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</si>
  <si>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</si>
  <si>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</si>
  <si>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</si>
  <si>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</si>
  <si>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</si>
  <si>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</si>
  <si>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</si>
  <si>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</si>
  <si>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</si>
  <si>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</si>
  <si>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</si>
  <si>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</si>
  <si>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</si>
  <si>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</si>
  <si>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</si>
  <si>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</si>
  <si>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</si>
  <si>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</si>
  <si>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</si>
  <si>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</si>
  <si>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</si>
  <si>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</si>
  <si>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</si>
  <si>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</si>
  <si>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</si>
  <si>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</si>
  <si>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</si>
  <si>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</si>
  <si>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</si>
  <si>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</si>
  <si>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</si>
  <si>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</si>
  <si>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</si>
  <si>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</si>
  <si>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</si>
  <si>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</si>
  <si>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</si>
  <si>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</si>
  <si>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</si>
  <si>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</si>
  <si>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</si>
  <si>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</si>
  <si>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</si>
  <si>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</si>
  <si>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</si>
  <si>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</si>
  <si>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</si>
  <si>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</si>
  <si>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</si>
  <si>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</si>
  <si>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</si>
  <si>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</si>
  <si>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</si>
  <si>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</si>
  <si>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</si>
  <si>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</si>
  <si>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</si>
  <si>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</si>
  <si>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</si>
  <si>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</si>
  <si>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</si>
  <si>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</si>
  <si>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</si>
  <si>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</si>
  <si>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</si>
  <si>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</si>
  <si>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</si>
  <si>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</si>
  <si>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</si>
  <si>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</si>
  <si>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</si>
  <si>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</si>
  <si>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</si>
  <si>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</si>
  <si>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</si>
  <si>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</si>
  <si>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</si>
  <si>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</si>
  <si>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</si>
  <si>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</si>
  <si>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</si>
  <si>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</si>
  <si>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</si>
  <si>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</si>
  <si>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</si>
  <si>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</si>
  <si>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</si>
  <si>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</si>
  <si>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</si>
  <si>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</si>
  <si>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</si>
  <si>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</si>
  <si>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</si>
  <si>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</si>
  <si>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</si>
  <si>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</si>
  <si>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</si>
  <si>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</si>
  <si>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</si>
  <si>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</si>
  <si>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</si>
  <si>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</si>
  <si>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</si>
  <si>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</si>
  <si>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</si>
  <si>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</si>
  <si>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</si>
  <si>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</si>
  <si>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</si>
  <si>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</si>
  <si>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</si>
  <si>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</si>
  <si>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</si>
  <si>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</si>
  <si>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</si>
  <si>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</si>
  <si>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</si>
  <si>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</si>
  <si>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</si>
  <si>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</si>
  <si>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</si>
  <si>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</si>
  <si>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</si>
  <si>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</si>
  <si>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</si>
  <si>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</si>
  <si>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</si>
  <si>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</si>
  <si>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</si>
  <si>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</si>
  <si>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</si>
  <si>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</si>
  <si>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</si>
  <si>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</si>
  <si>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</si>
  <si>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</si>
  <si>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</si>
  <si>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</si>
  <si>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</si>
  <si>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</si>
  <si>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</si>
  <si>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</si>
  <si>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</si>
  <si>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</si>
  <si>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</si>
  <si>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</si>
  <si>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</si>
  <si>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</si>
  <si>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</si>
  <si>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</si>
  <si>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</si>
  <si>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</si>
  <si>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</si>
  <si>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</si>
  <si>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</si>
  <si>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</si>
  <si>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</si>
  <si>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</si>
  <si>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</si>
  <si>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</si>
  <si>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</si>
  <si>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</si>
  <si>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</si>
  <si>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</si>
  <si>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</si>
  <si>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</si>
  <si>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</si>
  <si>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</si>
  <si>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</si>
  <si>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</si>
  <si>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</si>
  <si>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</si>
  <si>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</si>
  <si>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</si>
  <si>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</si>
  <si>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</si>
  <si>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</si>
  <si>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</si>
  <si>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</si>
  <si>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</si>
  <si>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</si>
  <si>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</si>
  <si>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</si>
  <si>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</si>
  <si>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</si>
  <si>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</si>
  <si>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</si>
  <si>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</si>
  <si>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</si>
  <si>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</si>
  <si>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</si>
  <si>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</si>
  <si>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</si>
  <si>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</si>
  <si>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</si>
  <si>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</si>
  <si>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</si>
  <si>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</si>
  <si>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</si>
  <si>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</si>
  <si>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</si>
  <si>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</si>
  <si>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</si>
  <si>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</si>
  <si>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</si>
  <si>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</si>
  <si>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</si>
  <si>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</si>
  <si>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</si>
  <si>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</si>
  <si>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</si>
  <si>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</si>
  <si>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</si>
  <si>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</si>
  <si>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</si>
  <si>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</si>
  <si>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</si>
  <si>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</si>
  <si>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</si>
  <si>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</si>
  <si>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</si>
  <si>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</si>
  <si>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</si>
  <si>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</si>
  <si>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</si>
  <si>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</si>
  <si>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</si>
  <si>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</si>
  <si>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</si>
  <si>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</si>
  <si>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</si>
  <si>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</si>
  <si>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</si>
  <si>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</si>
  <si>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</si>
  <si>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</si>
  <si>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</si>
  <si>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</si>
  <si>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</si>
  <si>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</si>
  <si>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</si>
  <si>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</si>
  <si>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</si>
  <si>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</si>
  <si>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</si>
  <si>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</si>
  <si>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</si>
  <si>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</si>
  <si>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</si>
  <si>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</si>
  <si>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</si>
  <si>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</si>
  <si>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</si>
  <si>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</si>
  <si>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</si>
  <si>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</si>
  <si>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</si>
  <si>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</si>
  <si>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</si>
  <si>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</si>
  <si>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</si>
  <si>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</si>
  <si>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</si>
  <si>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</si>
  <si>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</si>
  <si>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</si>
  <si>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</si>
  <si>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</si>
  <si>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</si>
  <si>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</si>
  <si>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</si>
  <si>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</si>
  <si>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</si>
  <si>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</si>
  <si>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</si>
  <si>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</si>
  <si>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</si>
  <si>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</si>
  <si>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</si>
  <si>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</si>
  <si>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</si>
  <si>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</si>
  <si>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</si>
  <si>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</si>
  <si>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</si>
  <si>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</si>
  <si>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</si>
  <si>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</si>
  <si>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</si>
  <si>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</si>
  <si>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</si>
  <si>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</si>
  <si>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</si>
  <si>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</si>
  <si>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</si>
  <si>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</si>
  <si>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</si>
  <si>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</si>
  <si>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</si>
  <si>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</si>
  <si>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</si>
  <si>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</si>
  <si>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</si>
  <si>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</si>
  <si>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</si>
  <si>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</si>
  <si>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</si>
  <si>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</si>
  <si>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</si>
  <si>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</si>
  <si>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</si>
  <si>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</si>
  <si>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</si>
  <si>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</si>
  <si>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</si>
  <si>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</si>
  <si>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</si>
  <si>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</si>
  <si>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</si>
  <si>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</si>
  <si>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</si>
  <si>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</si>
  <si>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</si>
  <si>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</si>
  <si>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</si>
  <si>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</si>
  <si>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</si>
  <si>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</si>
  <si>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</si>
  <si>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</si>
  <si>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</si>
  <si>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</si>
  <si>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</si>
  <si>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</si>
  <si>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</si>
  <si>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</si>
  <si>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</si>
  <si>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</si>
  <si>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</si>
  <si>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</si>
  <si>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</si>
  <si>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</si>
  <si>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</si>
  <si>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</si>
  <si>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</si>
  <si>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</si>
  <si>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</si>
  <si>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</si>
  <si>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</si>
  <si>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</si>
  <si>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</si>
  <si>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</si>
  <si>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</si>
  <si>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</si>
  <si>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</si>
  <si>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</si>
  <si>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</si>
  <si>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</si>
  <si>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</si>
  <si>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</si>
  <si>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</si>
  <si>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</si>
  <si>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</si>
  <si>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</si>
  <si>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</si>
  <si>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</si>
  <si>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</si>
  <si>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</si>
  <si>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</si>
  <si>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</si>
  <si>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</si>
  <si>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</si>
  <si>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</si>
  <si>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</si>
  <si>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</si>
  <si>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</si>
  <si>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</si>
  <si>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</si>
  <si>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</si>
  <si>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</si>
  <si>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</si>
  <si>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</si>
  <si>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</si>
  <si>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</si>
  <si>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</si>
  <si>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</si>
  <si>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</si>
  <si>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</si>
  <si>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</si>
  <si>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</si>
  <si>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</si>
  <si>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</si>
  <si>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</si>
  <si>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</si>
  <si>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</si>
  <si>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</si>
  <si>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</si>
  <si>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</si>
  <si>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</si>
  <si>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</si>
  <si>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</si>
  <si>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</si>
  <si>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</si>
  <si>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</si>
  <si>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</si>
  <si>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</si>
  <si>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</si>
  <si>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</si>
  <si>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</si>
  <si>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</si>
  <si>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</si>
  <si>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</si>
  <si>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</si>
  <si>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</si>
  <si>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</si>
  <si>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</si>
  <si>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</si>
  <si>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</si>
  <si>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</si>
  <si>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</si>
  <si>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</si>
  <si>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</si>
  <si>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</si>
  <si>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</si>
  <si>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</si>
  <si>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</si>
  <si>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</si>
  <si>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</si>
  <si>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</si>
  <si>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</si>
  <si>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</si>
  <si>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</si>
  <si>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</si>
  <si>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</si>
  <si>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</si>
  <si>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</si>
  <si>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</si>
  <si>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</si>
  <si>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</si>
  <si>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</si>
  <si>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</si>
  <si>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</si>
  <si>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</si>
  <si>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</si>
  <si>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</si>
  <si>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</si>
  <si>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</si>
  <si>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</si>
  <si>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</si>
  <si>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</si>
  <si>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</si>
  <si>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</si>
  <si>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</si>
  <si>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</si>
  <si>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</si>
  <si>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</si>
  <si>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</si>
  <si>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</si>
  <si>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</si>
  <si>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</si>
  <si>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</si>
  <si>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</si>
  <si>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</si>
  <si>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</si>
  <si>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</si>
  <si>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</si>
  <si>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</si>
  <si>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</si>
  <si>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</si>
  <si>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</si>
  <si>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</si>
  <si>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</si>
  <si>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</si>
  <si>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</si>
  <si>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</si>
  <si>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</si>
  <si>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</si>
  <si>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</si>
  <si>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</si>
  <si>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</si>
  <si>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</si>
  <si>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</si>
  <si>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</si>
  <si>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</si>
  <si>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</si>
  <si>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</si>
  <si>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</si>
  <si>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</si>
  <si>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</si>
  <si>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</si>
  <si>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</si>
  <si>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</si>
  <si>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</si>
  <si>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</si>
  <si>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</si>
  <si>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</si>
  <si>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</si>
  <si>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</si>
  <si>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</si>
  <si>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</si>
  <si>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</si>
  <si>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</si>
  <si>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</si>
  <si>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</si>
  <si>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</si>
  <si>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</si>
  <si>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</si>
  <si>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</si>
  <si>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</si>
  <si>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</si>
  <si>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</si>
  <si>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</si>
  <si>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</si>
  <si>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</si>
  <si>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</si>
  <si>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</si>
  <si>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</si>
  <si>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</si>
  <si>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</si>
  <si>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</si>
  <si>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</si>
  <si>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</si>
  <si>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</si>
  <si>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</si>
  <si>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</si>
  <si>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</si>
  <si>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</si>
  <si>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</si>
  <si>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</si>
  <si>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</si>
  <si>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</si>
  <si>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</si>
  <si>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</si>
  <si>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</si>
  <si>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</si>
  <si>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</si>
  <si>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</si>
  <si>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</si>
  <si>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</si>
  <si>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</si>
  <si>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</si>
  <si>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</si>
  <si>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</si>
  <si>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</si>
  <si>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</si>
  <si>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</si>
  <si>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</si>
  <si>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</si>
  <si>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</si>
  <si>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</si>
  <si>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</si>
  <si>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</si>
  <si>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</si>
  <si>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</si>
  <si>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</si>
  <si>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</si>
  <si>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</si>
  <si>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</si>
  <si>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</si>
  <si>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</si>
  <si>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</si>
  <si>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</si>
  <si>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</si>
  <si>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</si>
  <si>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</si>
  <si>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</si>
  <si>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</si>
  <si>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</si>
  <si>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</si>
  <si>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</si>
  <si>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</si>
  <si>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</si>
  <si>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</si>
  <si>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</si>
  <si>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</si>
  <si>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</si>
  <si>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</si>
  <si>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</si>
  <si>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</si>
  <si>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</si>
  <si>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</si>
  <si>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</si>
  <si>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</si>
  <si>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</si>
  <si>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</si>
  <si>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</si>
  <si>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</si>
  <si>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</si>
  <si>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</si>
  <si>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</si>
  <si>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</si>
  <si>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</si>
  <si>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</si>
  <si>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</si>
  <si>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</si>
  <si>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</si>
  <si>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</si>
  <si>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</si>
  <si>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</si>
  <si>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</si>
  <si>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</si>
  <si>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</si>
  <si>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</si>
  <si>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</si>
  <si>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</si>
  <si>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</si>
  <si>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</si>
  <si>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</si>
  <si>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</si>
  <si>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</si>
  <si>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</si>
  <si>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</si>
  <si>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</si>
  <si>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</si>
  <si>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</si>
  <si>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</si>
  <si>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</si>
  <si>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</si>
  <si>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</si>
  <si>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</si>
  <si>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</si>
  <si>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</si>
  <si>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</si>
  <si>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</si>
  <si>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</si>
  <si>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</si>
  <si>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</si>
  <si>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</si>
  <si>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</si>
  <si>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</si>
  <si>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</si>
  <si>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</si>
  <si>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</si>
  <si>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</si>
  <si>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</si>
  <si>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</si>
  <si>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</si>
  <si>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</si>
  <si>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</si>
  <si>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</si>
  <si>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</si>
  <si>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</si>
  <si>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</si>
  <si>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</si>
  <si>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</si>
  <si>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</si>
  <si>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</si>
  <si>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</si>
  <si>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</si>
  <si>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</si>
  <si>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</si>
  <si>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</si>
  <si>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</si>
  <si>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</si>
  <si>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</si>
  <si>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</si>
  <si>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</si>
  <si>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</si>
  <si>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</si>
  <si>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</si>
  <si>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</si>
  <si>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</si>
  <si>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</si>
  <si>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</si>
  <si>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</si>
  <si>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</si>
  <si>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</si>
  <si>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</si>
  <si>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</si>
  <si>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</si>
  <si>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</si>
  <si>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</si>
  <si>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</si>
  <si>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</si>
  <si>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</si>
  <si>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</si>
  <si>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</si>
  <si>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</si>
  <si>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</si>
  <si>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</si>
  <si>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</si>
  <si>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</si>
  <si>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</si>
  <si>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</si>
  <si>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</si>
  <si>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</si>
  <si>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</si>
  <si>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</si>
  <si>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</si>
  <si>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</si>
  <si>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</si>
  <si>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</si>
  <si>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</si>
  <si>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</si>
  <si>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</si>
  <si>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</si>
  <si>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</si>
  <si>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</si>
  <si>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</si>
  <si>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</si>
  <si>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</si>
  <si>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</si>
  <si>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</si>
  <si>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</si>
  <si>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</si>
  <si>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</si>
  <si>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</si>
  <si>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</si>
  <si>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</si>
  <si>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</si>
  <si>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</si>
  <si>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</si>
  <si>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</si>
  <si>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</si>
  <si>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</si>
  <si>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</si>
  <si>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</si>
  <si>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</si>
  <si>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</si>
  <si>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</si>
  <si>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</si>
  <si>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</si>
  <si>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</si>
  <si>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</si>
  <si>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</si>
  <si>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</si>
  <si>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</si>
  <si>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</si>
  <si>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</si>
  <si>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</si>
  <si>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</si>
  <si>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</si>
  <si>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</si>
  <si>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</si>
  <si>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</si>
  <si>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</si>
  <si>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</si>
  <si>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</si>
  <si>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</si>
  <si>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</si>
  <si>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</si>
  <si>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</si>
  <si>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</si>
  <si>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</si>
  <si>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</si>
  <si>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</si>
  <si>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</si>
  <si>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</si>
  <si>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Гофрозаготовка,1280_3,401,1,724,509,64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</si>
  <si>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</si>
  <si>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</si>
  <si>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</si>
  <si>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</si>
  <si>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</si>
  <si>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</si>
  <si>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</si>
  <si>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</si>
  <si>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</si>
  <si>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</si>
  <si>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</si>
  <si>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</si>
  <si>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</si>
  <si>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</si>
  <si>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</si>
  <si>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</si>
  <si>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</si>
  <si>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</si>
  <si>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</si>
  <si>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</si>
  <si>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</si>
  <si>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</si>
  <si>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</si>
  <si>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</si>
  <si>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</si>
  <si>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</si>
  <si>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</si>
  <si>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</si>
  <si>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</si>
  <si>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</si>
  <si>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</si>
  <si>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</si>
  <si>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</si>
  <si>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</si>
  <si>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</si>
  <si>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</si>
  <si>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</si>
  <si>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</si>
  <si>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</si>
  <si>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</si>
  <si>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</si>
  <si>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</si>
  <si>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</si>
  <si>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</si>
  <si>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</si>
  <si>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</si>
  <si>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</si>
  <si>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</si>
  <si>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</si>
  <si>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</si>
  <si>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</si>
  <si>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</si>
  <si>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</si>
  <si>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</si>
  <si>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</si>
  <si>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</si>
  <si>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</si>
  <si>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</si>
  <si>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</si>
  <si>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</si>
  <si>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</si>
  <si>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</si>
  <si>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</si>
  <si>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</si>
  <si>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</si>
  <si>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</si>
  <si>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</si>
  <si>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</si>
  <si>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</si>
  <si>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</si>
  <si>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</si>
  <si>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</si>
  <si>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</si>
  <si>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</si>
  <si>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</si>
  <si>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</si>
  <si>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</si>
  <si>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</si>
  <si>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</si>
  <si>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</si>
  <si>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</si>
  <si>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</si>
  <si>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</si>
  <si>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</si>
  <si>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</si>
  <si>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</si>
  <si>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</si>
  <si>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</si>
  <si>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</si>
  <si>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</si>
  <si>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</si>
  <si>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</si>
  <si>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</si>
  <si>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</si>
  <si>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</si>
  <si>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</si>
  <si>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</si>
  <si>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</si>
  <si>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</si>
  <si>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</si>
  <si>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</si>
  <si>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</si>
  <si>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</si>
  <si>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</si>
  <si>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</si>
  <si>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</si>
  <si>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</si>
  <si>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</si>
  <si>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</si>
  <si>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</si>
  <si>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</si>
  <si>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</si>
  <si>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</si>
  <si>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</si>
  <si>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</si>
  <si>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</si>
  <si>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</si>
  <si>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</si>
  <si>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</si>
  <si>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</si>
  <si>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</si>
  <si>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</si>
  <si>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</si>
  <si>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</si>
  <si>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</si>
  <si>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</si>
  <si>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</si>
  <si>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</si>
  <si>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</si>
  <si>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</si>
  <si>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</si>
  <si>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</si>
  <si>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</si>
  <si>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</si>
  <si>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</si>
  <si>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</si>
  <si>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</si>
  <si>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</si>
  <si>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</si>
  <si>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</si>
  <si>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</si>
  <si>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</si>
  <si>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</si>
  <si>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</si>
  <si>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</si>
  <si>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</si>
  <si>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</si>
  <si>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</si>
  <si>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</si>
  <si>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</si>
  <si>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</si>
  <si>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</si>
  <si>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</si>
  <si>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</si>
  <si>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</si>
  <si>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</si>
  <si>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</si>
  <si>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</si>
  <si>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</si>
  <si>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</si>
  <si>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</si>
  <si>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</si>
  <si>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</si>
  <si>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</si>
  <si>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</si>
  <si>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</si>
  <si>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</si>
  <si>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</si>
  <si>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</si>
  <si>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</si>
  <si>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</si>
  <si>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</si>
  <si>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</si>
  <si>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</si>
  <si>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</si>
  <si>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</si>
  <si>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</si>
  <si>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</si>
  <si>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</si>
  <si>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</si>
  <si>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</si>
  <si>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</si>
  <si>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</si>
  <si>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</si>
  <si>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</si>
  <si>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</si>
  <si>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</si>
  <si>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</si>
  <si>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</si>
  <si>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</si>
  <si>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</si>
  <si>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</si>
  <si>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</si>
  <si>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</si>
  <si>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</si>
  <si>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</si>
  <si>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</si>
  <si>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</si>
  <si>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</si>
  <si>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</si>
  <si>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</si>
  <si>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</si>
  <si>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</si>
  <si>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</si>
  <si>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</si>
  <si>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</si>
  <si>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</si>
  <si>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</si>
  <si>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</si>
  <si>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</si>
  <si>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</si>
  <si>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</si>
  <si>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</si>
  <si>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</si>
  <si>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</si>
  <si>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</si>
  <si>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</si>
  <si>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</si>
  <si>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</si>
  <si>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</si>
  <si>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</si>
  <si>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</si>
  <si>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</si>
  <si>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</si>
  <si>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</si>
  <si>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</si>
  <si>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</si>
  <si>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</si>
  <si>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</si>
  <si>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</si>
  <si>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</si>
  <si>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</si>
  <si>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</si>
  <si>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</si>
  <si>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</si>
  <si>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</si>
  <si>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</si>
  <si>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</si>
  <si>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</si>
  <si>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</si>
  <si>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</si>
  <si>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</si>
  <si>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</si>
  <si>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</si>
  <si>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</si>
  <si>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</si>
  <si>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</si>
  <si>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</si>
  <si>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</si>
  <si>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</si>
  <si>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</si>
  <si>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</si>
  <si>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</si>
  <si>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</si>
  <si>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</si>
  <si>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</si>
  <si>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</si>
  <si>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</si>
  <si>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</si>
  <si>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</si>
  <si>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</si>
  <si>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</si>
  <si>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</si>
  <si>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</si>
  <si>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</si>
  <si>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</si>
  <si>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</si>
  <si>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</si>
  <si>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</si>
  <si>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</si>
  <si>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</si>
  <si>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</si>
  <si>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</si>
  <si>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</si>
  <si>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</si>
  <si>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</si>
  <si>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</si>
  <si>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</si>
  <si>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</si>
  <si>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</si>
  <si>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</si>
  <si>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</si>
  <si>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</si>
  <si>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</si>
  <si>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</si>
  <si>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</si>
  <si>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</si>
  <si>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</si>
  <si>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</si>
  <si>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</si>
  <si>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</si>
  <si>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</si>
  <si>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</si>
  <si>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</si>
  <si>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</si>
  <si>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</si>
  <si>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</si>
  <si>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</si>
  <si>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</si>
  <si>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</si>
  <si>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</si>
  <si>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</si>
  <si>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</si>
  <si>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</si>
  <si>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</si>
  <si>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</si>
  <si>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</si>
  <si>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</si>
  <si>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</si>
  <si>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</si>
  <si>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</si>
  <si>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</si>
  <si>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</si>
  <si>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</si>
  <si>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</si>
  <si>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</si>
  <si>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</si>
  <si>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</si>
  <si>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</si>
  <si>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</si>
  <si>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</si>
  <si>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</si>
  <si>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</si>
  <si>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</si>
  <si>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</si>
  <si>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</si>
  <si>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</si>
  <si>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</si>
  <si>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</si>
  <si>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</si>
  <si>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</si>
  <si>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</si>
  <si>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</si>
  <si>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</si>
  <si>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</si>
  <si>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</si>
  <si>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</si>
  <si>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</si>
  <si>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</si>
  <si>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</si>
  <si>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</si>
  <si>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</si>
  <si>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</si>
  <si>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</si>
  <si>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</si>
  <si>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</si>
  <si>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</si>
  <si>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</si>
  <si>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</si>
  <si>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</si>
  <si>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</si>
  <si>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</si>
  <si>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</si>
  <si>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</si>
  <si>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</si>
  <si>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</si>
  <si>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</si>
  <si>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</si>
  <si>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</si>
  <si>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</si>
  <si>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</si>
  <si>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</si>
  <si>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</si>
  <si>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</si>
  <si>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</si>
  <si>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</si>
  <si>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</si>
  <si>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</si>
  <si>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</si>
  <si>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</si>
  <si>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</si>
  <si>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</si>
  <si>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</si>
  <si>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</si>
  <si>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</si>
  <si>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</si>
  <si>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</si>
  <si>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</si>
  <si>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</si>
  <si>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</si>
  <si>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</si>
  <si>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</si>
  <si>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</si>
  <si>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</si>
  <si>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</si>
  <si>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</si>
  <si>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</si>
  <si>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</si>
  <si>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</si>
  <si>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</si>
  <si>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</si>
  <si>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</si>
  <si>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</si>
  <si>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</si>
  <si>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</si>
  <si>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</si>
  <si>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</si>
  <si>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</si>
  <si>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</si>
  <si>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</si>
  <si>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8012 вертикальный центральный 16 мм, 4700 мм,шт</t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</si>
  <si>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</si>
  <si>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</si>
  <si>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</si>
  <si>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</si>
  <si>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Столешница</t>
  </si>
  <si>
    <t>Стеновая панель</t>
  </si>
  <si>
    <t>Min Высота</t>
  </si>
  <si>
    <t>Min Ширина</t>
  </si>
  <si>
    <t>МАГНУМ*</t>
  </si>
  <si>
    <t>Max  Высота</t>
  </si>
  <si>
    <t>Max Ширина2</t>
  </si>
  <si>
    <t>$idak2115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</si>
  <si>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</si>
  <si>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</si>
  <si>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</si>
  <si>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</si>
  <si>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</si>
  <si>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</si>
  <si>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</si>
  <si>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</si>
  <si>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</si>
  <si>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</si>
  <si>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</si>
  <si>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</si>
  <si>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</si>
  <si>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</si>
  <si>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</si>
  <si>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МД</t>
  </si>
  <si>
    <t>МДФ 18 мм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</si>
</sst>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</numFmts>
  <fonts count="74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8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8" fillId="0" borderId="0"/>
    <xf numFmtId="0" fontId="65" fillId="0" borderId="0"/>
    <xf numFmtId="0" fontId="66" fillId="0" borderId="0"/>
    <xf numFmtId="0" fontId="65" fillId="0" borderId="0"/>
    <xf numFmtId="0" fontId="2" fillId="0" borderId="0"/>
  </cellStyleXfs>
  <cellXfs count="55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58" fillId="0" borderId="0" xfId="12" applyFont="1" applyFill="1" applyBorder="1" applyAlignment="1">
      <alignment horizontal="center" vertical="center" wrapText="1"/>
    </xf>
    <xf numFmtId="0" fontId="61" fillId="0" borderId="0" xfId="0" applyFont="1" applyAlignment="1">
      <alignment horizontal="center" vertical="center"/>
    </xf>
    <xf numFmtId="0" fontId="58" fillId="0" borderId="0" xfId="14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8" fillId="0" borderId="8" xfId="14" applyFont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67" fillId="13" borderId="41" xfId="9" applyFont="1" applyFill="1" applyBorder="1" applyAlignment="1">
      <alignment horizontal="center" vertical="center" wrapText="1"/>
    </xf>
    <xf numFmtId="44" fontId="67" fillId="13" borderId="38" xfId="10" applyFont="1" applyFill="1" applyBorder="1" applyAlignment="1">
      <alignment horizontal="center" vertical="center" wrapText="1"/>
    </xf>
    <xf numFmtId="44" fontId="67" fillId="13" borderId="0" xfId="10" applyFont="1" applyFill="1" applyBorder="1" applyAlignment="1">
      <alignment horizontal="center" vertical="center" wrapText="1"/>
    </xf>
    <xf numFmtId="44" fontId="67" fillId="13" borderId="41" xfId="10" applyFont="1" applyFill="1" applyBorder="1" applyAlignment="1">
      <alignment horizontal="center" vertical="center" wrapText="1"/>
    </xf>
    <xf numFmtId="44" fontId="67" fillId="14" borderId="38" xfId="10" applyFont="1" applyFill="1" applyBorder="1" applyAlignment="1">
      <alignment horizontal="center" vertical="center" wrapText="1"/>
    </xf>
    <xf numFmtId="44" fontId="67" fillId="14" borderId="48" xfId="10" applyFont="1" applyFill="1" applyBorder="1" applyAlignment="1">
      <alignment horizontal="center" vertical="center" wrapText="1"/>
    </xf>
    <xf numFmtId="44" fontId="67" fillId="14" borderId="8" xfId="10" applyFont="1" applyFill="1" applyBorder="1" applyAlignment="1">
      <alignment horizontal="center" vertical="center" wrapText="1"/>
    </xf>
    <xf numFmtId="44" fontId="67" fillId="14" borderId="45" xfId="10" applyFont="1" applyFill="1" applyBorder="1" applyAlignment="1">
      <alignment horizontal="center" vertical="center" wrapText="1"/>
    </xf>
    <xf numFmtId="44" fontId="67" fillId="13" borderId="45" xfId="10" applyFont="1" applyFill="1" applyBorder="1" applyAlignment="1">
      <alignment horizontal="center" vertical="center" wrapText="1"/>
    </xf>
    <xf numFmtId="44" fontId="67" fillId="14" borderId="47" xfId="10" applyFont="1" applyFill="1" applyBorder="1" applyAlignment="1">
      <alignment horizontal="center" vertical="center" wrapText="1"/>
    </xf>
    <xf numFmtId="44" fontId="67" fillId="13" borderId="44" xfId="10" applyFont="1" applyFill="1" applyBorder="1" applyAlignment="1">
      <alignment horizontal="center" vertical="center" wrapText="1"/>
    </xf>
    <xf numFmtId="2" fontId="68" fillId="6" borderId="0" xfId="0" applyNumberFormat="1" applyFont="1" applyFill="1" applyAlignment="1">
      <alignment horizontal="center" vertical="center"/>
    </xf>
    <xf numFmtId="49" fontId="3" fillId="19" borderId="0" xfId="2" applyNumberFormat="1" applyFont="1" applyFill="1" applyAlignment="1">
      <alignment horizontal="center" vertical="center" wrapText="1" shrinkToFit="1"/>
    </xf>
    <xf numFmtId="0" fontId="68" fillId="19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1" fillId="13" borderId="0" xfId="0" applyFont="1" applyFill="1" applyAlignment="1">
      <alignment horizontal="center" vertical="center"/>
    </xf>
    <xf numFmtId="0" fontId="61" fillId="14" borderId="0" xfId="0" applyFont="1" applyFill="1" applyAlignment="1">
      <alignment horizontal="center" vertical="center"/>
    </xf>
    <xf numFmtId="0" fontId="58" fillId="0" borderId="0" xfId="0" applyFont="1" applyAlignment="1">
      <alignment vertical="center"/>
    </xf>
    <xf numFmtId="37" fontId="69" fillId="0" borderId="0" xfId="4" applyNumberFormat="1" applyFont="1" applyFill="1" applyBorder="1" applyAlignment="1">
      <alignment horizontal="center" vertical="center" wrapText="1"/>
    </xf>
    <xf numFmtId="37" fontId="63" fillId="0" borderId="0" xfId="4" applyNumberFormat="1" applyFont="1" applyFill="1" applyBorder="1" applyAlignment="1">
      <alignment vertical="center" wrapText="1"/>
    </xf>
    <xf numFmtId="0" fontId="69" fillId="0" borderId="0" xfId="0" applyFont="1" applyAlignment="1">
      <alignment horizontal="center" vertical="center"/>
    </xf>
    <xf numFmtId="0" fontId="61" fillId="0" borderId="0" xfId="0" applyFont="1" applyAlignment="1">
      <alignment vertical="center"/>
    </xf>
    <xf numFmtId="0" fontId="63" fillId="0" borderId="0" xfId="9" applyFont="1" applyAlignment="1">
      <alignment vertical="center" wrapText="1"/>
    </xf>
    <xf numFmtId="0" fontId="61" fillId="0" borderId="0" xfId="9" applyFont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37" fontId="63" fillId="0" borderId="0" xfId="4" applyNumberFormat="1" applyFont="1" applyFill="1" applyBorder="1" applyAlignment="1">
      <alignment horizontal="center" vertical="center" wrapText="1"/>
    </xf>
    <xf numFmtId="0" fontId="63" fillId="0" borderId="0" xfId="9" applyFont="1" applyAlignment="1">
      <alignment horizontal="center" vertical="center" wrapText="1"/>
    </xf>
    <xf numFmtId="0" fontId="44" fillId="0" borderId="0" xfId="5" applyFont="1" applyAlignment="1">
      <alignment vertical="center"/>
    </xf>
    <xf numFmtId="0" fontId="43" fillId="0" borderId="0" xfId="9" applyFont="1" applyAlignment="1">
      <alignment vertical="center" wrapText="1"/>
    </xf>
    <xf numFmtId="0" fontId="62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58" fillId="0" borderId="0" xfId="9" applyFont="1" applyAlignment="1">
      <alignment vertical="center" wrapText="1"/>
    </xf>
    <xf numFmtId="37" fontId="61" fillId="0" borderId="0" xfId="4" applyNumberFormat="1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61" fillId="0" borderId="0" xfId="5" applyFon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4" fillId="0" borderId="38" xfId="0" applyNumberFormat="1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4" fillId="0" borderId="0" xfId="9" applyFont="1" applyAlignment="1">
      <alignment vertical="center" wrapText="1"/>
    </xf>
    <xf numFmtId="0" fontId="58" fillId="0" borderId="0" xfId="8" applyFont="1" applyAlignment="1">
      <alignment vertical="center" wrapText="1"/>
    </xf>
    <xf numFmtId="1" fontId="61" fillId="0" borderId="0" xfId="9" applyNumberFormat="1" applyFont="1" applyAlignment="1">
      <alignment horizontal="center" vertical="center" wrapText="1"/>
    </xf>
    <xf numFmtId="1" fontId="61" fillId="0" borderId="0" xfId="4" applyNumberFormat="1" applyFont="1" applyFill="1" applyBorder="1" applyAlignment="1">
      <alignment horizontal="center" vertical="center" wrapText="1"/>
    </xf>
    <xf numFmtId="49" fontId="58" fillId="0" borderId="0" xfId="0" applyNumberFormat="1" applyFont="1" applyAlignment="1">
      <alignment vertical="center"/>
    </xf>
    <xf numFmtId="0" fontId="61" fillId="0" borderId="0" xfId="8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62" fillId="0" borderId="0" xfId="0" applyFont="1" applyAlignment="1">
      <alignment horizontal="center" vertical="center" wrapText="1"/>
    </xf>
    <xf numFmtId="0" fontId="58" fillId="0" borderId="8" xfId="14" applyFont="1" applyBorder="1" applyAlignment="1">
      <alignment horizontal="left" vertical="center" wrapText="1"/>
    </xf>
    <xf numFmtId="164" fontId="44" fillId="0" borderId="0" xfId="5" applyNumberFormat="1" applyFont="1" applyAlignment="1">
      <alignment horizontal="center" vertical="center"/>
    </xf>
    <xf numFmtId="1" fontId="61" fillId="0" borderId="0" xfId="5" applyNumberFormat="1" applyFont="1" applyAlignment="1">
      <alignment horizontal="center" vertical="center"/>
    </xf>
    <xf numFmtId="1" fontId="61" fillId="0" borderId="0" xfId="0" applyNumberFormat="1" applyFont="1" applyAlignment="1">
      <alignment horizontal="center" vertical="center" wrapText="1"/>
    </xf>
    <xf numFmtId="37" fontId="58" fillId="0" borderId="29" xfId="4" applyNumberFormat="1" applyFont="1" applyFill="1" applyBorder="1" applyAlignment="1">
      <alignment vertical="center" wrapText="1"/>
    </xf>
    <xf numFmtId="37" fontId="58" fillId="0" borderId="38" xfId="4" applyNumberFormat="1" applyFont="1" applyFill="1" applyBorder="1" applyAlignment="1">
      <alignment vertical="center" wrapText="1"/>
    </xf>
    <xf numFmtId="37" fontId="58" fillId="0" borderId="8" xfId="4" applyNumberFormat="1" applyFont="1" applyFill="1" applyBorder="1" applyAlignment="1">
      <alignment vertical="center" wrapText="1"/>
    </xf>
    <xf numFmtId="1" fontId="58" fillId="0" borderId="8" xfId="4" applyNumberFormat="1" applyFont="1" applyFill="1" applyBorder="1" applyAlignment="1">
      <alignment horizontal="center" vertical="center" wrapText="1"/>
    </xf>
    <xf numFmtId="1" fontId="58" fillId="0" borderId="29" xfId="4" applyNumberFormat="1" applyFont="1" applyFill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4" fillId="0" borderId="0" xfId="9" applyFont="1" applyAlignment="1">
      <alignment horizontal="center" vertical="center" wrapText="1"/>
    </xf>
    <xf numFmtId="0" fontId="44" fillId="2" borderId="0" xfId="9" applyFont="1" applyFill="1" applyAlignment="1">
      <alignment horizontal="center" vertical="center" wrapText="1"/>
    </xf>
    <xf numFmtId="0" fontId="43" fillId="0" borderId="51" xfId="5" applyFont="1" applyBorder="1" applyAlignment="1">
      <alignment horizontal="center" vertical="center"/>
    </xf>
    <xf numFmtId="0" fontId="71" fillId="0" borderId="0" xfId="0" applyFont="1" applyAlignment="1">
      <alignment horizontal="left" vertical="center" wrapText="1"/>
    </xf>
    <xf numFmtId="0" fontId="71" fillId="0" borderId="0" xfId="0" applyFont="1" applyAlignment="1">
      <alignment horizontal="center" vertical="center" wrapText="1"/>
    </xf>
    <xf numFmtId="37" fontId="63" fillId="0" borderId="0" xfId="4" applyNumberFormat="1" applyFont="1" applyFill="1" applyAlignment="1">
      <alignment horizontal="center" vertical="center" wrapText="1"/>
    </xf>
    <xf numFmtId="37" fontId="69" fillId="0" borderId="0" xfId="4" applyNumberFormat="1" applyFont="1" applyFill="1" applyAlignment="1">
      <alignment horizontal="center" vertical="center" wrapText="1"/>
    </xf>
    <xf numFmtId="1" fontId="61" fillId="0" borderId="0" xfId="5" applyNumberFormat="1" applyFont="1" applyFill="1" applyAlignment="1">
      <alignment horizontal="center" vertical="center"/>
    </xf>
    <xf numFmtId="1" fontId="61" fillId="0" borderId="0" xfId="4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164" fontId="44" fillId="0" borderId="0" xfId="5" applyNumberFormat="1" applyFont="1" applyAlignment="1">
      <alignment horizontal="center" vertical="center" wrapText="1"/>
    </xf>
    <xf numFmtId="164" fontId="44" fillId="0" borderId="0" xfId="5" applyNumberFormat="1" applyFont="1" applyFill="1" applyAlignment="1">
      <alignment horizontal="center" vertical="center" wrapText="1"/>
    </xf>
    <xf numFmtId="1" fontId="44" fillId="0" borderId="0" xfId="5" applyNumberFormat="1" applyFont="1" applyFill="1" applyAlignment="1">
      <alignment horizontal="center" vertical="center" wrapText="1"/>
    </xf>
    <xf numFmtId="1" fontId="44" fillId="0" borderId="0" xfId="5" applyNumberFormat="1" applyFont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4" fontId="50" fillId="16" borderId="50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72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50" fillId="16" borderId="50" xfId="0" applyNumberFormat="1" applyFont="1" applyFill="1" applyBorder="1" applyAlignment="1">
      <alignment horizontal="right"/>
    </xf>
    <xf numFmtId="1" fontId="0" fillId="19" borderId="0" xfId="0" applyNumberFormat="1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164" fontId="10" fillId="19" borderId="0" xfId="0" applyNumberFormat="1" applyFont="1" applyFill="1" applyAlignment="1">
      <alignment horizontal="center" vertical="center"/>
    </xf>
    <xf numFmtId="164" fontId="0" fillId="19" borderId="0" xfId="0" applyNumberFormat="1" applyFill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172" fontId="0" fillId="19" borderId="0" xfId="0" applyNumberFormat="1" applyFill="1" applyAlignment="1">
      <alignment horizontal="center" vertical="center"/>
    </xf>
    <xf numFmtId="49" fontId="3" fillId="6" borderId="0" xfId="2" applyNumberFormat="1" applyFont="1" applyFill="1" applyAlignment="1">
      <alignment horizontal="center" vertical="center" wrapText="1" shrinkToFit="1"/>
    </xf>
    <xf numFmtId="1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164" fontId="10" fillId="6" borderId="0" xfId="0" applyNumberFormat="1" applyFont="1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72" fontId="0" fillId="6" borderId="0" xfId="0" applyNumberFormat="1" applyFill="1" applyAlignment="1">
      <alignment horizontal="center" vertical="center"/>
    </xf>
    <xf numFmtId="0" fontId="0" fillId="6" borderId="0" xfId="0" applyFill="1"/>
    <xf numFmtId="0" fontId="3" fillId="6" borderId="0" xfId="2" applyFont="1" applyFill="1" applyAlignment="1">
      <alignment horizontal="center" vertical="center" wrapText="1"/>
    </xf>
    <xf numFmtId="1" fontId="0" fillId="13" borderId="0" xfId="0" applyNumberFormat="1" applyFill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 wrapText="1" shrinkToFit="1"/>
    </xf>
    <xf numFmtId="49" fontId="3" fillId="6" borderId="0" xfId="2" applyNumberFormat="1" applyFont="1" applyFill="1" applyBorder="1" applyAlignment="1">
      <alignment horizontal="center" vertical="center" wrapText="1" shrinkToFit="1"/>
    </xf>
    <xf numFmtId="0" fontId="3" fillId="6" borderId="0" xfId="2" applyNumberFormat="1" applyFont="1" applyFill="1" applyBorder="1" applyAlignment="1">
      <alignment horizontal="center" vertical="center" wrapText="1"/>
    </xf>
    <xf numFmtId="49" fontId="3" fillId="15" borderId="0" xfId="2" applyNumberFormat="1" applyFont="1" applyFill="1" applyBorder="1" applyAlignment="1">
      <alignment horizontal="center" vertical="center" wrapText="1" shrinkToFit="1"/>
    </xf>
    <xf numFmtId="49" fontId="3" fillId="5" borderId="0" xfId="2" applyNumberFormat="1" applyFont="1" applyFill="1" applyBorder="1" applyAlignment="1">
      <alignment horizontal="center" vertical="center" wrapText="1" shrinkToFit="1"/>
    </xf>
    <xf numFmtId="0" fontId="48" fillId="15" borderId="0" xfId="2" applyNumberFormat="1" applyFont="1" applyFill="1" applyBorder="1" applyAlignment="1">
      <alignment horizontal="center" vertical="center" wrapText="1"/>
    </xf>
    <xf numFmtId="49" fontId="3" fillId="20" borderId="0" xfId="2" applyNumberFormat="1" applyFont="1" applyFill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 wrapText="1" shrinkToFit="1"/>
    </xf>
    <xf numFmtId="49" fontId="5" fillId="20" borderId="0" xfId="2" applyNumberFormat="1" applyFont="1" applyFill="1" applyBorder="1" applyAlignment="1">
      <alignment horizontal="center" vertical="center" wrapText="1" shrinkToFit="1"/>
    </xf>
    <xf numFmtId="49" fontId="5" fillId="0" borderId="0" xfId="2" applyNumberFormat="1" applyFont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/>
    </xf>
    <xf numFmtId="49" fontId="3" fillId="19" borderId="0" xfId="2" applyNumberFormat="1" applyFont="1" applyFill="1" applyBorder="1" applyAlignment="1">
      <alignment horizontal="center" vertical="center" wrapText="1" shrinkToFit="1"/>
    </xf>
    <xf numFmtId="0" fontId="73" fillId="0" borderId="52" xfId="0" applyFont="1" applyBorder="1" applyAlignment="1">
      <alignment horizontal="center" vertical="center" wrapText="1"/>
    </xf>
    <xf numFmtId="1" fontId="68" fillId="15" borderId="0" xfId="0" applyNumberFormat="1" applyFont="1" applyFill="1" applyAlignment="1">
      <alignment horizontal="center" vertical="center"/>
    </xf>
    <xf numFmtId="1" fontId="68" fillId="19" borderId="0" xfId="0" applyNumberFormat="1" applyFont="1" applyFill="1" applyAlignment="1">
      <alignment horizontal="center" vertical="center"/>
    </xf>
    <xf numFmtId="1" fontId="68" fillId="6" borderId="0" xfId="0" applyNumberFormat="1" applyFont="1" applyFill="1" applyAlignment="1">
      <alignment horizontal="center" vertical="center"/>
    </xf>
    <xf numFmtId="1" fontId="68" fillId="5" borderId="0" xfId="0" applyNumberFormat="1" applyFont="1" applyFill="1" applyAlignment="1">
      <alignment horizontal="center" vertical="center"/>
    </xf>
    <xf numFmtId="1" fontId="68" fillId="13" borderId="0" xfId="0" applyNumberFormat="1" applyFont="1" applyFill="1" applyAlignment="1">
      <alignment horizontal="center" vertical="center"/>
    </xf>
    <xf numFmtId="1" fontId="68" fillId="20" borderId="0" xfId="0" applyNumberFormat="1" applyFont="1" applyFill="1" applyAlignment="1">
      <alignment horizontal="center" vertical="center"/>
    </xf>
    <xf numFmtId="1" fontId="68" fillId="0" borderId="0" xfId="0" applyNumberFormat="1" applyFont="1" applyAlignment="1">
      <alignment horizontal="center" vertical="center"/>
    </xf>
    <xf numFmtId="1" fontId="68" fillId="0" borderId="49" xfId="0" applyNumberFormat="1" applyFont="1" applyBorder="1" applyAlignment="1">
      <alignment horizontal="center" vertical="center"/>
    </xf>
    <xf numFmtId="2" fontId="68" fillId="20" borderId="0" xfId="0" applyNumberFormat="1" applyFont="1" applyFill="1" applyAlignment="1">
      <alignment horizontal="center" vertical="center"/>
    </xf>
    <xf numFmtId="2" fontId="68" fillId="0" borderId="0" xfId="0" applyNumberFormat="1" applyFont="1" applyAlignment="1">
      <alignment horizontal="center" vertical="center"/>
    </xf>
    <xf numFmtId="2" fontId="68" fillId="19" borderId="0" xfId="0" applyNumberFormat="1" applyFont="1" applyFill="1" applyAlignment="1">
      <alignment horizontal="center" vertical="center"/>
    </xf>
    <xf numFmtId="2" fontId="68" fillId="0" borderId="4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4" fillId="0" borderId="51" xfId="5" applyFont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</cellXfs>
  <cellStyles count="18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65"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38100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2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Разблокировать листы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5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5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5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8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8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8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8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8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8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8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8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8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8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8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8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8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8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8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8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8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8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8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8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8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8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8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8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8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8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8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8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8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8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8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8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8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8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8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8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8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8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8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8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8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8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8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8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8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8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8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8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8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8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8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8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8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8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8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8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8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8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8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8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8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8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8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8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8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8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8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8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8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8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8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8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8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8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8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8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8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8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8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8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P9" totalsRowShown="0" headerRowDxfId="364" dataDxfId="363">
  <autoFilter ref="AI1:AP9" xr:uid="{50882B67-AB0E-4D1D-8D9B-BE8647CCB6FD}"/>
  <tableColumns count="8">
    <tableColumn id="1" xr3:uid="{962CC0D1-8897-4E23-80D6-6C43B85D509B}" name="Производитель" dataDxfId="362"/>
    <tableColumn id="2" xr3:uid="{7CC25ABE-DE07-4A47-B0E8-215761F7BB52}" name="Цвет столешницы" dataDxfId="361"/>
    <tableColumn id="3" xr3:uid="{02706A5A-3241-4915-A470-9CE1224669E1}" name="Толщина столешницы" dataDxfId="360"/>
    <tableColumn id="4" xr3:uid="{DF4CEEA3-2F4D-44A6-91CC-4413EDA49840}" name="Высота" dataDxfId="359"/>
    <tableColumn id="5" xr3:uid="{0FB631AF-3678-45E2-93DA-927A54E37630}" name="Ширина" dataDxfId="358"/>
    <tableColumn id="6" xr3:uid="{25B0E2DC-597E-4CAC-9F65-BCA1270680F0}" name="Кол-во" dataDxfId="357"/>
    <tableColumn id="7" xr3:uid="{8D455528-A68B-42AF-9FE4-BACA36AF6E57}" name="Стоимость" dataDxfId="356"/>
    <tableColumn id="8" xr3:uid="{F088565C-54FC-4E92-9474-475D515A691D}" name="Тип изделия" dataDxfId="35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4" totalsRowShown="0" headerRowDxfId="354" dataDxfId="353">
  <autoFilter ref="A1:AB4" xr:uid="{D4F3A028-0284-448B-B761-F4C0DA488444}"/>
  <tableColumns count="28">
    <tableColumn id="1" xr3:uid="{39D9C31B-7DA2-46D6-9F0B-68FC0131ABF6}" name="Номенклатура" dataDxfId="352"/>
    <tableColumn id="2" xr3:uid="{C7C69AFF-FA90-41CC-A9E2-058EBD7D77CD}" name="Высота" dataDxfId="351"/>
    <tableColumn id="3" xr3:uid="{B7EE3C42-A968-4FEC-88D8-BC496D839D62}" name="Ширина" dataDxfId="350"/>
    <tableColumn id="4" xr3:uid="{98E13676-95F6-4CF2-86C8-F66F2DD26EB4}" name="Глубина" dataDxfId="349"/>
    <tableColumn id="5" xr3:uid="{AB63E985-C950-4885-A9F9-FC55B6FCFC53}" name="Кол-во" dataDxfId="348"/>
    <tableColumn id="6" xr3:uid="{AFE1B10A-AF7D-4798-92CE-5CB9CC64B0C5}" name="Цена корпуса" dataDxfId="347"/>
    <tableColumn id="7" xr3:uid="{928E6D7D-507E-4E4E-8E2D-6B96B2D34BFB}" name="Фасады,м2" dataDxfId="346"/>
    <tableColumn id="8" xr3:uid="{61CD4F81-3C7F-4615-A4AE-C5C068FE6DC8}" name="Полки,шт." dataDxfId="345"/>
    <tableColumn id="9" xr3:uid="{771CB635-6A0A-4512-A84D-09B5616255EB}" name="Полки,м2" dataDxfId="2"/>
    <tableColumn id="10" xr3:uid="{E97FFA62-D0DC-467E-A915-006730AD0246}" name="Цена фасадов" dataDxfId="0"/>
    <tableColumn id="11" xr3:uid="{B7B56644-7D45-42D3-8A92-E3E88AFBCD9A}" name="Цена полок" dataDxfId="1"/>
    <tableColumn id="12" xr3:uid="{E2586CEE-2BA9-436E-9A9D-189C01091482}" name="Цена Gola" dataDxfId="344"/>
    <tableColumn id="13" xr3:uid="{8EDEEE16-2F5D-40C5-8E51-F027E433FCC8}" name="Базовая цена корпуса" dataDxfId="343"/>
    <tableColumn id="14" xr3:uid="{733A331D-D3D6-4C5C-B4C6-81F6E38B42EB}" name="Базовая ширина" dataDxfId="342"/>
    <tableColumn id="15" xr3:uid="{C37697EF-1C5C-4B12-9A58-18EF102E18BA}" name="Тип фасада" dataDxfId="341"/>
    <tableColumn id="16" xr3:uid="{BFAEE921-17D1-482D-8AFE-BCA4592043E3}" name="Комплектация" dataDxfId="340"/>
    <tableColumn id="17" xr3:uid="{901710DC-FA92-41CD-B020-B9B0376A2708}" name="Тип модуля" dataDxfId="339"/>
    <tableColumn id="18" xr3:uid="{71747269-4698-4393-83B1-D40344E3371D}" name="Коллекция" dataDxfId="338"/>
    <tableColumn id="19" xr3:uid="{0FE39BAE-6813-4443-98AC-D1B44EDC361B}" name="Цвет" dataDxfId="337"/>
    <tableColumn id="20" xr3:uid="{CA43E0ED-5159-4517-AE60-3D90A6BD3FD5}" name="Фрезеровка" dataDxfId="336"/>
    <tableColumn id="21" xr3:uid="{4A1B7060-A702-426C-9672-3B4FD0B688DE}" name="Толщина" dataDxfId="335"/>
    <tableColumn id="22" xr3:uid="{AA477E39-2A7C-4888-A82A-496365A4ED5C}" name="Уровень модуля" dataDxfId="334"/>
    <tableColumn id="24" xr3:uid="{CA26B4F5-5FB6-48B5-A418-813B9214416B}" name="Базовый комплект" dataDxfId="333"/>
    <tableColumn id="25" xr3:uid="{83C11B05-70B6-4F6E-B25F-7B11FED70746}" name="Добавочная цена от комплектации" dataDxfId="332"/>
    <tableColumn id="26" xr3:uid="{4658F6F2-B364-4E9A-9BE2-441A2EB91753}" name="Цвет стекла для витрины" dataDxfId="331"/>
    <tableColumn id="27" xr3:uid="{FA51153F-6894-4041-B908-9F5A18CF9C53}" name="Цена стекла для витрины" dataDxfId="330"/>
    <tableColumn id="28" xr3:uid="{1BCE5EAA-2E71-4052-9224-582430B773C6}" name="Материал полок" dataDxfId="329"/>
    <tableColumn id="23" xr3:uid="{EFA5485C-D295-45EF-B2A8-69C25D9A3AE1}" name="Цена корпус + полки" dataDxfId="32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R1:BB24" totalsRowShown="0" headerRowDxfId="327" dataDxfId="325" headerRowBorderDxfId="326" tableBorderDxfId="324">
  <autoFilter ref="AR1:BB24" xr:uid="{57F00D2F-AA0C-4156-915B-B306A91597A5}"/>
  <tableColumns count="11">
    <tableColumn id="1" xr3:uid="{48948D67-825B-4852-A86B-D819F254F35E}" name="Коллекция" dataDxfId="323"/>
    <tableColumn id="2" xr3:uid="{48B564FD-3615-4B58-A148-CAD48DAD8DB7}" name="Цвет" dataDxfId="322"/>
    <tableColumn id="3" xr3:uid="{C755535E-3F47-42EC-8475-0947E7D6E5AA}" name="Фрезеровка" dataDxfId="321"/>
    <tableColumn id="4" xr3:uid="{310DE785-7C85-4A76-A776-A271F72A8DB3}" name="Толщина" dataDxfId="320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19"/>
    <tableColumn id="6" xr3:uid="{7D4A6826-94EB-416F-A133-8E4B18BF5352}" name="Цена стекла для витрины" dataDxfId="318"/>
    <tableColumn id="7" xr3:uid="{4D447D47-E156-4D46-B0B6-E6DCB769B70F}" name="Кол-во" dataDxfId="317"/>
    <tableColumn id="8" xr3:uid="{CC4C2AC0-4070-46AB-92C3-14ED9D649A84}" name="Стоимость" dataDxfId="3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D1:BI5" totalsRowShown="0" headerRowDxfId="315" tableBorderDxfId="314">
  <autoFilter ref="BD1:BI5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K1:BN6" totalsRowShown="0">
  <autoFilter ref="BK1:BN6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G87" totalsRowCount="1" headerRowDxfId="313" dataDxfId="312">
  <autoFilter ref="A1:G86" xr:uid="{C5F50D1D-28FA-44C4-B1D4-E4F53EB44E9A}"/>
  <tableColumns count="7">
    <tableColumn id="1" xr3:uid="{789BF066-1199-4222-AC2F-B316242716BE}" name="Модуль" totalsRowLabel="Итог" dataDxfId="311" totalsRowDxfId="310" dataCellStyle="Обычный 3 3"/>
    <tableColumn id="2" xr3:uid="{EF146BD4-CF08-4961-ABD5-2DFA66F3F88E}" name="Тест" totalsRowFunction="sum" dataDxfId="309" totalsRowDxfId="308"/>
    <tableColumn id="3" xr3:uid="{1FED6511-3B3F-4694-A672-4610CFCC9DE9}" name="Цена БЗ компл 2" dataDxfId="307" totalsRowDxfId="306"/>
    <tableColumn id="4" xr3:uid="{464502FC-B950-4DA7-887E-64E4E0AABE09}" name="Моя цена Компл 2" dataDxfId="305" totalsRowDxfId="304"/>
    <tableColumn id="7" xr3:uid="{1EE0E3C0-0185-43A0-B00D-14904E0086BF}" name="Цена БЗ компл 3" dataDxfId="303" totalsRowDxfId="302"/>
    <tableColumn id="6" xr3:uid="{D7192721-B832-4B62-8E41-1F776C3DF3F1}" name="Моя цена Компл 3" dataDxfId="301" totalsRowDxfId="300"/>
    <tableColumn id="5" xr3:uid="{A7FBE203-7265-44C8-911A-C66F819A2F81}" name="Разница" dataDxfId="299" totalsRowDxfId="298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38756B1-E45C-4608-A428-223113470A43}" name="Заказ_Столешницы35" displayName="Заказ_Столешницы35" ref="AI1:AP9" totalsRowShown="0" headerRowDxfId="56" dataDxfId="55">
  <autoFilter ref="AI1:AP9" xr:uid="{50882B67-AB0E-4D1D-8D9B-BE8647CCB6FD}"/>
  <tableColumns count="8">
    <tableColumn id="1" xr3:uid="{A50E8683-BF2F-4B0D-8AD9-BED67EC03ACA}" name="Производитель" dataDxfId="54"/>
    <tableColumn id="2" xr3:uid="{DDA45CE8-D9AC-40C7-8E86-0501D1FBDB60}" name="Цвет столешницы" dataDxfId="53"/>
    <tableColumn id="3" xr3:uid="{9CF5534C-8A94-498C-9D05-E810E924A5F5}" name="Толщина столешницы" dataDxfId="52"/>
    <tableColumn id="4" xr3:uid="{717F12D3-BC53-4E70-8335-94B0786C69F4}" name="Высота" dataDxfId="51"/>
    <tableColumn id="5" xr3:uid="{76065151-8747-4082-A22B-FA0EF3394603}" name="Ширина" dataDxfId="50"/>
    <tableColumn id="6" xr3:uid="{B33AC225-B08F-466E-BCCA-8A76A966CA31}" name="Кол-во" dataDxfId="49"/>
    <tableColumn id="7" xr3:uid="{7B1C5D3E-BEDC-4D15-B563-B121430D84B3}" name="Стоимость" dataDxfId="48"/>
    <tableColumn id="8" xr3:uid="{3CD018CB-40FF-4AE6-B435-7DBD30D5A58C}" name="Тип изделия" dataDxfId="47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B2EA7F6-104A-4500-A711-186BF35BDE38}" name="Корзина36" displayName="Корзина36" ref="A1:AB81" totalsRowShown="0" headerRowDxfId="46" dataDxfId="45">
  <autoFilter ref="A1:AB81" xr:uid="{D4F3A028-0284-448B-B761-F4C0DA488444}"/>
  <tableColumns count="28">
    <tableColumn id="1" xr3:uid="{FB72E452-6B7E-41A8-AC09-FAF3ED30512D}" name="Номенклатура" dataDxfId="44"/>
    <tableColumn id="2" xr3:uid="{C5CCDFB7-4563-42E1-8467-B7B619EDFBED}" name="Высота" dataDxfId="43"/>
    <tableColumn id="3" xr3:uid="{F670D2A5-5B66-47C3-B800-79F80A29CCA0}" name="Ширина" dataDxfId="42"/>
    <tableColumn id="4" xr3:uid="{0F86C924-E230-4C78-9C25-A696584F1CCD}" name="Глубина" dataDxfId="41"/>
    <tableColumn id="5" xr3:uid="{908BBF91-61AE-44CE-BD3B-BAAFE1C19741}" name="Кол-во" dataDxfId="40"/>
    <tableColumn id="6" xr3:uid="{E6E0E32C-A249-4436-9A07-FEF7AF2F626A}" name="Цена корпуса" dataDxfId="39"/>
    <tableColumn id="7" xr3:uid="{CA8852FB-1374-446B-8282-B40CECFF2074}" name="Фасады,м2" dataDxfId="38"/>
    <tableColumn id="8" xr3:uid="{9B50FA2F-DE11-4785-896B-5A3A96544548}" name="Полки,шт." dataDxfId="37"/>
    <tableColumn id="9" xr3:uid="{2ECB990E-F00A-4923-9473-2D918C6A7BDD}" name="Полки,м2" dataDxfId="36"/>
    <tableColumn id="10" xr3:uid="{8E4A1C1A-2A7E-460B-9191-0A5BE7E19502}" name="Цена фасадов" dataDxfId="35"/>
    <tableColumn id="11" xr3:uid="{D2629B47-F814-4B70-BEAC-1B18E12CFF52}" name="Цена полок" dataDxfId="34"/>
    <tableColumn id="12" xr3:uid="{10B7D042-C7BD-4E23-B0E9-093DC35B7CB9}" name="Цена Gola" dataDxfId="33"/>
    <tableColumn id="13" xr3:uid="{154E96C6-6CE8-42B2-876E-3790AEF9046D}" name="Базовая цена корпуса" dataDxfId="32"/>
    <tableColumn id="14" xr3:uid="{79FD379D-EDA0-4145-B0B7-9ABC74C43637}" name="Базовая ширина" dataDxfId="31"/>
    <tableColumn id="15" xr3:uid="{B87D2604-945F-4291-9E14-896952AACF94}" name="Тип фасада" dataDxfId="30"/>
    <tableColumn id="16" xr3:uid="{4EC21E81-3694-4EEB-8732-F9674492AC51}" name="Комплектация" dataDxfId="29"/>
    <tableColumn id="17" xr3:uid="{9ED7BB6F-7FBC-4618-85BB-BE19A7809093}" name="Тип модуля" dataDxfId="28"/>
    <tableColumn id="18" xr3:uid="{BC88969D-81D7-4E4A-86F4-C8782D5720AF}" name="Коллекция" dataDxfId="27"/>
    <tableColumn id="19" xr3:uid="{14A4CBBB-B9FD-4601-BA0C-4F0DAB0DA007}" name="Цвет" dataDxfId="26"/>
    <tableColumn id="20" xr3:uid="{466FF51F-CCF2-465E-BF0A-F87AB3E689A0}" name="Фрезеровка" dataDxfId="25"/>
    <tableColumn id="21" xr3:uid="{D8699522-E4C4-401A-84C9-A1F0152418A7}" name="Толщина" dataDxfId="24"/>
    <tableColumn id="22" xr3:uid="{90F53071-AF43-4B5B-82AD-AD2241374FB9}" name="Уровень модуля" dataDxfId="23"/>
    <tableColumn id="24" xr3:uid="{807D1527-ED6F-4879-90DC-B66C9B1B62CF}" name="Базовый комплект" dataDxfId="22"/>
    <tableColumn id="25" xr3:uid="{1FC638D8-DFC0-4B55-838A-D413EA007CCF}" name="Добавочная цена от комплектации" dataDxfId="21"/>
    <tableColumn id="26" xr3:uid="{47DEF65F-07E5-47B3-986B-DE63E33D22A8}" name="Цвет стекла для витрины" dataDxfId="20"/>
    <tableColumn id="27" xr3:uid="{858DB0FE-AE6C-4FA6-B60E-DB1CBD98A34A}" name="Цена стекла для витрины" dataDxfId="19"/>
    <tableColumn id="28" xr3:uid="{A6EE233D-E3B0-4BE8-89B9-8B6C1E79D86A}" name="Материал полок" dataDxfId="18"/>
    <tableColumn id="23" xr3:uid="{681651B4-CD13-4133-BDE2-2369E69DD8DE}" name="Цена корпус + полки" dataDxfId="1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146A0C2-0387-40B0-B6E4-CB2569B95FFF}" name="Заказ_Отдельные_фасады37" displayName="Заказ_Отдельные_фасады37" ref="AR1:BB23" totalsRowShown="0" headerRowDxfId="16" dataDxfId="15" headerRowBorderDxfId="13" tableBorderDxfId="14">
  <autoFilter ref="AR1:BB23" xr:uid="{57F00D2F-AA0C-4156-915B-B306A91597A5}"/>
  <tableColumns count="11">
    <tableColumn id="1" xr3:uid="{2676A2D0-9DF2-47E8-AD1B-DDBC9766E92F}" name="Коллекция" dataDxfId="12"/>
    <tableColumn id="2" xr3:uid="{5BAB76DE-EEC7-46DC-97DD-F4EF60FDBF5E}" name="Цвет" dataDxfId="11"/>
    <tableColumn id="3" xr3:uid="{10EBE93D-4154-4E89-A6F6-E83906739380}" name="Фрезеровка" dataDxfId="10"/>
    <tableColumn id="4" xr3:uid="{8BBEF1B2-8C07-4CD9-859C-552A54DB4FA6}" name="Толщина" dataDxfId="9"/>
    <tableColumn id="11" xr3:uid="{4AE2BA5A-A872-4FDF-80E8-A0B48560777A}" name="Высота,мм"/>
    <tableColumn id="10" xr3:uid="{3B384796-F758-41BE-8205-BAB2C210A5C2}" name="Ширина,мм"/>
    <tableColumn id="9" xr3:uid="{E88D2F45-8661-468E-B653-A2D1CBF0AABA}" name="Площадь,м2"/>
    <tableColumn id="5" xr3:uid="{5E051251-F5C4-40B6-BEFE-07409C0B9C33}" name="Цвет стекла для витрины" dataDxfId="8"/>
    <tableColumn id="6" xr3:uid="{E4DA1F68-54E3-4B36-9496-7B5CF53C87FF}" name="Цена стекла для витрины" dataDxfId="7"/>
    <tableColumn id="7" xr3:uid="{30C10812-C9B2-47BA-ACB2-069E70805060}" name="Кол-во" dataDxfId="6"/>
    <tableColumn id="8" xr3:uid="{67EEDF75-705C-42C1-9DF9-0743A38F2397}" name="Стоимость" dataDxfId="5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39955B8-58F0-437E-92DC-E52FE64D68C8}" name="Заказ_ручки38" displayName="Заказ_ручки38" ref="BD1:BI5" totalsRowShown="0" headerRowDxfId="4" tableBorderDxfId="3">
  <autoFilter ref="BD1:BI5" xr:uid="{E7BB3E52-9F23-4BE4-B15A-55E4FC846337}"/>
  <tableColumns count="6">
    <tableColumn id="1" xr3:uid="{6DB4F92D-26EF-4DD0-A2AB-3450D6A2708E}" name="Название ручки / Артикул ручки"/>
    <tableColumn id="2" xr3:uid="{B34EF696-B596-4679-BAB5-51DB06149B09}" name="Тип"/>
    <tableColumn id="3" xr3:uid="{0CCC7D41-D752-47C7-8C19-6432DC84F2E9}" name="Категория"/>
    <tableColumn id="4" xr3:uid="{2C4BA341-1692-4404-8C77-CC1B09BDF39B}" name="Коллекция"/>
    <tableColumn id="6" xr3:uid="{171CB24E-183C-42AC-AF74-7881B573AD95}" name="Количество"/>
    <tableColumn id="7" xr3:uid="{338D4640-BE32-4437-88F0-A9960000266C}" name="Цена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4A04FDD-BCFB-4F76-AA16-8372840B9BB9}" name="Gola_Base_Furn_for_stol_Order39" displayName="Gola_Base_Furn_for_stol_Order39" ref="BK1:BN6" totalsRowShown="0">
  <autoFilter ref="BK1:BN6" xr:uid="{88751CBF-65EF-43A0-AF99-830B58AB6C77}"/>
  <tableColumns count="4">
    <tableColumn id="1" xr3:uid="{BE26A9F5-6EC6-46BF-9298-CDFE8A3A791D}" name="Изделие"/>
    <tableColumn id="2" xr3:uid="{4CABF613-5874-41CB-A3AC-2141B0F0E0D4}" name="Количество"/>
    <tableColumn id="3" xr3:uid="{ADE0750E-65A1-4F04-87B3-1B145613ADE2}" name="Цена"/>
    <tableColumn id="4" xr3:uid="{CED268A3-1CD5-440A-B958-B0E956DFBD67}" name="Коллекци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297" dataDxfId="296">
  <autoFilter ref="A1:CE83" xr:uid="{B6A411DD-54E4-4F8A-8614-345EC598C3AB}"/>
  <tableColumns count="83">
    <tableColumn id="1" xr3:uid="{244EF146-2FB2-42B0-89AD-BC68C073628F}" name="Артикул" dataDxfId="295"/>
    <tableColumn id="2" xr3:uid="{E9E197D6-D015-400F-BBF0-C74C736B39E0}" name="Тип" dataDxfId="294"/>
    <tableColumn id="4" xr3:uid="{C373308D-47ED-427E-88F8-A9B3AEC5889F}" name="Варианты наполнения" dataDxfId="293"/>
    <tableColumn id="16" xr3:uid="{3526EDBE-4544-46B2-904E-78713571F802}" name="Вид модуля" dataDxfId="292"/>
    <tableColumn id="15" xr3:uid="{259A8B8F-A346-4065-8898-BE7B616DA4DC}" name="Профиль Gola" dataDxfId="291"/>
    <tableColumn id="3" xr3:uid="{9487BA3B-B8B3-423B-BBA1-A7C3B0201659}" name="Признаки для фильтров" dataDxfId="290"/>
    <tableColumn id="6" xr3:uid="{6657D323-708D-490F-934C-D93CA8D44D3D}" name="Высота min" dataDxfId="289"/>
    <tableColumn id="7" xr3:uid="{2EFED285-F303-4C73-A938-4E18FE85EFAD}" name="Высота max" dataDxfId="288"/>
    <tableColumn id="8" xr3:uid="{B0E436A3-EEA3-4496-822A-D979DCE166F6}" name="Ширина min" dataDxfId="287"/>
    <tableColumn id="9" xr3:uid="{B9B1EF59-46D8-418E-9C90-4AF710E40F22}" name="Ширина max" dataDxfId="286"/>
    <tableColumn id="10" xr3:uid="{DFC2098D-52BC-4A64-8019-99B30228E5C0}" name="Глубина min" dataDxfId="285"/>
    <tableColumn id="11" xr3:uid="{0F631E4C-75A0-4051-8353-40DDE4FB0D0C}" name="Глубина max" dataDxfId="284"/>
    <tableColumn id="14" xr3:uid="{7CEDF3A3-1C3F-4BE6-B422-A3497D28B60F}" name="Количество полок" dataDxfId="283"/>
    <tableColumn id="12" xr3:uid="{CDFC7975-1F4A-4D16-8354-E26DDCD4397C}" name="Комментарий" dataDxfId="282"/>
    <tableColumn id="5" xr3:uid="{491DC64E-1A6E-4844-B503-C2C858B48F8F}" name="Базовая цена" dataDxfId="281"/>
    <tableColumn id="28" xr3:uid="{EBB80AFB-D155-4FEC-AFA8-5CA38369E072}" name="КФ НСТ11" dataDxfId="280"/>
    <tableColumn id="27" xr3:uid="{CBFCC08D-435F-4D14-9237-DBC966484E7C}" name="КФ НСТ1" dataDxfId="279"/>
    <tableColumn id="13" xr3:uid="{ED748688-578F-4B70-BED3-DF69514981F0}" name="КФ крепежа корпуса 1" dataDxfId="278">
      <calculatedColumnFormula>'комплекты фурнитуры'!Q10</calculatedColumnFormula>
    </tableColumn>
    <tableColumn id="18" xr3:uid="{C97A5013-CBEE-487D-951B-6C81E4A7AC55}" name="КФ крепежа корпуса 2" dataDxfId="277"/>
    <tableColumn id="19" xr3:uid="{E76E0229-FD99-460D-A6DC-512E0BF4E97A}" name="КФ крепежа корпуса 4" dataDxfId="276"/>
    <tableColumn id="20" xr3:uid="{F25E07D8-C520-4467-8FE7-E89C5DB70B0F}" name="КФ крепежа корпуса 6" dataDxfId="275"/>
    <tableColumn id="21" xr3:uid="{2DAD658B-F7CB-4A20-B265-0005D6437D71}" name="КФ крепежа корпуса 7" dataDxfId="274"/>
    <tableColumn id="23" xr3:uid="{1B2375D3-DCC7-47E9-80B6-2C8B369001C5}" name="КФ крепежа корпуса 9" dataDxfId="273"/>
    <tableColumn id="32" xr3:uid="{5FC4BD95-7026-4728-9321-54AD821DB1D0}" name="КФ крепежа корпуса 10" dataDxfId="272"/>
    <tableColumn id="22" xr3:uid="{D1EED17F-DA10-4FC1-992B-84A2473F1A07}" name="КФ крепежа корпуса 11" dataDxfId="271"/>
    <tableColumn id="33" xr3:uid="{A691C489-3513-434E-B8C3-4D39E2A158AB}" name="КФ крепежа корпуса 12" dataDxfId="270"/>
    <tableColumn id="29" xr3:uid="{76F3AFCC-4E23-405B-89AE-8D6FDFA3FF11}" name="КФ крепежа корпуса 13" dataDxfId="269"/>
    <tableColumn id="31" xr3:uid="{F07D89AA-E635-4965-8AA3-57D02FB91704}" name="КФ НСТ 14" dataDxfId="268"/>
    <tableColumn id="30" xr3:uid="{80FADF67-BF3A-4DAB-913C-EA9BA1C84CD9}" name="КФ крепежа корпуса 15" dataDxfId="267"/>
    <tableColumn id="24" xr3:uid="{87B6078A-6FAD-4498-A328-FD81FC7FD510}" name="КФ крепежа корпуса 16" dataDxfId="266"/>
    <tableColumn id="17" xr3:uid="{5B2E565F-938F-4C78-BB65-1F2802A24FC5}" name="КФ опора пластиковая 120" dataDxfId="265"/>
    <tableColumn id="25" xr3:uid="{6F8FCB9B-78F7-4E72-A350-4BB3A20C8EB3}" name="KFPr-SB-POD" dataDxfId="264"/>
    <tableColumn id="26" xr3:uid="{D5E1C33E-3342-477B-8544-E7A79E3BBC5E}" name="KFPr-SB-ZPG" dataDxfId="263"/>
    <tableColumn id="34" xr3:uid="{290E297F-71F1-4EF2-8A6F-94B834943A03}" name="КФ корпуса" dataDxfId="262">
      <calculatedColumnFormula>SUM(Прайс[[#This Row],[КФ НСТ11]:[KFPr-SB-ZPG]])</calculatedColumnFormula>
    </tableColumn>
    <tableColumn id="65" xr3:uid="{CCE4C4AA-FDC1-4A4C-A6D6-59B6ABF07D40}" name=" KFPr-SB-StK " dataDxfId="261"/>
    <tableColumn id="67" xr3:uid="{F04C1A69-1B5A-450B-8ACD-CF6240A49F46}" name="KFPr-SB-SPL" dataDxfId="260"/>
    <tableColumn id="66" xr3:uid="{8855FBE2-EA1B-412E-967A-04B7EEF0D462}" name="KFPr-SB-SMRZ_16мм" dataDxfId="259"/>
    <tableColumn id="68" xr3:uid="{CD98CCBA-39DF-4E4D-B751-90857AE86D0D}" name="КФ KEKU" dataDxfId="258"/>
    <tableColumn id="38" xr3:uid="{0B3A342F-ACDA-4E8C-A3BB-272F0EAD3983}" name="КФ петли SENS накл.110 гр. с крестообр. Планкой" dataDxfId="257"/>
    <tableColumn id="39" xr3:uid="{D8E42B09-DA91-43E3-88E2-3744E9609331}" name="KFP-SB-N110" dataDxfId="256"/>
    <tableColumn id="43" xr3:uid="{0C08449F-84E9-4D52-9A34-A9E6F062A42B}" name="КФ петли вклад. 95 гр. с крестообр. планкой" dataDxfId="255"/>
    <tableColumn id="44" xr3:uid="{20740129-5689-4ADA-BC82-18601D41BE66}" name="KFP-SB-PY94" dataDxfId="254"/>
    <tableColumn id="45" xr3:uid="{C58A7BD9-7F27-4E2A-8A7D-8993CF9D1B44}" name="КKFP-SB-GT45" dataDxfId="253"/>
    <tableColumn id="46" xr3:uid="{EA47B16B-24E3-4669-BCC6-4D10352115BD}" name="KFP-SB-N45" dataDxfId="252"/>
    <tableColumn id="61" xr3:uid="{77162D3C-DEBF-41ED-8D9C-6B324B0B34D6}" name="KFS-SB-45 (посудосушители)" dataDxfId="251"/>
    <tableColumn id="62" xr3:uid="{60DFC635-EC03-4DA5-9F1F-A274C5F766BE}" name="КФ Сушка AFF 600" dataDxfId="250"/>
    <tableColumn id="64" xr3:uid="{3218371B-081C-4144-9490-2129F71749B7}" name="КФ Сушка AFF 800" dataDxfId="249"/>
    <tableColumn id="63" xr3:uid="{3EA2A3F9-E872-4B9A-A20E-57B5568F095B}" name="КФ Сушка AFF 900" dataDxfId="248"/>
    <tableColumn id="56" xr3:uid="{4E28104D-EF7B-4E2E-8C57-FEB3C8A5F956}" name="KFP-SP-PPGK" dataDxfId="247"/>
    <tableColumn id="57" xr3:uid="{211F9D6D-49D0-464F-88C1-85C7CBE083C0}" name="KFP-SP-PPGK_71_x000a_" dataDxfId="246"/>
    <tableColumn id="58" xr3:uid="{3DCAA265-92DB-4B37-8C89-B111F9805E4C}" name="KFP-SP-PPA" dataDxfId="245"/>
    <tableColumn id="59" xr3:uid="{FE70647D-4BEA-43C9-B3B1-73D6E0E4A61C}" name="KFP-SB-PPHF_W" dataDxfId="244"/>
    <tableColumn id="55" xr3:uid="{81594DF4-0602-442D-AE34-AF4382DF367E}" name="KFN-SB-M54" dataDxfId="243"/>
    <tableColumn id="47" xr3:uid="{5E0D24F4-DA20-452E-825D-868422F8FB68}" name="KFN-SB-DWD95" dataDxfId="242"/>
    <tableColumn id="53" xr3:uid="{A0024684-C217-429E-AEBF-4AA1AAB1B938}" name="KFN-SB-DWD95R" dataDxfId="241"/>
    <tableColumn id="48" xr3:uid="{236E32BD-08D6-45FD-BF28-6DE93E881417}" name="KFN-SB-M86" dataDxfId="240"/>
    <tableColumn id="54" xr3:uid="{6D92F505-EC53-45E7-9F83-9FC8CF81B4EA}" name="KFN-SB-M15" dataDxfId="239"/>
    <tableColumn id="49" xr3:uid="{0BA15EFC-0C23-4EEF-89A3-788F5A1DA22A}" name="KFN-SB-MD" dataDxfId="238"/>
    <tableColumn id="50" xr3:uid="{B10F5262-24B7-495A-97A3-3715D959BA79}" name="КФ ящика Matrix (H=89 мм)_450_GR" dataDxfId="237"/>
    <tableColumn id="69" xr3:uid="{91FEF492-7357-4261-8FE8-93815647308F}" name="КФ ящика Matrix (H=175 мм)_450_GR" dataDxfId="236"/>
    <tableColumn id="51" xr3:uid="{E039F1AB-9656-4B47-869C-9EFC55626F41}" name="Комплект ящика INNOTECH ATIRA полного выдв. с  PUSH TO OPEN , Н70,NL470,цвет серебристый" dataDxfId="235"/>
    <tableColumn id="52" xr3:uid="{5EDCABD0-79AC-4437-8001-4AFC273FD9E7}" name="Комплект короба INNOTECH ATIRA полного выдв. с Push to open, Н176,NL470,рейлинги, цвет серебристый" dataDxfId="234"/>
    <tableColumn id="40" xr3:uid="{F1A933F2-08F8-4B70-91DB-3D28AB3BE3AF}" name="KFS-SB-BYT" dataDxfId="233"/>
    <tableColumn id="41" xr3:uid="{51C1E380-2E1D-451E-83A2-CBA0D818E63F}" name="Корзина с держателем для бутылок 414*500*520 мм" dataDxfId="232"/>
    <tableColumn id="42" xr3:uid="{D01A7E27-37CF-4158-BCF6-8D8ACC6AB5FA}" name="КФ евровинт" dataDxfId="231"/>
    <tableColumn id="60" xr3:uid="{F2C1507E-22CE-4A77-936E-2CE24901A3C5}" name="КФ  крепления профиля Gola" dataDxfId="230"/>
    <tableColumn id="70" xr3:uid="{1272954A-E182-4AE9-BB28-E27FBBD2F571}" name="Профиль Gola для подвесных шкафов алюм.16 мм" dataDxfId="229"/>
    <tableColumn id="35" xr3:uid="{A5B4233C-7C06-4820-B9A4-FA20195C8570}" name="Комплектация №2" dataDxfId="228"/>
    <tableColumn id="36" xr3:uid="{79D7852F-F7B6-4FE6-8058-4623A193C92E}" name="Комплектация №3" dataDxfId="227"/>
    <tableColumn id="37" xr3:uid="{178FF18E-2D49-4276-86AC-A7734F248861}" name="Комплектация №3Т" dataDxfId="226"/>
    <tableColumn id="72" xr3:uid="{0A128738-86E4-4853-B8A7-DB48EABDA6F3}" name="Базовая ширина" dataDxfId="225"/>
    <tableColumn id="73" xr3:uid="{65C4BD3E-E790-4D49-997C-1E56669D4E98}" name="Базовая высота" dataDxfId="224"/>
    <tableColumn id="71" xr3:uid="{7EC0296C-2955-4E3D-9A5F-10337ACB371C}" name="Базовая глубина" dataDxfId="223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222"/>
    <tableColumn id="78" xr3:uid="{D4F38851-262A-4693-8AD8-0C7FDA55E619}" name="Коэфф.ширина" dataDxfId="221"/>
    <tableColumn id="77" xr3:uid="{26F7B0FF-A98D-4C8D-96D6-9D12D73C3164}" name="Коэфф.глубина" dataDxfId="220"/>
    <tableColumn id="74" xr3:uid="{9C9D74FE-06DD-465B-9EC4-526E0AD42851}" name="Полки min,шт." dataDxfId="219"/>
    <tableColumn id="75" xr3:uid="{F6ACCF36-12D1-4AD7-8C04-71E8A7C3B7A8}" name="Полки max,шт." dataDxfId="218"/>
    <tableColumn id="80" xr3:uid="{43422F97-A6DC-4549-ACB1-3D312C38A5D2}" name="Tip-on" dataDxfId="217"/>
    <tableColumn id="79" xr3:uid="{A330CEAF-C3AA-40D5-86FB-2FEBF5EF4E97}" name="Инфо о комплектации" dataDxfId="216"/>
    <tableColumn id="81" xr3:uid="{B843A559-15F9-440A-8849-081FC64687B8}" name="Полки по умолчанию" dataDxfId="215"/>
    <tableColumn id="82" xr3:uid="{0B1FB40A-CD49-4F2E-817D-0D8EDA07ADEC}" name="Доступ к стеклянным полкам" dataDxfId="214"/>
    <tableColumn id="83" xr3:uid="{F771F382-683B-4AFB-8BD6-4CF199BF211B}" name="Базовая цена цветной корпус" dataDxfId="213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K43" totalsRowShown="0" headerRowDxfId="212" dataDxfId="211">
  <autoFilter ref="AB1:AK43" xr:uid="{810477A9-4C52-48FD-BBD6-CB514CF83F06}"/>
  <sortState xmlns:xlrd2="http://schemas.microsoft.com/office/spreadsheetml/2017/richdata2" ref="AB2:AE43">
    <sortCondition ref="AB1:AB43"/>
  </sortState>
  <tableColumns count="10">
    <tableColumn id="1" xr3:uid="{4CA554CA-7710-42A6-833E-28542880D6F6}" name="Фрезеровка" dataDxfId="210"/>
    <tableColumn id="2" xr3:uid="{CBCBEDBF-B07D-49DC-A647-FE89CED753BC}" name="Тип Фрезеровки" dataDxfId="209"/>
    <tableColumn id="3" xr3:uid="{04779E58-2E79-41D0-993D-E64BBDB80A08}" name="Толщина 1" dataDxfId="208"/>
    <tableColumn id="4" xr3:uid="{AFC3B80D-B2E7-403E-B0DA-CE217404C6BD}" name="Толщина 2" dataDxfId="207"/>
    <tableColumn id="10" xr3:uid="{6B17B2C9-6D21-4078-BE99-77C241E7DC55}" name="Min Высота" dataDxfId="206" dataCellStyle="Обычный 2"/>
    <tableColumn id="9" xr3:uid="{91E43A86-B770-4455-94D9-491992DB11F2}" name="Max  Высота" dataDxfId="205" dataCellStyle="Обычный 2"/>
    <tableColumn id="8" xr3:uid="{1E8C328D-3CF7-4E03-BB4F-B7980BB99223}" name="Min Ширина" dataDxfId="204" dataCellStyle="Обычный 2"/>
    <tableColumn id="6" xr3:uid="{CF8039AA-23E6-418E-A0A5-312D9E2944AB}" name="Max Ширина2" dataDxfId="203" dataCellStyle="Обычный 2"/>
    <tableColumn id="7" xr3:uid="{800E6F5F-1CE0-4D8F-A3B4-140DEB6CCFDC}" name="Наличие витрин" dataDxfId="202"/>
    <tableColumn id="5" xr3:uid="{F4A035AC-4E9A-49DC-B7BF-8FE6F8C235B4}" name="Наличие решеток" dataDxfId="20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200" dataDxfId="199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98"/>
    <tableColumn id="2" xr3:uid="{73BD45F6-34D0-43B6-98BE-5052519D3482}" name="Коллекция пленок" dataDxfId="197"/>
    <tableColumn id="3" xr3:uid="{70E4A86D-1E11-4D3B-B850-03CC3DC4EA8B}" name="Категория пленки" dataDxfId="196"/>
    <tableColumn id="4" xr3:uid="{0B4C060F-475F-46B8-8CE5-F3C7BC874AFA}" name="Цена 16 мм" dataDxfId="195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94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93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92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91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90" dataDxfId="189">
  <autoFilter ref="K3:P10" xr:uid="{F3C19AC2-AE15-4B07-BE4B-6E76B9B89693}"/>
  <tableColumns count="6">
    <tableColumn id="1" xr3:uid="{8E2A4EC6-52B7-4CF2-92DD-1EF56E80EFBD}" name="Коллекция" dataDxfId="188"/>
    <tableColumn id="2" xr3:uid="{060F59E6-9C05-42D3-BC91-8938AB99CC63}" name="Ценовая категория пленки" dataDxfId="187"/>
    <tableColumn id="3" xr3:uid="{E314DE90-CBD4-4FE9-A2D0-CD6F677BF3DE}" name="МДФ 16 мм" dataDxfId="186"/>
    <tableColumn id="4" xr3:uid="{8AF271A8-AFDB-4F65-BDF2-3DB16886F0C5}" name="МДФ 18/19 мм" dataDxfId="185"/>
    <tableColumn id="5" xr3:uid="{5C5591AE-C1DF-473C-B2DE-E2649E3D3375}" name="МДФ 22+ мм" dataDxfId="184"/>
    <tableColumn id="6" xr3:uid="{11B36507-9711-4DD9-9202-10F6B61EB8A3}" name="Скидка" dataDxfId="183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82" dataDxfId="181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180" dataCellStyle="Обычный 2"/>
    <tableColumn id="2" xr3:uid="{0E0EE42C-FE7B-4F0D-A337-37F464CFF87E}" name="Цена,м2" dataDxfId="179" dataCellStyle="Обычный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S2:DA31" totalsRowShown="0" headerRowDxfId="178" dataDxfId="177" headerRowCellStyle="Обычный 2" dataCellStyle="Обычный 2">
  <autoFilter ref="CS2:DA31" xr:uid="{72587AEE-084F-47E0-B5D9-96B21BCCDCAF}"/>
  <tableColumns count="9">
    <tableColumn id="1" xr3:uid="{C1CBEB58-D72D-4E94-9E7C-F9416D019626}" name="Название" dataDxfId="176"/>
    <tableColumn id="2" xr3:uid="{8EA293B5-92F1-4759-ADEF-C848180BDA6F}" name="Производитель" dataDxfId="175" dataCellStyle="Обычный 2"/>
    <tableColumn id="3" xr3:uid="{739B6914-4D3B-484E-AA74-696EAB757DDE}" name="Толщина" dataDxfId="174" dataCellStyle="Обычный 2"/>
    <tableColumn id="4" xr3:uid="{F76DA758-DCCA-4505-8475-85C54FB91E82}" name="Макс.длина" dataDxfId="173" dataCellStyle="Обычный 2"/>
    <tableColumn id="5" xr3:uid="{CC701F50-3C0E-479E-9F3F-DC9E52223198}" name="Макс Ширина" dataDxfId="172" dataCellStyle="Обычный 2"/>
    <tableColumn id="6" xr3:uid="{4920F4E6-ADAB-4B95-8E58-15D8D9E72C77}" name="600 х 1200" dataDxfId="171" dataCellStyle="Обычный 2"/>
    <tableColumn id="7" xr3:uid="{04B77FC8-EB4D-4C3E-A8E4-E1895151CB1E}" name="600 х 2100" dataDxfId="170" dataCellStyle="Обычный 2"/>
    <tableColumn id="8" xr3:uid="{F7AE2FF9-1B2F-4EDC-99A9-EB7CB8551D99}" name="600 х 3000" dataDxfId="169" dataCellStyle="Обычный 2"/>
    <tableColumn id="9" xr3:uid="{8CBECB23-2811-4DB4-B52F-11824BE49841}" name="600 х 4200" dataDxfId="168" dataCellStyle="Обычный 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67" dataDxfId="166" tableBorderDxfId="165" headerRowCellStyle="Обычный 2">
  <autoFilter ref="A41:B54" xr:uid="{2EDDD9FE-F82A-4CE3-9033-0059070A82A9}"/>
  <tableColumns count="2">
    <tableColumn id="1" xr3:uid="{FD66DD94-70F7-4270-9602-EC1F380D35D4}" name="Цвет стекла" dataDxfId="164" dataCellStyle="Денежный 2 4"/>
    <tableColumn id="2" xr3:uid="{9BE30F06-5833-4665-9CB0-2D4DD0173678}" name="Цена за м2" dataDxfId="163" dataCellStyle="Обычный 4 2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J2:BK10" totalsRowShown="0" headerRowDxfId="162" dataDxfId="161" headerRowCellStyle="Обычный 2">
  <autoFilter ref="BJ2:BK10" xr:uid="{EF6E01D4-F17B-46D6-9C74-1A91633991E6}"/>
  <tableColumns count="2">
    <tableColumn id="1" xr3:uid="{6566BA5A-6251-4507-B4C5-91CA5FB36F9B}" name="Изделие" dataDxfId="160"/>
    <tableColumn id="2" xr3:uid="{7AFC3AD3-8460-444E-B461-2DC3FD886EBF}" name="Цена" dataDxfId="159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M1:AT32" totalsRowShown="0" headerRowDxfId="158" headerRowBorderDxfId="157" tableBorderDxfId="156" headerRowCellStyle="Обычный 2">
  <autoFilter ref="AM1:AT32" xr:uid="{D7E686DA-4141-42EE-B9B3-3C9497EC5CE4}"/>
  <sortState xmlns:xlrd2="http://schemas.microsoft.com/office/spreadsheetml/2017/richdata2" ref="AM2:AT32">
    <sortCondition ref="AT1:AT32"/>
  </sortState>
  <tableColumns count="8">
    <tableColumn id="1" xr3:uid="{DB69E958-7F7B-46BB-A258-DF0C78D0669A}" name="Номер пленки" dataDxfId="155"/>
    <tableColumn id="2" xr3:uid="{3E974E66-E055-415D-BC78-AEBB3835C359}" name="Ценовая группа" dataDxfId="154"/>
    <tableColumn id="5" xr3:uid="{5D17A2A5-506D-4CEC-9605-81E9B46464BB}" name="Цена Глухих" dataDxfId="153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52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51"/>
    <tableColumn id="7" xr3:uid="{4CB3D8A8-D90F-40E8-A61F-27018681CD97}" name="Наличие витрин" dataDxfId="150"/>
    <tableColumn id="8" xr3:uid="{EAAAAB93-BF90-43F4-BEDC-0BC0EBD8D051}" name="Наличие решеток" dataDxfId="149"/>
    <tableColumn id="3" xr3:uid="{40FACEFC-8654-4602-A05A-9C0032AB18D1}" name="Сортировка" dataDxfId="148" dataCellStyle="Обыч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V2:AY6" totalsRowShown="0" headerRowDxfId="147" dataDxfId="146">
  <autoFilter ref="AV2:AY6" xr:uid="{CDF8988B-80D7-4023-A44A-60A6C121CA19}"/>
  <tableColumns count="4">
    <tableColumn id="1" xr3:uid="{8B7A635E-A92E-4959-9B30-034CA4E495CA}" name="Ценовая группа" dataDxfId="145"/>
    <tableColumn id="3" xr3:uid="{199557CE-0391-4EB5-9FA0-31A44870D2B2}" name="Фасад глухой, фасад под врезную ручку Grosseto    кв.м" dataDxfId="144"/>
    <tableColumn id="4" xr3:uid="{A1682A37-C212-466F-8C8D-2A0D2039CF51}" name="Фасад витрина,   кв.м" dataDxfId="143"/>
    <tableColumn id="2" xr3:uid="{12783B52-1834-4A3C-B278-087F0043C2B7}" name="Наличие витрин" dataDxfId="14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G2:CH11" totalsRowShown="0" headerRowDxfId="141" dataDxfId="140" headerRowCellStyle="Обычный 4 2" dataCellStyle="Финансовый">
  <autoFilter ref="CG2:CH11" xr:uid="{78F22871-9A7D-4E92-8393-BCC02454D1B5}"/>
  <tableColumns count="2">
    <tableColumn id="1" xr3:uid="{DBC91464-3C3F-4F38-BBAA-89F388048E0F}" name="Ценовая группа" dataDxfId="139" dataCellStyle="Финансовый"/>
    <tableColumn id="2" xr3:uid="{04C85D3B-608A-4808-89A3-B6E61150D6DB}" name="Цена" dataDxfId="138" dataCellStyle="Финансовый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Y2:CC59" totalsRowShown="0" dataDxfId="137" tableBorderDxfId="136">
  <autoFilter ref="BY2:CC59" xr:uid="{134E17E4-D678-4152-AB71-67D757249C28}"/>
  <sortState xmlns:xlrd2="http://schemas.microsoft.com/office/spreadsheetml/2017/richdata2" ref="BY3:CC59">
    <sortCondition descending="1" ref="BY2:BY59"/>
  </sortState>
  <tableColumns count="5">
    <tableColumn id="1" xr3:uid="{2307887A-A9D6-4C9D-9B20-AF66C7589113}" name="Название ручки / Артикул ручки" dataDxfId="135" dataCellStyle="Финансовый"/>
    <tableColumn id="2" xr3:uid="{FECC5A88-7198-469B-A665-329684C29E9D}" name="Тип" dataDxfId="134" dataCellStyle="Финансовый"/>
    <tableColumn id="3" xr3:uid="{CC23F91A-F17A-471B-B852-64253E79A7AA}" name="Категория" dataDxfId="133" dataCellStyle="Финансовый"/>
    <tableColumn id="5" xr3:uid="{ED08E27D-8EAE-40C6-B4DA-59D9CD74F7C1}" name="Коллекция" dataDxfId="132" dataCellStyle="Финансовый"/>
    <tableColumn id="4" xr3:uid="{3A1E0F89-FF3A-47A2-9E87-DEEBD263D18A}" name="Цена" dataDxfId="131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K2:CO12" totalsRowShown="0" headerRowDxfId="130" dataDxfId="129" headerRowCellStyle="Обычный 2">
  <autoFilter ref="CK2:CO12" xr:uid="{2EA2AF85-4825-4413-ABF4-CE5FC30FD4A8}"/>
  <tableColumns count="5">
    <tableColumn id="1" xr3:uid="{7E28429D-9BAD-4FE0-83A6-D475F88B8C7D}" name="Название товара" dataDxfId="128" dataCellStyle="Обычный 2 2"/>
    <tableColumn id="5" xr3:uid="{071BE9FD-B93E-4BF1-963E-E301C95C2453}" name="Коллекция" dataDxfId="127" dataCellStyle="Обычный 2 2"/>
    <tableColumn id="2" xr3:uid="{A999F0F8-00BA-486A-B80B-EB2CD4D3ED68}" name="Тип" dataDxfId="126" dataCellStyle="Обычный 2 2"/>
    <tableColumn id="3" xr3:uid="{6D170368-F687-40B9-ABF6-5FE9A03A10F9}" name="Инфо" dataDxfId="125" dataCellStyle="Обычный 2"/>
    <tableColumn id="4" xr3:uid="{6EB55A0C-4ED2-49FF-9E3D-2308BCFBD948}" name="Цена" dataDxfId="124" dataCellStyle="Финансовый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A3:BC7" totalsRowShown="0" headerRowDxfId="123" headerRowCellStyle="Акцент2">
  <autoFilter ref="BA3:BC7" xr:uid="{76766779-25D2-4D9A-92B0-62DD261F7ADE}"/>
  <tableColumns count="3">
    <tableColumn id="1" xr3:uid="{0C363F62-1411-423B-833C-EE4938A39ED8}" name="Ценовая группа" dataDxfId="122" dataCellStyle="Акцент2"/>
    <tableColumn id="3" xr3:uid="{0FACAF70-9E78-4CB5-9BEB-94CD4E3EA607}" name="Наличие витрин" dataDxfId="121" dataCellStyle="Акцент2"/>
    <tableColumn id="2" xr3:uid="{915418D3-2926-4D67-BD82-1F8127353EBE}" name="Цена за  кв.м" dataDxfId="120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E2:BE13" totalsRowShown="0" headerRowDxfId="119" dataDxfId="118" tableBorderDxfId="117" headerRowCellStyle="Обычный 2" dataCellStyle="Обычный 6 2">
  <autoFilter ref="BE2:BE13" xr:uid="{8AAB42EF-11F0-4BD8-9205-D4F9B3EA3921}"/>
  <tableColumns count="1">
    <tableColumn id="1" xr3:uid="{58EE08F5-71A2-4D39-ACBB-8D000B687206}" name="Цвета" dataDxfId="116" dataCellStyle="Обычный 6 2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N2:BO8" totalsRowShown="0" headerRowDxfId="115" headerRowBorderDxfId="114" tableBorderDxfId="113" headerRowCellStyle="Обычный 2">
  <autoFilter ref="BN2:BO8" xr:uid="{EDAEED31-3CAB-4857-ADC7-481FD3B657B8}"/>
  <tableColumns count="2">
    <tableColumn id="1" xr3:uid="{298F9606-FFF2-4456-AC78-8E0C89E5AEE7}" name="Изделие" dataDxfId="112"/>
    <tableColumn id="2" xr3:uid="{5323DD3B-F076-4C62-B2EB-57BA20ABF983}" name="Цена" dataDxfId="111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Q2:BR13" totalsRowShown="0" headerRowDxfId="110" headerRowBorderDxfId="109" tableBorderDxfId="108" headerRowCellStyle="Обычный 2">
  <autoFilter ref="BQ2:BR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107" tableBorderDxfId="106">
  <autoFilter ref="B68:H93" xr:uid="{00000000-0009-0000-0100-000001000000}"/>
  <tableColumns count="7">
    <tableColumn id="1" xr3:uid="{46A67A1A-4D9B-486E-9202-CA47E476F17C}" name="Регистратор" dataDxfId="105"/>
    <tableColumn id="2" xr3:uid="{4C743300-51E6-46FA-A911-186626FA7925}" name="Изделие" dataDxfId="104"/>
    <tableColumn id="3" xr3:uid="{C85A74C3-9E6F-4039-A115-4437121F1C96}" name="Коэффициент" dataDxfId="103"/>
    <tableColumn id="4" xr3:uid="{1A7B1DD2-73CE-4B21-9686-64AF4BDFBF5A}" name="новая цена" dataDxfId="102"/>
    <tableColumn id="5" xr3:uid="{DB3CD038-FDE1-4A36-9C8F-F302356B6722}" name="Наценка" dataDxfId="101"/>
    <tableColumn id="6" xr3:uid="{42654B9B-3B41-4ECE-B632-14B405D82864}" name="Способ расчета цены" dataDxfId="100"/>
    <tableColumn id="7" xr3:uid="{05A91201-6109-47F9-94C9-3AFB6B983F54}" name="Формула расчета" dataDxfId="99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98" tableBorderDxfId="97" totalsRowBorderDxfId="96">
  <autoFilter ref="B46:H66" xr:uid="{00000000-0009-0000-0100-000002000000}"/>
  <tableColumns count="7">
    <tableColumn id="1" xr3:uid="{B9F8BE94-C8CC-4F5B-90A6-C1CEBF01253B}" name="Регистратор" dataDxfId="95"/>
    <tableColumn id="2" xr3:uid="{86DB40FE-A4C2-4EA5-808A-85E1AE954019}" name="Изделие" dataDxfId="94"/>
    <tableColumn id="3" xr3:uid="{B930F8B2-0B24-4C7F-AB8C-3148DB1C062F}" name="Коэффициент" dataDxfId="93"/>
    <tableColumn id="4" xr3:uid="{BBC148A8-5A21-4CF5-A657-F027F46F1D20}" name="новая цена" dataDxfId="92"/>
    <tableColumn id="5" xr3:uid="{2BFC630A-ADB6-4CB5-86F6-C9732A7CEEC9}" name="Наценка" dataDxfId="91"/>
    <tableColumn id="6" xr3:uid="{238EF406-9F6B-492A-AC27-66A463F05EF5}" name="Способ расчета цены" dataDxfId="90"/>
    <tableColumn id="7" xr3:uid="{988AC713-6632-4196-85B0-E2F0220E295F}" name="Формула расчета" dataDxfId="89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88" tableBorderDxfId="87" totalsRowBorderDxfId="86">
  <autoFilter ref="B6:H37" xr:uid="{00000000-0009-0000-0100-000003000000}"/>
  <tableColumns count="7">
    <tableColumn id="1" xr3:uid="{9269AB67-F6B4-42BA-98FD-EF655CFB6EB1}" name="Регистратор" dataDxfId="85"/>
    <tableColumn id="2" xr3:uid="{6FF09F28-512E-445D-A647-13B8D99022B1}" name="Изделие" dataDxfId="84"/>
    <tableColumn id="3" xr3:uid="{E1C546E4-62B2-4BBC-B75A-BF8D71B972AE}" name="Коэффициент" dataDxfId="83"/>
    <tableColumn id="4" xr3:uid="{65284522-B98D-4437-9136-E8514E4A8923}" name="новая цена" dataDxfId="82"/>
    <tableColumn id="5" xr3:uid="{4BBC92D0-2CFF-4A07-AA96-D2FDC08034D5}" name="Наценка" dataDxfId="81"/>
    <tableColumn id="6" xr3:uid="{AAE895CC-E7F9-400D-9A49-2D712E062308}" name="Способ расчета цены" dataDxfId="80"/>
    <tableColumn id="7" xr3:uid="{876781F3-6CB8-4AA0-BE55-0D2C7D332E92}" name="Формула расчета" dataDxfId="79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78" dataDxfId="77">
  <autoFilter ref="F2:H7" xr:uid="{00000000-0009-0000-0100-000007000000}"/>
  <tableColumns count="3">
    <tableColumn id="1" xr3:uid="{45FB1E76-36AC-41BC-9C1B-ABB86F14C54D}" name="Параметр" dataDxfId="76"/>
    <tableColumn id="2" xr3:uid="{44966CE4-ED59-419A-AA8A-35E97A17505C}" name="Коэф,%" dataDxfId="75"/>
    <tableColumn id="3" xr3:uid="{D1D805EE-4F7C-4589-9B0C-B4A27F0E789D}" name="Коэф" dataDxfId="74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73" dataDxfId="72">
  <autoFilter ref="F2:H7" xr:uid="{00000000-0009-0000-0100-000005000000}"/>
  <tableColumns count="3">
    <tableColumn id="1" xr3:uid="{0AFB5C9F-1911-442A-A2CA-CB7B5980408B}" name="Параметр" dataDxfId="71"/>
    <tableColumn id="2" xr3:uid="{979C2510-B5A3-49B1-9E87-9B8EBBAE2BAB}" name="Коэф,%" dataDxfId="70"/>
    <tableColumn id="3" xr3:uid="{5136BA98-075E-4428-91A4-D1B623B96CE4}" name="Коэф" dataDxfId="69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68" dataDxfId="67">
  <autoFilter ref="F2:H7" xr:uid="{00000000-0009-0000-0100-000006000000}"/>
  <tableColumns count="3">
    <tableColumn id="1" xr3:uid="{53173F35-BE04-4693-A184-0123E947BE9D}" name="Параметр" dataDxfId="66"/>
    <tableColumn id="2" xr3:uid="{13F79467-74E7-4E76-B973-886D39919D1C}" name="Коэф,%" dataDxfId="65"/>
    <tableColumn id="3" xr3:uid="{C9DEB471-54E9-4479-B955-80A3FAD5FBF1}" name="Коэф" dataDxfId="64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3">
  <autoFilter ref="A1:A4" xr:uid="{D6CE3A41-D845-41C4-9D58-9BE1908C774D}"/>
  <tableColumns count="1">
    <tableColumn id="1" xr3:uid="{C4E9F6B1-D43E-417B-B9FF-5CDA6B059B32}" name="Комплектация" dataDxfId="62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61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60">
  <autoFilter ref="G1:G3" xr:uid="{83FDAE35-864B-4962-A9CB-879F0B2B8796}"/>
  <tableColumns count="1">
    <tableColumn id="1" xr3:uid="{E3EA7D02-E62E-4097-A7F7-77A82D4916E3}" name="Высота цоколя" dataDxfId="59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58">
  <autoFilter ref="J1:J4" xr:uid="{8C8E3226-D01B-41FB-863E-7D072F136CE5}"/>
  <tableColumns count="1">
    <tableColumn id="1" xr3:uid="{8DBCAD4C-AAC4-415D-88BE-7F3A179CA026}" name="Коллекция" dataDxfId="5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13.xml"/><Relationship Id="rId39" Type="http://schemas.openxmlformats.org/officeDocument/2006/relationships/table" Target="../tables/table26.xml"/><Relationship Id="rId21" Type="http://schemas.openxmlformats.org/officeDocument/2006/relationships/image" Target="../media/image9.emf"/><Relationship Id="rId34" Type="http://schemas.openxmlformats.org/officeDocument/2006/relationships/table" Target="../tables/table21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6.xml"/><Relationship Id="rId41" Type="http://schemas.openxmlformats.org/officeDocument/2006/relationships/table" Target="../tables/table2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9.xml"/><Relationship Id="rId37" Type="http://schemas.openxmlformats.org/officeDocument/2006/relationships/table" Target="../tables/table24.xml"/><Relationship Id="rId40" Type="http://schemas.openxmlformats.org/officeDocument/2006/relationships/table" Target="../tables/table27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15.xml"/><Relationship Id="rId36" Type="http://schemas.openxmlformats.org/officeDocument/2006/relationships/table" Target="../tables/table2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14.xml"/><Relationship Id="rId30" Type="http://schemas.openxmlformats.org/officeDocument/2006/relationships/table" Target="../tables/table17.xml"/><Relationship Id="rId35" Type="http://schemas.openxmlformats.org/officeDocument/2006/relationships/table" Target="../tables/table22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20.xml"/><Relationship Id="rId38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5" Type="http://schemas.openxmlformats.org/officeDocument/2006/relationships/control" Target="../activeX/activeX13.xml"/><Relationship Id="rId90" Type="http://schemas.openxmlformats.org/officeDocument/2006/relationships/image" Target="../media/image52.emf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4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5.emf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9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N24"/>
  <sheetViews>
    <sheetView zoomScale="115" zoomScaleNormal="115" workbookViewId="0">
      <pane xSplit="1" topLeftCell="E1" activePane="topRight" state="frozen"/>
      <selection pane="topRight" activeCell="J4" sqref="J4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4" max="44" width="13.140625" customWidth="1"/>
    <col min="45" max="45" width="23.85546875" bestFit="1" customWidth="1"/>
    <col min="46" max="46" width="16.7109375" bestFit="1" customWidth="1"/>
    <col min="47" max="47" width="14.28515625" bestFit="1" customWidth="1"/>
    <col min="48" max="48" width="15.85546875" bestFit="1" customWidth="1"/>
    <col min="49" max="49" width="16.7109375" bestFit="1" customWidth="1"/>
    <col min="50" max="50" width="17.28515625" bestFit="1" customWidth="1"/>
    <col min="51" max="51" width="26.28515625" customWidth="1"/>
    <col min="52" max="52" width="26.5703125" customWidth="1"/>
    <col min="53" max="53" width="9.42578125" customWidth="1"/>
    <col min="54" max="54" width="12.85546875" customWidth="1"/>
    <col min="56" max="56" width="35.5703125" bestFit="1" customWidth="1"/>
    <col min="57" max="57" width="15.42578125" customWidth="1"/>
    <col min="58" max="58" width="14.85546875" bestFit="1" customWidth="1"/>
    <col min="59" max="59" width="15.5703125" bestFit="1" customWidth="1"/>
    <col min="60" max="60" width="16.140625" bestFit="1" customWidth="1"/>
    <col min="61" max="61" width="15.28515625" bestFit="1" customWidth="1"/>
    <col min="62" max="62" width="15.7109375" bestFit="1" customWidth="1"/>
    <col min="63" max="63" width="63.140625" bestFit="1" customWidth="1"/>
    <col min="64" max="64" width="13.5703125" customWidth="1"/>
    <col min="66" max="66" width="13.42578125" bestFit="1" customWidth="1"/>
  </cols>
  <sheetData>
    <row r="1" spans="1:66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739</v>
      </c>
      <c r="G1" s="1" t="s">
        <v>707</v>
      </c>
      <c r="H1" s="1" t="s">
        <v>740</v>
      </c>
      <c r="I1" s="1" t="s">
        <v>736</v>
      </c>
      <c r="J1" s="1" t="s">
        <v>743</v>
      </c>
      <c r="K1" s="1" t="s">
        <v>744</v>
      </c>
      <c r="L1" s="1" t="s">
        <v>746</v>
      </c>
      <c r="M1" s="1" t="s">
        <v>747</v>
      </c>
      <c r="N1" s="1" t="s">
        <v>705</v>
      </c>
      <c r="O1" s="1" t="s">
        <v>753</v>
      </c>
      <c r="P1" s="1" t="s">
        <v>156</v>
      </c>
      <c r="Q1" s="1" t="s">
        <v>803</v>
      </c>
      <c r="R1" s="1" t="s">
        <v>183</v>
      </c>
      <c r="S1" s="1" t="s">
        <v>795</v>
      </c>
      <c r="T1" s="1" t="s">
        <v>208</v>
      </c>
      <c r="U1" s="1" t="s">
        <v>179</v>
      </c>
      <c r="V1" s="1" t="s">
        <v>805</v>
      </c>
      <c r="W1" s="1" t="s">
        <v>1046</v>
      </c>
      <c r="X1" s="2" t="s">
        <v>1095</v>
      </c>
      <c r="Y1" s="1" t="s">
        <v>1096</v>
      </c>
      <c r="Z1" s="1" t="s">
        <v>1100</v>
      </c>
      <c r="AA1" s="1" t="s">
        <v>1103</v>
      </c>
      <c r="AB1" s="1" t="s">
        <v>1045</v>
      </c>
      <c r="AI1" s="1" t="s">
        <v>757</v>
      </c>
      <c r="AJ1" s="1" t="s">
        <v>790</v>
      </c>
      <c r="AK1" s="1" t="s">
        <v>791</v>
      </c>
      <c r="AL1" s="1" t="s">
        <v>172</v>
      </c>
      <c r="AM1" s="1" t="s">
        <v>173</v>
      </c>
      <c r="AN1" s="1" t="s">
        <v>181</v>
      </c>
      <c r="AO1" s="1" t="s">
        <v>792</v>
      </c>
      <c r="AP1" s="1" t="s">
        <v>1291</v>
      </c>
      <c r="AR1" s="404" t="s">
        <v>183</v>
      </c>
      <c r="AS1" s="404" t="s">
        <v>795</v>
      </c>
      <c r="AT1" s="404" t="s">
        <v>208</v>
      </c>
      <c r="AU1" s="404" t="s">
        <v>179</v>
      </c>
      <c r="AV1" s="404" t="s">
        <v>1105</v>
      </c>
      <c r="AW1" s="404" t="s">
        <v>1106</v>
      </c>
      <c r="AX1" s="404" t="s">
        <v>1104</v>
      </c>
      <c r="AY1" s="404" t="s">
        <v>1096</v>
      </c>
      <c r="AZ1" s="404" t="s">
        <v>1100</v>
      </c>
      <c r="BA1" s="404" t="s">
        <v>181</v>
      </c>
      <c r="BB1" s="404" t="s">
        <v>792</v>
      </c>
      <c r="BD1" s="427" t="s">
        <v>1111</v>
      </c>
      <c r="BE1" s="428" t="s">
        <v>5</v>
      </c>
      <c r="BF1" s="427" t="s">
        <v>170</v>
      </c>
      <c r="BG1" s="427" t="s">
        <v>183</v>
      </c>
      <c r="BH1" s="429" t="s">
        <v>876</v>
      </c>
      <c r="BI1" s="429" t="s">
        <v>820</v>
      </c>
      <c r="BK1" t="s">
        <v>494</v>
      </c>
      <c r="BL1" t="s">
        <v>876</v>
      </c>
      <c r="BM1" t="s">
        <v>820</v>
      </c>
      <c r="BN1" t="s">
        <v>183</v>
      </c>
    </row>
    <row r="2" spans="1:66" x14ac:dyDescent="0.25">
      <c r="A2" s="1" t="s">
        <v>0</v>
      </c>
      <c r="B2" s="1">
        <v>720</v>
      </c>
      <c r="C2" s="1">
        <v>600</v>
      </c>
      <c r="D2" s="1">
        <v>525</v>
      </c>
      <c r="E2" s="1">
        <v>1</v>
      </c>
      <c r="F2" s="1">
        <v>4541.7000000000007</v>
      </c>
      <c r="G2" s="1">
        <v>0.43</v>
      </c>
      <c r="H2" s="1">
        <v>0</v>
      </c>
      <c r="I2" s="1">
        <v>0.28349999999999997</v>
      </c>
      <c r="J2" s="28">
        <v>3330.35</v>
      </c>
      <c r="K2" s="1">
        <v>0</v>
      </c>
      <c r="L2" s="1"/>
      <c r="M2" s="1">
        <v>2461.7000000000003</v>
      </c>
      <c r="N2" s="1">
        <v>300</v>
      </c>
      <c r="O2" s="1" t="s">
        <v>754</v>
      </c>
      <c r="P2" s="1" t="s">
        <v>358</v>
      </c>
      <c r="Q2" s="1"/>
      <c r="R2" s="1" t="s">
        <v>185</v>
      </c>
      <c r="S2" s="1" t="s">
        <v>1068</v>
      </c>
      <c r="T2" s="1" t="s">
        <v>1315</v>
      </c>
      <c r="U2" s="1" t="s">
        <v>1316</v>
      </c>
      <c r="V2" s="1" t="s">
        <v>1184</v>
      </c>
      <c r="W2" s="1">
        <v>1080</v>
      </c>
      <c r="X2" s="1">
        <v>1000</v>
      </c>
      <c r="Y2" s="1" t="s">
        <v>1099</v>
      </c>
      <c r="Z2" s="1">
        <v>0</v>
      </c>
      <c r="AA2" s="1" t="s">
        <v>1185</v>
      </c>
      <c r="AB2" s="1">
        <v>4541.7000000000007</v>
      </c>
      <c r="AI2" s="1" t="s">
        <v>770</v>
      </c>
      <c r="AJ2" s="1" t="s">
        <v>758</v>
      </c>
      <c r="AK2" s="1">
        <v>38</v>
      </c>
      <c r="AL2" s="1">
        <v>3000</v>
      </c>
      <c r="AM2" s="1">
        <v>600</v>
      </c>
      <c r="AN2" s="1">
        <v>1</v>
      </c>
      <c r="AO2" s="1">
        <v>6020</v>
      </c>
      <c r="AP2" s="1" t="s">
        <v>1292</v>
      </c>
      <c r="AR2" s="1" t="s">
        <v>184</v>
      </c>
      <c r="AS2" s="1" t="s">
        <v>353</v>
      </c>
      <c r="AT2" s="1" t="s">
        <v>213</v>
      </c>
      <c r="AU2" s="1" t="s">
        <v>198</v>
      </c>
      <c r="AV2" s="1">
        <v>1000</v>
      </c>
      <c r="AW2" s="1">
        <v>1000</v>
      </c>
      <c r="AX2" s="1">
        <v>1</v>
      </c>
      <c r="AY2" s="1" t="s">
        <v>1099</v>
      </c>
      <c r="AZ2" s="1">
        <v>0</v>
      </c>
      <c r="BA2" s="1">
        <v>1</v>
      </c>
      <c r="BB2" s="1">
        <v>7620</v>
      </c>
      <c r="BD2" s="429" t="s">
        <v>1131</v>
      </c>
      <c r="BE2" s="429" t="s">
        <v>1118</v>
      </c>
      <c r="BF2" s="429" t="s">
        <v>1050</v>
      </c>
      <c r="BG2" s="429" t="s">
        <v>1181</v>
      </c>
      <c r="BH2" s="429">
        <v>1</v>
      </c>
      <c r="BI2" s="429">
        <v>257</v>
      </c>
      <c r="BK2" t="s">
        <v>1287</v>
      </c>
      <c r="BL2">
        <v>1</v>
      </c>
      <c r="BM2">
        <v>5720</v>
      </c>
    </row>
    <row r="3" spans="1:66" x14ac:dyDescent="0.25">
      <c r="A3" s="1" t="s">
        <v>187</v>
      </c>
      <c r="B3" s="1">
        <v>720</v>
      </c>
      <c r="C3" s="1">
        <v>710</v>
      </c>
      <c r="D3" s="1">
        <v>525</v>
      </c>
      <c r="E3" s="1">
        <v>1</v>
      </c>
      <c r="F3" s="1">
        <v>6990.18</v>
      </c>
      <c r="G3" s="1">
        <v>0.25</v>
      </c>
      <c r="H3" s="1">
        <v>0</v>
      </c>
      <c r="I3" s="1">
        <v>0.33850000000000002</v>
      </c>
      <c r="J3" s="28">
        <v>1936.25</v>
      </c>
      <c r="K3" s="1">
        <v>0</v>
      </c>
      <c r="L3" s="1"/>
      <c r="M3" s="1">
        <v>2990.1800000000003</v>
      </c>
      <c r="N3" s="1">
        <v>750</v>
      </c>
      <c r="O3" s="1" t="s">
        <v>754</v>
      </c>
      <c r="P3" s="1" t="s">
        <v>358</v>
      </c>
      <c r="Q3" s="1"/>
      <c r="R3" s="1" t="s">
        <v>185</v>
      </c>
      <c r="S3" s="1" t="s">
        <v>1068</v>
      </c>
      <c r="T3" s="1" t="s">
        <v>1315</v>
      </c>
      <c r="U3" s="1" t="s">
        <v>1316</v>
      </c>
      <c r="V3" s="1" t="s">
        <v>1184</v>
      </c>
      <c r="W3" s="1">
        <v>1350</v>
      </c>
      <c r="X3" s="1">
        <v>2650</v>
      </c>
      <c r="Y3" s="1" t="s">
        <v>1099</v>
      </c>
      <c r="Z3" s="1">
        <v>0</v>
      </c>
      <c r="AA3" s="1" t="s">
        <v>1185</v>
      </c>
      <c r="AB3" s="1">
        <v>6990.18</v>
      </c>
      <c r="AD3" s="1" t="s">
        <v>1299</v>
      </c>
      <c r="AI3" s="1" t="s">
        <v>770</v>
      </c>
      <c r="AJ3" s="1" t="s">
        <v>758</v>
      </c>
      <c r="AK3" s="1">
        <v>38</v>
      </c>
      <c r="AL3" s="1">
        <v>3000</v>
      </c>
      <c r="AM3" s="1">
        <v>600</v>
      </c>
      <c r="AN3" s="1">
        <v>1</v>
      </c>
      <c r="AO3" s="1">
        <v>6020</v>
      </c>
      <c r="AP3" s="1" t="s">
        <v>1293</v>
      </c>
      <c r="AR3" s="1" t="s">
        <v>184</v>
      </c>
      <c r="AS3" s="1" t="s">
        <v>353</v>
      </c>
      <c r="AT3" s="1" t="s">
        <v>218</v>
      </c>
      <c r="AU3" s="1" t="s">
        <v>198</v>
      </c>
      <c r="AV3" s="1">
        <v>1000</v>
      </c>
      <c r="AW3" s="1">
        <v>1000</v>
      </c>
      <c r="AX3" s="1">
        <v>1</v>
      </c>
      <c r="AY3" s="1" t="s">
        <v>1099</v>
      </c>
      <c r="AZ3" s="1">
        <v>0</v>
      </c>
      <c r="BA3" s="1">
        <v>1</v>
      </c>
      <c r="BB3" s="1">
        <v>6096</v>
      </c>
      <c r="BD3" s="429" t="s">
        <v>1182</v>
      </c>
      <c r="BE3" s="429" t="s">
        <v>1113</v>
      </c>
      <c r="BF3" s="429" t="s">
        <v>1114</v>
      </c>
      <c r="BG3" s="429" t="s">
        <v>1183</v>
      </c>
      <c r="BH3" s="429">
        <v>1</v>
      </c>
      <c r="BI3" s="429">
        <v>50</v>
      </c>
      <c r="BK3" t="s">
        <v>1287</v>
      </c>
      <c r="BL3">
        <v>1</v>
      </c>
      <c r="BM3">
        <v>4576</v>
      </c>
    </row>
    <row r="4" spans="1:66" x14ac:dyDescent="0.25">
      <c r="A4" s="1" t="s">
        <v>1</v>
      </c>
      <c r="B4" s="1">
        <v>720</v>
      </c>
      <c r="C4" s="1">
        <v>600</v>
      </c>
      <c r="D4" s="1">
        <v>525</v>
      </c>
      <c r="E4" s="1">
        <v>1</v>
      </c>
      <c r="F4" s="1">
        <v>19616.5</v>
      </c>
      <c r="G4" s="1">
        <v>0.42</v>
      </c>
      <c r="H4" s="1">
        <v>0</v>
      </c>
      <c r="I4" s="1">
        <v>0</v>
      </c>
      <c r="J4" s="28">
        <v>3252.9</v>
      </c>
      <c r="K4" s="1">
        <v>0</v>
      </c>
      <c r="L4" s="1"/>
      <c r="M4" s="1">
        <v>3226.5</v>
      </c>
      <c r="N4" s="1">
        <v>300</v>
      </c>
      <c r="O4" s="1" t="s">
        <v>754</v>
      </c>
      <c r="P4" s="1" t="s">
        <v>358</v>
      </c>
      <c r="Q4" s="1"/>
      <c r="R4" s="1" t="s">
        <v>185</v>
      </c>
      <c r="S4" s="1" t="s">
        <v>1068</v>
      </c>
      <c r="T4" s="1" t="s">
        <v>1315</v>
      </c>
      <c r="U4" s="1" t="s">
        <v>1316</v>
      </c>
      <c r="V4" s="1" t="s">
        <v>1184</v>
      </c>
      <c r="W4" s="1">
        <v>1080</v>
      </c>
      <c r="X4" s="1">
        <v>15310</v>
      </c>
      <c r="Y4" s="1" t="s">
        <v>1099</v>
      </c>
      <c r="Z4" s="1">
        <v>0</v>
      </c>
      <c r="AA4" s="1" t="s">
        <v>1185</v>
      </c>
      <c r="AB4" s="1">
        <v>19616.5</v>
      </c>
      <c r="AI4" s="1" t="s">
        <v>770</v>
      </c>
      <c r="AJ4" s="1" t="s">
        <v>758</v>
      </c>
      <c r="AK4" s="1">
        <v>38</v>
      </c>
      <c r="AL4" s="1">
        <v>3000</v>
      </c>
      <c r="AM4" s="1">
        <v>600</v>
      </c>
      <c r="AN4" s="1">
        <v>1</v>
      </c>
      <c r="AO4" s="1">
        <v>6020</v>
      </c>
      <c r="AP4" s="1" t="s">
        <v>1292</v>
      </c>
      <c r="AR4" s="1" t="s">
        <v>184</v>
      </c>
      <c r="AS4" s="1" t="s">
        <v>353</v>
      </c>
      <c r="AT4" s="1" t="s">
        <v>213</v>
      </c>
      <c r="AU4" s="1" t="s">
        <v>198</v>
      </c>
      <c r="AV4" s="1">
        <v>1000</v>
      </c>
      <c r="AW4" s="1">
        <v>1000</v>
      </c>
      <c r="AX4" s="1">
        <v>1</v>
      </c>
      <c r="AY4" s="1" t="s">
        <v>1099</v>
      </c>
      <c r="AZ4" s="1">
        <v>0</v>
      </c>
      <c r="BA4" s="1">
        <v>1</v>
      </c>
      <c r="BB4" s="1">
        <v>7620</v>
      </c>
      <c r="BD4" s="429" t="s">
        <v>1182</v>
      </c>
      <c r="BE4" s="429" t="s">
        <v>1113</v>
      </c>
      <c r="BF4" s="429" t="s">
        <v>1114</v>
      </c>
      <c r="BG4" s="429" t="s">
        <v>1183</v>
      </c>
      <c r="BH4" s="429">
        <v>1</v>
      </c>
      <c r="BI4" s="429">
        <v>50</v>
      </c>
      <c r="BK4" t="s">
        <v>1288</v>
      </c>
      <c r="BL4">
        <v>1</v>
      </c>
      <c r="BM4">
        <v>2392</v>
      </c>
    </row>
    <row r="5" spans="1:66" x14ac:dyDescent="0.25">
      <c r="AI5" s="1" t="s">
        <v>770</v>
      </c>
      <c r="AJ5" s="1" t="s">
        <v>758</v>
      </c>
      <c r="AK5" s="1">
        <v>38</v>
      </c>
      <c r="AL5" s="1">
        <v>1000</v>
      </c>
      <c r="AM5" s="1">
        <v>600</v>
      </c>
      <c r="AN5" s="1">
        <v>1</v>
      </c>
      <c r="AO5" s="1">
        <v>1014.4000000000001</v>
      </c>
      <c r="AP5" s="1"/>
      <c r="AR5" s="1" t="s">
        <v>184</v>
      </c>
      <c r="AS5" s="1" t="s">
        <v>353</v>
      </c>
      <c r="AT5" s="1" t="s">
        <v>213</v>
      </c>
      <c r="AU5" s="1" t="s">
        <v>198</v>
      </c>
      <c r="AV5" s="1">
        <v>1000</v>
      </c>
      <c r="AW5" s="1">
        <v>1000</v>
      </c>
      <c r="AX5" s="1">
        <v>1</v>
      </c>
      <c r="AY5" s="1" t="s">
        <v>1099</v>
      </c>
      <c r="AZ5" s="1">
        <v>0</v>
      </c>
      <c r="BA5" s="1">
        <v>1</v>
      </c>
      <c r="BB5" s="1">
        <v>7620</v>
      </c>
      <c r="BD5" s="429" t="s">
        <v>1182</v>
      </c>
      <c r="BE5" s="429" t="s">
        <v>1113</v>
      </c>
      <c r="BF5" s="429" t="s">
        <v>1114</v>
      </c>
      <c r="BG5" s="429" t="s">
        <v>1183</v>
      </c>
      <c r="BH5" s="429">
        <v>2</v>
      </c>
      <c r="BI5" s="429">
        <v>100</v>
      </c>
      <c r="BK5" t="s">
        <v>1199</v>
      </c>
      <c r="BL5">
        <v>1</v>
      </c>
      <c r="BM5">
        <v>809</v>
      </c>
    </row>
    <row r="6" spans="1:66" x14ac:dyDescent="0.25">
      <c r="AI6" s="1" t="s">
        <v>770</v>
      </c>
      <c r="AJ6" s="1" t="s">
        <v>758</v>
      </c>
      <c r="AK6" s="1">
        <v>38</v>
      </c>
      <c r="AL6" s="1">
        <v>1000</v>
      </c>
      <c r="AM6" s="1">
        <v>600</v>
      </c>
      <c r="AN6" s="1">
        <v>1</v>
      </c>
      <c r="AO6" s="1">
        <v>1014.4000000000001</v>
      </c>
      <c r="AP6" s="1"/>
      <c r="AR6" s="1" t="s">
        <v>185</v>
      </c>
      <c r="AS6" s="1" t="s">
        <v>1072</v>
      </c>
      <c r="AT6" s="1" t="s">
        <v>261</v>
      </c>
      <c r="AU6" s="1" t="s">
        <v>198</v>
      </c>
      <c r="AV6" s="1">
        <v>1000</v>
      </c>
      <c r="AW6" s="1">
        <v>1000</v>
      </c>
      <c r="AX6" s="1">
        <v>1</v>
      </c>
      <c r="AY6" s="1" t="s">
        <v>1099</v>
      </c>
      <c r="AZ6" s="1">
        <v>0</v>
      </c>
      <c r="BA6" s="1">
        <v>1</v>
      </c>
      <c r="BB6" s="1">
        <v>7745</v>
      </c>
      <c r="BK6" t="s">
        <v>1205</v>
      </c>
      <c r="BL6">
        <v>2</v>
      </c>
      <c r="BM6">
        <v>4184</v>
      </c>
      <c r="BN6" t="s">
        <v>184</v>
      </c>
    </row>
    <row r="7" spans="1:66" x14ac:dyDescent="0.25">
      <c r="AI7" s="1" t="s">
        <v>770</v>
      </c>
      <c r="AJ7" s="1" t="s">
        <v>758</v>
      </c>
      <c r="AK7" s="1">
        <v>38</v>
      </c>
      <c r="AL7" s="1">
        <v>1000</v>
      </c>
      <c r="AM7" s="1">
        <v>600</v>
      </c>
      <c r="AN7" s="1">
        <v>1</v>
      </c>
      <c r="AO7" s="1">
        <v>2536</v>
      </c>
      <c r="AP7" s="1"/>
      <c r="AR7" s="1" t="s">
        <v>1252</v>
      </c>
      <c r="AS7" s="1" t="s">
        <v>1241</v>
      </c>
      <c r="AT7" s="1" t="s">
        <v>1234</v>
      </c>
      <c r="AU7" s="1" t="s">
        <v>1253</v>
      </c>
      <c r="AV7" s="1">
        <v>1000</v>
      </c>
      <c r="AW7" s="1">
        <v>1000</v>
      </c>
      <c r="AX7" s="1">
        <v>1</v>
      </c>
      <c r="AY7" s="1" t="s">
        <v>1099</v>
      </c>
      <c r="AZ7" s="1">
        <v>0</v>
      </c>
      <c r="BA7" s="1">
        <v>1</v>
      </c>
      <c r="BB7" s="1">
        <v>4218</v>
      </c>
    </row>
    <row r="8" spans="1:66" x14ac:dyDescent="0.25">
      <c r="AI8" s="1" t="s">
        <v>770</v>
      </c>
      <c r="AJ8" s="1" t="s">
        <v>758</v>
      </c>
      <c r="AK8" s="1">
        <v>38</v>
      </c>
      <c r="AL8" s="1">
        <v>500</v>
      </c>
      <c r="AM8" s="1">
        <v>500</v>
      </c>
      <c r="AN8" s="1">
        <v>1</v>
      </c>
      <c r="AO8" s="1">
        <v>2536</v>
      </c>
      <c r="AP8" s="1" t="s">
        <v>1292</v>
      </c>
      <c r="AR8" s="1" t="s">
        <v>184</v>
      </c>
      <c r="AS8" s="1" t="s">
        <v>253</v>
      </c>
      <c r="AT8" s="1" t="s">
        <v>222</v>
      </c>
      <c r="AU8" s="1" t="s">
        <v>198</v>
      </c>
      <c r="AV8" s="1">
        <v>1000</v>
      </c>
      <c r="AW8" s="1">
        <v>1000</v>
      </c>
      <c r="AX8" s="1">
        <v>1</v>
      </c>
      <c r="AY8" s="1" t="s">
        <v>1099</v>
      </c>
      <c r="AZ8" s="1">
        <v>0</v>
      </c>
      <c r="BA8" s="1">
        <v>1</v>
      </c>
      <c r="BB8" s="1">
        <v>5556.25</v>
      </c>
    </row>
    <row r="9" spans="1:66" x14ac:dyDescent="0.25">
      <c r="AI9" s="1" t="s">
        <v>770</v>
      </c>
      <c r="AJ9" s="1" t="s">
        <v>758</v>
      </c>
      <c r="AK9" s="1">
        <v>38</v>
      </c>
      <c r="AL9" s="1">
        <v>500</v>
      </c>
      <c r="AM9" s="1">
        <v>500</v>
      </c>
      <c r="AN9" s="1">
        <v>1</v>
      </c>
      <c r="AO9" s="1">
        <v>1014.4000000000001</v>
      </c>
      <c r="AP9" s="1" t="s">
        <v>1293</v>
      </c>
      <c r="AR9" s="1" t="s">
        <v>1252</v>
      </c>
      <c r="AS9" s="1" t="s">
        <v>1241</v>
      </c>
      <c r="AT9" s="1" t="s">
        <v>1234</v>
      </c>
      <c r="AU9" s="1" t="s">
        <v>1253</v>
      </c>
      <c r="AV9" s="1">
        <v>1</v>
      </c>
      <c r="AW9" s="1">
        <v>1</v>
      </c>
      <c r="AX9" s="1">
        <v>9.9999999999999995E-7</v>
      </c>
      <c r="AY9" s="1" t="s">
        <v>1099</v>
      </c>
      <c r="AZ9" s="1">
        <v>0</v>
      </c>
      <c r="BA9" s="1">
        <v>1</v>
      </c>
      <c r="BB9" s="1">
        <v>4.2179999999999995E-3</v>
      </c>
    </row>
    <row r="10" spans="1:66" x14ac:dyDescent="0.25">
      <c r="AR10" s="1" t="s">
        <v>1252</v>
      </c>
      <c r="AS10" s="1" t="s">
        <v>1241</v>
      </c>
      <c r="AT10" s="1" t="s">
        <v>1235</v>
      </c>
      <c r="AU10" s="1" t="s">
        <v>1253</v>
      </c>
      <c r="AV10" s="1">
        <v>1</v>
      </c>
      <c r="AW10" s="1">
        <v>1</v>
      </c>
      <c r="AX10" s="1">
        <v>9.9999999999999995E-7</v>
      </c>
      <c r="AY10" s="1" t="s">
        <v>1099</v>
      </c>
      <c r="AZ10" s="1">
        <v>0</v>
      </c>
      <c r="BA10" s="1">
        <v>1</v>
      </c>
      <c r="BB10" s="1">
        <v>3.7859999999999999E-3</v>
      </c>
    </row>
    <row r="11" spans="1:66" x14ac:dyDescent="0.25">
      <c r="AR11" s="1" t="s">
        <v>1252</v>
      </c>
      <c r="AS11" s="1" t="s">
        <v>1241</v>
      </c>
      <c r="AT11" s="1" t="s">
        <v>1235</v>
      </c>
      <c r="AU11" s="1" t="s">
        <v>1253</v>
      </c>
      <c r="AV11" s="1">
        <v>1</v>
      </c>
      <c r="AW11" s="1">
        <v>1</v>
      </c>
      <c r="AX11" s="1">
        <v>9.9999999999999995E-7</v>
      </c>
      <c r="AY11" s="1" t="s">
        <v>1099</v>
      </c>
      <c r="AZ11" s="1">
        <v>0</v>
      </c>
      <c r="BA11" s="1">
        <v>1</v>
      </c>
      <c r="BB11" s="1">
        <v>3.7859999999999999E-3</v>
      </c>
    </row>
    <row r="12" spans="1:66" x14ac:dyDescent="0.25">
      <c r="AR12" s="1" t="s">
        <v>1252</v>
      </c>
      <c r="AS12" s="1" t="s">
        <v>1241</v>
      </c>
      <c r="AT12" s="1" t="s">
        <v>1235</v>
      </c>
      <c r="AU12" s="1" t="s">
        <v>1253</v>
      </c>
      <c r="AV12" s="1">
        <v>1</v>
      </c>
      <c r="AW12" s="1">
        <v>1</v>
      </c>
      <c r="AX12" s="1">
        <v>9.9999999999999995E-7</v>
      </c>
      <c r="AY12" s="1" t="s">
        <v>807</v>
      </c>
      <c r="AZ12" s="1">
        <v>1179</v>
      </c>
      <c r="BA12" s="1">
        <v>1</v>
      </c>
      <c r="BB12" s="1">
        <v>1.1789999999999999E-3</v>
      </c>
    </row>
    <row r="13" spans="1:66" x14ac:dyDescent="0.25">
      <c r="AR13" s="1" t="s">
        <v>185</v>
      </c>
      <c r="AS13" s="1" t="s">
        <v>1072</v>
      </c>
      <c r="AT13" s="1" t="s">
        <v>261</v>
      </c>
      <c r="AU13" s="1" t="s">
        <v>198</v>
      </c>
      <c r="AV13" s="1">
        <v>1</v>
      </c>
      <c r="AW13" s="1">
        <v>1</v>
      </c>
      <c r="AX13" s="1">
        <v>9.9999999999999995E-7</v>
      </c>
      <c r="AY13" s="1" t="s">
        <v>807</v>
      </c>
      <c r="AZ13" s="1">
        <v>1179</v>
      </c>
      <c r="BA13" s="1">
        <v>1</v>
      </c>
      <c r="BB13" s="1">
        <v>1.3453E-2</v>
      </c>
    </row>
    <row r="14" spans="1:66" x14ac:dyDescent="0.25">
      <c r="AR14" s="1" t="s">
        <v>185</v>
      </c>
      <c r="AS14" s="1" t="s">
        <v>1072</v>
      </c>
      <c r="AT14" s="1" t="s">
        <v>261</v>
      </c>
      <c r="AU14" s="1" t="s">
        <v>198</v>
      </c>
      <c r="AV14" s="1">
        <v>1000</v>
      </c>
      <c r="AW14" s="1">
        <v>1000</v>
      </c>
      <c r="AX14" s="1">
        <v>1</v>
      </c>
      <c r="AY14" s="1" t="s">
        <v>807</v>
      </c>
      <c r="AZ14" s="1">
        <v>1179</v>
      </c>
      <c r="BA14" s="1">
        <v>1</v>
      </c>
      <c r="BB14" s="1">
        <v>13453</v>
      </c>
    </row>
    <row r="15" spans="1:66" x14ac:dyDescent="0.25">
      <c r="AR15" s="1" t="s">
        <v>1252</v>
      </c>
      <c r="AS15" s="1" t="s">
        <v>1242</v>
      </c>
      <c r="AT15" s="1" t="s">
        <v>1235</v>
      </c>
      <c r="AU15" s="1" t="s">
        <v>1253</v>
      </c>
      <c r="AV15" s="1">
        <v>1000</v>
      </c>
      <c r="AW15" s="1">
        <v>1000</v>
      </c>
      <c r="AX15" s="1">
        <v>1</v>
      </c>
      <c r="AY15" s="1" t="s">
        <v>807</v>
      </c>
      <c r="AZ15" s="1">
        <v>1179</v>
      </c>
      <c r="BA15" s="1">
        <v>1</v>
      </c>
      <c r="BB15" s="1">
        <v>1179</v>
      </c>
    </row>
    <row r="16" spans="1:66" x14ac:dyDescent="0.25">
      <c r="AR16" s="1" t="s">
        <v>1252</v>
      </c>
      <c r="AS16" s="1" t="s">
        <v>1241</v>
      </c>
      <c r="AT16" s="1" t="s">
        <v>1235</v>
      </c>
      <c r="AU16" s="1" t="s">
        <v>1253</v>
      </c>
      <c r="AV16" s="1">
        <v>1</v>
      </c>
      <c r="AW16" s="1">
        <v>1</v>
      </c>
      <c r="AX16" s="1">
        <v>9.9999999999999995E-7</v>
      </c>
      <c r="AY16" s="1" t="s">
        <v>1099</v>
      </c>
      <c r="AZ16" s="1">
        <v>0</v>
      </c>
      <c r="BA16" s="1">
        <v>1</v>
      </c>
      <c r="BB16" s="1">
        <v>3.7859999999999999E-3</v>
      </c>
    </row>
    <row r="17" spans="44:54" x14ac:dyDescent="0.25">
      <c r="AR17" s="1" t="s">
        <v>1252</v>
      </c>
      <c r="AS17" s="1" t="s">
        <v>1243</v>
      </c>
      <c r="AT17" s="1" t="s">
        <v>1235</v>
      </c>
      <c r="AU17" s="1" t="s">
        <v>1253</v>
      </c>
      <c r="AV17" s="1">
        <v>1000</v>
      </c>
      <c r="AW17" s="1">
        <v>1000</v>
      </c>
      <c r="AX17" s="1">
        <v>1</v>
      </c>
      <c r="AY17" s="1" t="s">
        <v>1099</v>
      </c>
      <c r="AZ17" s="1">
        <v>0</v>
      </c>
      <c r="BA17" s="1">
        <v>1</v>
      </c>
      <c r="BB17" s="1">
        <v>3786</v>
      </c>
    </row>
    <row r="18" spans="44:54" x14ac:dyDescent="0.25">
      <c r="AR18" s="1" t="s">
        <v>1252</v>
      </c>
      <c r="AS18" s="1" t="s">
        <v>1248</v>
      </c>
      <c r="AT18" s="1" t="s">
        <v>1235</v>
      </c>
      <c r="AU18" s="1" t="s">
        <v>1253</v>
      </c>
      <c r="AV18" s="1">
        <v>1000</v>
      </c>
      <c r="AW18" s="1">
        <v>1000</v>
      </c>
      <c r="AX18" s="1">
        <v>1</v>
      </c>
      <c r="AY18" s="1" t="s">
        <v>1099</v>
      </c>
      <c r="AZ18" s="1">
        <v>0</v>
      </c>
      <c r="BA18" s="1">
        <v>1</v>
      </c>
      <c r="BB18" s="1">
        <v>3786</v>
      </c>
    </row>
    <row r="19" spans="44:54" x14ac:dyDescent="0.25">
      <c r="AR19" s="1" t="s">
        <v>1252</v>
      </c>
      <c r="AS19" s="1" t="s">
        <v>1241</v>
      </c>
      <c r="AT19" s="1" t="s">
        <v>1235</v>
      </c>
      <c r="AU19" s="1" t="s">
        <v>1253</v>
      </c>
      <c r="AV19" s="1">
        <v>1000</v>
      </c>
      <c r="AW19" s="1">
        <v>1000</v>
      </c>
      <c r="AX19" s="1">
        <v>1</v>
      </c>
      <c r="AY19" s="1" t="s">
        <v>1099</v>
      </c>
      <c r="AZ19" s="1">
        <v>0</v>
      </c>
      <c r="BA19" s="1">
        <v>1</v>
      </c>
      <c r="BB19" s="1">
        <v>4411</v>
      </c>
    </row>
    <row r="20" spans="44:54" x14ac:dyDescent="0.25">
      <c r="AR20" s="1" t="s">
        <v>184</v>
      </c>
      <c r="AS20" s="1" t="s">
        <v>353</v>
      </c>
      <c r="AT20" s="1" t="s">
        <v>213</v>
      </c>
      <c r="AU20" s="1" t="s">
        <v>198</v>
      </c>
      <c r="AV20" s="1">
        <v>1000</v>
      </c>
      <c r="AW20" s="1">
        <v>1000</v>
      </c>
      <c r="AX20" s="1">
        <v>1</v>
      </c>
      <c r="AY20" s="1" t="s">
        <v>1099</v>
      </c>
      <c r="AZ20" s="1">
        <v>0</v>
      </c>
      <c r="BA20" s="1">
        <v>1</v>
      </c>
      <c r="BB20" s="1">
        <v>7620</v>
      </c>
    </row>
    <row r="21" spans="44:54" x14ac:dyDescent="0.25">
      <c r="AR21" s="1" t="s">
        <v>1252</v>
      </c>
      <c r="AS21" s="1" t="s">
        <v>1241</v>
      </c>
      <c r="AT21" s="1" t="s">
        <v>1234</v>
      </c>
      <c r="AU21" s="1" t="s">
        <v>1253</v>
      </c>
      <c r="AV21" s="1">
        <v>1000</v>
      </c>
      <c r="AW21" s="1">
        <v>1000</v>
      </c>
      <c r="AX21" s="1">
        <v>1</v>
      </c>
      <c r="AY21" s="1" t="s">
        <v>1099</v>
      </c>
      <c r="AZ21" s="1">
        <v>0</v>
      </c>
      <c r="BA21" s="1">
        <v>1</v>
      </c>
      <c r="BB21" s="1">
        <v>4218</v>
      </c>
    </row>
    <row r="22" spans="44:54" x14ac:dyDescent="0.25">
      <c r="AR22" s="1" t="s">
        <v>184</v>
      </c>
      <c r="AS22" s="1" t="s">
        <v>301</v>
      </c>
      <c r="AT22" s="1" t="s">
        <v>213</v>
      </c>
      <c r="AU22" s="1" t="s">
        <v>198</v>
      </c>
      <c r="AV22" s="1">
        <v>4333</v>
      </c>
      <c r="AW22" s="1">
        <v>3323</v>
      </c>
      <c r="AX22" s="1">
        <v>14.398559000000001</v>
      </c>
      <c r="AY22" s="1" t="s">
        <v>1099</v>
      </c>
      <c r="AZ22" s="1">
        <v>0</v>
      </c>
      <c r="BA22" s="1">
        <v>1</v>
      </c>
      <c r="BB22" s="1">
        <v>96956.296666249997</v>
      </c>
    </row>
    <row r="23" spans="44:54" x14ac:dyDescent="0.25">
      <c r="AR23" s="1" t="s">
        <v>184</v>
      </c>
      <c r="AS23" s="1" t="s">
        <v>353</v>
      </c>
      <c r="AT23" s="1" t="s">
        <v>213</v>
      </c>
      <c r="AU23" s="1" t="s">
        <v>198</v>
      </c>
      <c r="AV23" s="1">
        <v>796</v>
      </c>
      <c r="AW23" s="1">
        <v>596</v>
      </c>
      <c r="AX23" s="1">
        <v>0.474416</v>
      </c>
      <c r="AY23" s="1" t="s">
        <v>1099</v>
      </c>
      <c r="AZ23" s="1">
        <v>0</v>
      </c>
      <c r="BA23" s="1">
        <v>1</v>
      </c>
      <c r="BB23" s="1">
        <v>3615.0499199999999</v>
      </c>
    </row>
    <row r="24" spans="44:54" x14ac:dyDescent="0.25">
      <c r="AR24" s="1" t="s">
        <v>184</v>
      </c>
      <c r="AS24" s="1" t="s">
        <v>353</v>
      </c>
      <c r="AT24" s="1" t="s">
        <v>213</v>
      </c>
      <c r="AU24" s="1" t="s">
        <v>198</v>
      </c>
      <c r="AV24" s="1">
        <v>2000</v>
      </c>
      <c r="AW24" s="1">
        <v>500</v>
      </c>
      <c r="AX24" s="1">
        <v>1</v>
      </c>
      <c r="AY24" s="1" t="s">
        <v>1099</v>
      </c>
      <c r="AZ24" s="1">
        <v>0</v>
      </c>
      <c r="BA24" s="1">
        <v>1</v>
      </c>
      <c r="BB24" s="1">
        <v>7620</v>
      </c>
    </row>
  </sheetData>
  <sheetProtection algorithmName="SHA-512" hashValue="ut/ty70Rdzx6DXuZWvyhJz7K+c0ZzlleVBlTFli1pzjGViFhzaBd8z1tIylhFb2Ddip7DXdUi/L/5n2KAOHOyQ==" saltValue="qB98KyE6IGz79tycHYTIbg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S87"/>
  <sheetViews>
    <sheetView topLeftCell="J1" zoomScale="130" zoomScaleNormal="130" workbookViewId="0">
      <pane ySplit="1" topLeftCell="A5" activePane="bottomLeft" state="frozen"/>
      <selection pane="bottomLeft" activeCell="L12" sqref="L12"/>
    </sheetView>
  </sheetViews>
  <sheetFormatPr defaultRowHeight="15" x14ac:dyDescent="0.25"/>
  <cols>
    <col min="1" max="1" width="13.42578125" bestFit="1" customWidth="1"/>
    <col min="3" max="3" width="24.85546875" bestFit="1" customWidth="1"/>
    <col min="4" max="6" width="24.85546875" customWidth="1"/>
    <col min="10" max="10" width="14.85546875" bestFit="1" customWidth="1"/>
  </cols>
  <sheetData>
    <row r="1" spans="1:19" ht="45" x14ac:dyDescent="0.25">
      <c r="A1" s="1" t="s">
        <v>871</v>
      </c>
      <c r="B1" s="1" t="s">
        <v>872</v>
      </c>
      <c r="C1" s="1" t="s">
        <v>1311</v>
      </c>
      <c r="D1" s="1" t="s">
        <v>1310</v>
      </c>
      <c r="E1" s="1" t="s">
        <v>1313</v>
      </c>
      <c r="F1" s="1" t="s">
        <v>1312</v>
      </c>
      <c r="G1" s="1" t="s">
        <v>1303</v>
      </c>
      <c r="J1" s="1" t="s">
        <v>1314</v>
      </c>
      <c r="K1" s="508" t="s">
        <v>61</v>
      </c>
      <c r="L1" s="508" t="s">
        <v>62</v>
      </c>
      <c r="M1" s="508" t="s">
        <v>63</v>
      </c>
      <c r="N1" s="508" t="s">
        <v>64</v>
      </c>
      <c r="O1" s="508" t="s">
        <v>65</v>
      </c>
      <c r="P1" s="508" t="s">
        <v>66</v>
      </c>
      <c r="Q1" s="508" t="s">
        <v>688</v>
      </c>
      <c r="R1" s="508" t="s">
        <v>194</v>
      </c>
      <c r="S1" s="508" t="s">
        <v>689</v>
      </c>
    </row>
    <row r="2" spans="1:19" x14ac:dyDescent="0.25">
      <c r="A2" s="470" t="s">
        <v>3</v>
      </c>
      <c r="B2" s="1">
        <v>1</v>
      </c>
      <c r="C2" s="468">
        <v>4579.42</v>
      </c>
      <c r="D2" s="474">
        <v>4579.2418399999997</v>
      </c>
      <c r="E2" s="474"/>
      <c r="F2" s="474"/>
      <c r="G2" s="28">
        <f>Таблица21[[#This Row],[Моя цена Компл 2]]-Таблица21[[#This Row],[Цена БЗ компл 2]]</f>
        <v>-0.17816000000038912</v>
      </c>
      <c r="J2" s="495" t="s">
        <v>3</v>
      </c>
      <c r="K2" s="509">
        <v>420</v>
      </c>
      <c r="L2" s="509">
        <v>2500</v>
      </c>
      <c r="M2" s="509">
        <v>150</v>
      </c>
      <c r="N2" s="509">
        <v>900</v>
      </c>
      <c r="O2" s="509">
        <v>180</v>
      </c>
      <c r="P2" s="509">
        <v>640</v>
      </c>
      <c r="Q2" s="517">
        <f>SUM(Прайс[[#This Row],[ KFPr-SB-StK ]:[Корзина с держателем для бутылок 414*500*520 мм]])</f>
        <v>0</v>
      </c>
      <c r="R2" s="517">
        <f>SUM(Прайс[[#This Row],[ KFPr-SB-StK ]:[Корзина с держателем для бутылок 414*500*520 мм]])</f>
        <v>0</v>
      </c>
      <c r="S2" s="517">
        <f>SUM(Прайс[[#This Row],[ KFPr-SB-StK ]:[Корзина с держателем для бутылок 414*500*520 мм]])</f>
        <v>0</v>
      </c>
    </row>
    <row r="3" spans="1:19" x14ac:dyDescent="0.25">
      <c r="A3" s="471" t="s">
        <v>0</v>
      </c>
      <c r="B3" s="1">
        <v>1</v>
      </c>
      <c r="C3" s="468">
        <v>6073.28</v>
      </c>
      <c r="D3" s="474">
        <v>6072.9436800000012</v>
      </c>
      <c r="E3" s="474"/>
      <c r="F3" s="474"/>
      <c r="G3" s="28">
        <f>Таблица21[[#This Row],[Моя цена Компл 2]]-Таблица21[[#This Row],[Цена БЗ компл 2]]</f>
        <v>-0.33631999999852269</v>
      </c>
      <c r="J3" s="496" t="s">
        <v>0</v>
      </c>
      <c r="K3" s="509">
        <v>480</v>
      </c>
      <c r="L3" s="509">
        <v>960</v>
      </c>
      <c r="M3" s="509">
        <v>150</v>
      </c>
      <c r="N3" s="509">
        <v>650</v>
      </c>
      <c r="O3" s="509">
        <v>180</v>
      </c>
      <c r="P3" s="509">
        <v>640</v>
      </c>
      <c r="Q3" s="518">
        <f>Прайс[[#This Row],[КФ петли SENS накл.110 гр. с крестообр. Планкой]]*2</f>
        <v>1000</v>
      </c>
      <c r="R3" s="518">
        <f>Прайс[[#This Row],[KFP-SB-N110]]*2</f>
        <v>260</v>
      </c>
      <c r="S3" s="518">
        <f>Прайс[[#This Row],[KFP-SB-N110]]*2</f>
        <v>260</v>
      </c>
    </row>
    <row r="4" spans="1:19" x14ac:dyDescent="0.25">
      <c r="A4" s="471" t="s">
        <v>11</v>
      </c>
      <c r="B4" s="1">
        <v>1</v>
      </c>
      <c r="C4" s="468">
        <v>6109.74</v>
      </c>
      <c r="D4" s="474">
        <v>6109.5618400000003</v>
      </c>
      <c r="E4" s="474"/>
      <c r="F4" s="474"/>
      <c r="G4" s="28">
        <f>Таблица21[[#This Row],[Моя цена Компл 2]]-Таблица21[[#This Row],[Цена БЗ компл 2]]</f>
        <v>-0.17815999999947962</v>
      </c>
      <c r="J4" s="496" t="s">
        <v>11</v>
      </c>
      <c r="K4" s="509">
        <v>720</v>
      </c>
      <c r="L4" s="509">
        <v>720</v>
      </c>
      <c r="M4" s="509">
        <v>400</v>
      </c>
      <c r="N4" s="509">
        <v>900</v>
      </c>
      <c r="O4" s="509">
        <v>180</v>
      </c>
      <c r="P4" s="509">
        <v>640</v>
      </c>
      <c r="Q4" s="517">
        <f>Прайс[[#This Row],[КФ петли SENS накл.110 гр. с крестообр. Планкой]]*4</f>
        <v>2000</v>
      </c>
      <c r="R4" s="517">
        <f>Прайс[[#This Row],[KFP-SB-N110]]*4</f>
        <v>520</v>
      </c>
      <c r="S4" s="517">
        <f>Прайс[[#This Row],[KFP-SB-N110]]*4</f>
        <v>520</v>
      </c>
    </row>
    <row r="5" spans="1:19" ht="28.5" x14ac:dyDescent="0.25">
      <c r="A5" s="469" t="s">
        <v>690</v>
      </c>
      <c r="B5" s="1">
        <v>0</v>
      </c>
      <c r="C5" s="468">
        <v>14229.16</v>
      </c>
      <c r="D5" s="474">
        <v>14499.15</v>
      </c>
      <c r="E5" s="474"/>
      <c r="F5" s="474"/>
      <c r="G5" s="28">
        <f>Таблица21[[#This Row],[Моя цена Компл 2]]-Таблица21[[#This Row],[Цена БЗ компл 2]]</f>
        <v>269.98999999999978</v>
      </c>
      <c r="J5" s="496" t="s">
        <v>690</v>
      </c>
      <c r="K5" s="509">
        <v>720</v>
      </c>
      <c r="L5" s="509">
        <v>720</v>
      </c>
      <c r="M5" s="509">
        <v>150</v>
      </c>
      <c r="N5" s="509">
        <v>150</v>
      </c>
      <c r="O5" s="509">
        <v>500</v>
      </c>
      <c r="P5" s="509">
        <v>640</v>
      </c>
      <c r="Q5" s="518">
        <f>Прайс[[#This Row],[KFS-SB-BYT]]</f>
        <v>11560</v>
      </c>
      <c r="R5" s="518">
        <v>0</v>
      </c>
      <c r="S5" s="518">
        <v>0</v>
      </c>
    </row>
    <row r="6" spans="1:19" ht="28.5" x14ac:dyDescent="0.25">
      <c r="A6" s="469" t="s">
        <v>691</v>
      </c>
      <c r="B6" s="1">
        <v>0</v>
      </c>
      <c r="C6" s="468">
        <v>13860.86</v>
      </c>
      <c r="D6" s="474">
        <v>14730.85</v>
      </c>
      <c r="E6" s="474"/>
      <c r="F6" s="474"/>
      <c r="G6" s="28">
        <f>Таблица21[[#This Row],[Моя цена Компл 2]]-Таблица21[[#This Row],[Цена БЗ компл 2]]</f>
        <v>869.98999999999978</v>
      </c>
      <c r="J6" s="496" t="s">
        <v>691</v>
      </c>
      <c r="K6" s="509">
        <v>720</v>
      </c>
      <c r="L6" s="509">
        <v>720</v>
      </c>
      <c r="M6" s="509">
        <v>450</v>
      </c>
      <c r="N6" s="509">
        <v>450</v>
      </c>
      <c r="O6" s="509">
        <v>500</v>
      </c>
      <c r="P6" s="509">
        <v>640</v>
      </c>
      <c r="Q6" s="517">
        <f>Прайс[[#This Row],[Корзина с держателем для бутылок 414*500*520 мм]]+Прайс[[#This Row],[КФ евровинт]]*2</f>
        <v>11390</v>
      </c>
      <c r="R6" s="517">
        <v>0</v>
      </c>
      <c r="S6" s="517">
        <v>0</v>
      </c>
    </row>
    <row r="7" spans="1:19" x14ac:dyDescent="0.25">
      <c r="A7" s="471" t="s">
        <v>13</v>
      </c>
      <c r="B7" s="1">
        <v>1</v>
      </c>
      <c r="C7" s="468">
        <v>4304.7700000000004</v>
      </c>
      <c r="D7" s="474">
        <v>4304.75</v>
      </c>
      <c r="E7" s="474"/>
      <c r="F7" s="474"/>
      <c r="G7" s="28">
        <f>Таблица21[[#This Row],[Моя цена Компл 2]]-Таблица21[[#This Row],[Цена БЗ компл 2]]</f>
        <v>-2.0000000000436557E-2</v>
      </c>
      <c r="J7" s="496" t="s">
        <v>13</v>
      </c>
      <c r="K7" s="509">
        <v>600</v>
      </c>
      <c r="L7" s="509">
        <v>750</v>
      </c>
      <c r="M7" s="509">
        <v>300</v>
      </c>
      <c r="N7" s="509">
        <v>600</v>
      </c>
      <c r="O7" s="509">
        <v>250</v>
      </c>
      <c r="P7" s="509">
        <v>640</v>
      </c>
      <c r="Q7" s="518">
        <f>Прайс[[#This Row],[КФ петли SENS накл.110 гр. с крестообр. Планкой]]*2</f>
        <v>1000</v>
      </c>
      <c r="R7" s="518">
        <f>Прайс[[#This Row],[KFP-SB-N110]]*2</f>
        <v>260</v>
      </c>
      <c r="S7" s="518">
        <f>Прайс[[#This Row],[KFP-SB-N110]]*2</f>
        <v>260</v>
      </c>
    </row>
    <row r="8" spans="1:19" x14ac:dyDescent="0.25">
      <c r="A8" s="16" t="s">
        <v>14</v>
      </c>
      <c r="B8" s="1"/>
      <c r="C8" s="468">
        <v>5304.77</v>
      </c>
      <c r="D8" s="474">
        <v>5304.75</v>
      </c>
      <c r="E8" s="474"/>
      <c r="F8" s="474"/>
      <c r="G8" s="28">
        <f>Таблица21[[#This Row],[Моя цена Компл 2]]-Таблица21[[#This Row],[Цена БЗ компл 2]]</f>
        <v>-2.0000000000436557E-2</v>
      </c>
      <c r="J8" s="496" t="s">
        <v>14</v>
      </c>
      <c r="K8" s="509">
        <v>600</v>
      </c>
      <c r="L8" s="509">
        <v>750</v>
      </c>
      <c r="M8" s="509">
        <v>400</v>
      </c>
      <c r="N8" s="509">
        <v>900</v>
      </c>
      <c r="O8" s="509">
        <v>250</v>
      </c>
      <c r="P8" s="509">
        <v>640</v>
      </c>
      <c r="Q8" s="517">
        <f>Прайс[[#This Row],[КФ петли SENS накл.110 гр. с крестообр. Планкой]]*4</f>
        <v>2000</v>
      </c>
      <c r="R8" s="517">
        <f>Прайс[[#This Row],[KFP-SB-N110]]*4</f>
        <v>520</v>
      </c>
      <c r="S8" s="517">
        <f>Прайс[[#This Row],[KFP-SB-N110]]*4</f>
        <v>520</v>
      </c>
    </row>
    <row r="9" spans="1:19" x14ac:dyDescent="0.25">
      <c r="A9" s="471" t="s">
        <v>187</v>
      </c>
      <c r="B9" s="1">
        <v>1</v>
      </c>
      <c r="C9" s="468">
        <v>8067.6</v>
      </c>
      <c r="D9" s="474">
        <v>8087.791839999999</v>
      </c>
      <c r="E9" s="474"/>
      <c r="F9" s="474"/>
      <c r="G9" s="28">
        <f>Таблица21[[#This Row],[Моя цена Компл 2]]-Таблица21[[#This Row],[Цена БЗ компл 2]]</f>
        <v>20.191839999998592</v>
      </c>
      <c r="J9" s="496" t="s">
        <v>187</v>
      </c>
      <c r="K9" s="509">
        <v>720</v>
      </c>
      <c r="L9" s="509">
        <v>720</v>
      </c>
      <c r="M9" s="509">
        <v>710</v>
      </c>
      <c r="N9" s="509">
        <v>950</v>
      </c>
      <c r="O9" s="509">
        <v>360</v>
      </c>
      <c r="P9" s="509">
        <v>560</v>
      </c>
      <c r="Q9" s="518">
        <f>Прайс[[#This Row],[KFPr-SB-SPL]]+Прайс[[#This Row],[КФ петли вклад. 95 гр. с крестообр. планкой]]*2+Прайс[[#This Row],[KFPr-SB-SMRZ_16мм]]</f>
        <v>2650</v>
      </c>
      <c r="R9" s="518">
        <f>Прайс[[#This Row],[KFPr-SB-SPL]]+Прайс[[#This Row],[KFP-SB-PY94]]*2</f>
        <v>990</v>
      </c>
      <c r="S9" s="518">
        <f>Прайс[[#This Row],[KFPr-SB-SPL]]+Прайс[[#This Row],[KFP-SB-PY94]]*2</f>
        <v>990</v>
      </c>
    </row>
    <row r="10" spans="1:19" x14ac:dyDescent="0.25">
      <c r="A10" s="470" t="s">
        <v>186</v>
      </c>
      <c r="B10" s="1">
        <v>1</v>
      </c>
      <c r="C10" s="468">
        <v>8087.62</v>
      </c>
      <c r="D10" s="474">
        <v>8087.791839999999</v>
      </c>
      <c r="E10" s="474"/>
      <c r="F10" s="474"/>
      <c r="G10" s="28">
        <f>Таблица21[[#This Row],[Моя цена Компл 2]]-Таблица21[[#This Row],[Цена БЗ компл 2]]</f>
        <v>0.17183999999906518</v>
      </c>
      <c r="J10" s="495" t="s">
        <v>186</v>
      </c>
      <c r="K10" s="509">
        <v>720</v>
      </c>
      <c r="L10" s="509">
        <v>720</v>
      </c>
      <c r="M10" s="509">
        <v>710</v>
      </c>
      <c r="N10" s="509">
        <v>950</v>
      </c>
      <c r="O10" s="509">
        <v>360</v>
      </c>
      <c r="P10" s="509">
        <v>560</v>
      </c>
      <c r="Q10" s="517">
        <f>Прайс[[#This Row],[KFPr-SB-SPL]]+Прайс[[#This Row],[КФ петли вклад. 95 гр. с крестообр. планкой]]*2+Прайс[[#This Row],[KFPr-SB-SMRZ_16мм]]</f>
        <v>2650</v>
      </c>
      <c r="R10" s="517">
        <f>Прайс[[#This Row],[KFPr-SB-SPL]]+Прайс[[#This Row],[KFP-SB-PY94]]*2</f>
        <v>990</v>
      </c>
      <c r="S10" s="517">
        <f>Прайс[[#This Row],[KFPr-SB-SPL]]+Прайс[[#This Row],[KFP-SB-PY94]]*2</f>
        <v>990</v>
      </c>
    </row>
    <row r="11" spans="1:19" x14ac:dyDescent="0.25">
      <c r="A11" s="471" t="s">
        <v>189</v>
      </c>
      <c r="B11" s="1">
        <v>1</v>
      </c>
      <c r="C11" s="468">
        <v>6945.28</v>
      </c>
      <c r="D11" s="474">
        <v>6945.25</v>
      </c>
      <c r="E11" s="474"/>
      <c r="F11" s="474"/>
      <c r="G11" s="28">
        <f>Таблица21[[#This Row],[Моя цена Компл 2]]-Таблица21[[#This Row],[Цена БЗ компл 2]]</f>
        <v>-2.9999999999745341E-2</v>
      </c>
      <c r="J11" s="496" t="s">
        <v>189</v>
      </c>
      <c r="K11" s="509">
        <v>710</v>
      </c>
      <c r="L11" s="509">
        <v>950</v>
      </c>
      <c r="M11" s="509">
        <v>710</v>
      </c>
      <c r="N11" s="509">
        <v>950</v>
      </c>
      <c r="O11" s="509">
        <v>360</v>
      </c>
      <c r="P11" s="509">
        <v>560</v>
      </c>
      <c r="Q11" s="518">
        <f>Прайс[[#This Row],[KFPr-SB-SPL]]+Прайс[[#This Row],[КФ петли вклад. 95 гр. с крестообр. планкой]]*2</f>
        <v>2630</v>
      </c>
      <c r="R11" s="518">
        <f>Прайс[[#This Row],[KFPr-SB-SPL]]+Прайс[[#This Row],[KFP-SB-PY94]]*2</f>
        <v>990</v>
      </c>
      <c r="S11" s="518">
        <f>Прайс[[#This Row],[KFPr-SB-SPL]]+Прайс[[#This Row],[KFP-SB-PY94]]*2</f>
        <v>990</v>
      </c>
    </row>
    <row r="12" spans="1:19" x14ac:dyDescent="0.25">
      <c r="A12" s="313" t="s">
        <v>188</v>
      </c>
      <c r="B12" s="1"/>
      <c r="C12" s="468">
        <v>6965.3</v>
      </c>
      <c r="D12" s="474">
        <v>6945.25</v>
      </c>
      <c r="E12" s="474"/>
      <c r="F12" s="474"/>
      <c r="G12" s="28">
        <f>Таблица21[[#This Row],[Моя цена Компл 2]]-Таблица21[[#This Row],[Цена БЗ компл 2]]</f>
        <v>-20.050000000000182</v>
      </c>
      <c r="J12" s="495" t="s">
        <v>188</v>
      </c>
      <c r="K12" s="509">
        <v>720</v>
      </c>
      <c r="L12" s="509">
        <v>720</v>
      </c>
      <c r="M12" s="509">
        <v>810</v>
      </c>
      <c r="N12" s="509">
        <v>1050</v>
      </c>
      <c r="O12" s="509">
        <v>360</v>
      </c>
      <c r="P12" s="509">
        <v>560</v>
      </c>
      <c r="Q12" s="517">
        <f>Прайс[[#This Row],[KFPr-SB-SPL]]+Прайс[[#This Row],[КФ петли вклад. 95 гр. с крестообр. планкой]]*2</f>
        <v>2630</v>
      </c>
      <c r="R12" s="517">
        <f>Прайс[[#This Row],[KFPr-SB-SPL]]+Прайс[[#This Row],[KFP-SB-PY94]]*2</f>
        <v>990</v>
      </c>
      <c r="S12" s="517">
        <f>Прайс[[#This Row],[KFPr-SB-SPL]]+Прайс[[#This Row],[KFP-SB-PY94]]*2</f>
        <v>990</v>
      </c>
    </row>
    <row r="13" spans="1:19" x14ac:dyDescent="0.25">
      <c r="A13" s="471" t="s">
        <v>17</v>
      </c>
      <c r="B13" s="1">
        <v>1</v>
      </c>
      <c r="C13" s="468">
        <v>10146.549999999999</v>
      </c>
      <c r="D13" s="474">
        <v>10146.36184</v>
      </c>
      <c r="E13" s="474"/>
      <c r="F13" s="474"/>
      <c r="G13" s="28">
        <f>Таблица21[[#This Row],[Моя цена Компл 2]]-Таблица21[[#This Row],[Цена БЗ компл 2]]</f>
        <v>-0.1881599999996979</v>
      </c>
      <c r="J13" s="496" t="s">
        <v>17</v>
      </c>
      <c r="K13" s="509">
        <v>720</v>
      </c>
      <c r="L13" s="509">
        <v>720</v>
      </c>
      <c r="M13" s="509">
        <v>300</v>
      </c>
      <c r="N13" s="509">
        <v>600</v>
      </c>
      <c r="O13" s="509">
        <v>525</v>
      </c>
      <c r="P13" s="509">
        <v>560</v>
      </c>
      <c r="Q13" s="518">
        <f>Прайс[[#This Row],[КФ петли SENS накл.110 гр. с крестообр. Планкой]]*2+Прайс[[#This Row],[KFN-SB-DWD95]]</f>
        <v>5750</v>
      </c>
      <c r="R13" s="518">
        <f>Прайс[[#This Row],[KFP-SB-N110]]*2+Прайс[[#This Row],[KFN-SB-M86]]+Прайс[[#This Row],[KFN-SB-MD]]</f>
        <v>800</v>
      </c>
      <c r="S13" s="518">
        <f>Прайс[[#This Row],[KFP-SB-N110]]*2+Прайс[[#This Row],[КФ ящика Matrix (H=89 мм)_450_GR]]</f>
        <v>4390</v>
      </c>
    </row>
    <row r="14" spans="1:19" x14ac:dyDescent="0.25">
      <c r="A14" s="471" t="s">
        <v>140</v>
      </c>
      <c r="B14" s="1">
        <v>1</v>
      </c>
      <c r="C14" s="468">
        <v>5456.54</v>
      </c>
      <c r="D14" s="474">
        <v>5456.3618399999996</v>
      </c>
      <c r="E14" s="474"/>
      <c r="F14" s="474"/>
      <c r="G14" s="28">
        <f>Таблица21[[#This Row],[Моя цена Компл 2]]-Таблица21[[#This Row],[Цена БЗ компл 2]]</f>
        <v>-0.17816000000038912</v>
      </c>
      <c r="J14" s="496" t="s">
        <v>140</v>
      </c>
      <c r="K14" s="509">
        <v>720</v>
      </c>
      <c r="L14" s="509">
        <v>720</v>
      </c>
      <c r="M14" s="509">
        <v>500</v>
      </c>
      <c r="N14" s="509">
        <v>900</v>
      </c>
      <c r="O14" s="509">
        <v>525</v>
      </c>
      <c r="P14" s="509">
        <v>560</v>
      </c>
      <c r="Q14" s="517">
        <f>Прайс[[#This Row],[КФ петли SENS накл.110 гр. с крестообр. Планкой]]*4+Прайс[[#This Row],[KFN-SB-DWD95]]</f>
        <v>6750</v>
      </c>
      <c r="R14" s="517">
        <f>Прайс[[#This Row],[KFP-SB-N110]]*4+Прайс[[#This Row],[KFN-SB-M86]]+Прайс[[#This Row],[KFN-SB-MD]]</f>
        <v>1060</v>
      </c>
      <c r="S14" s="517">
        <f>Прайс[[#This Row],[KFP-SB-N110]]*4+Прайс[[#This Row],[КФ ящика Matrix (H=89 мм)_450_GR]]</f>
        <v>4650</v>
      </c>
    </row>
    <row r="15" spans="1:19" x14ac:dyDescent="0.25">
      <c r="A15" s="470" t="s">
        <v>18</v>
      </c>
      <c r="B15" s="1">
        <v>1</v>
      </c>
      <c r="C15" s="468">
        <v>23700.9</v>
      </c>
      <c r="D15" s="474">
        <v>23700.85</v>
      </c>
      <c r="E15" s="474"/>
      <c r="F15" s="474"/>
      <c r="G15" s="28">
        <f>Таблица21[[#This Row],[Моя цена Компл 2]]-Таблица21[[#This Row],[Цена БЗ компл 2]]</f>
        <v>-5.0000000002910383E-2</v>
      </c>
      <c r="J15" s="495" t="s">
        <v>18</v>
      </c>
      <c r="K15" s="509">
        <v>720</v>
      </c>
      <c r="L15" s="509">
        <v>720</v>
      </c>
      <c r="M15" s="509">
        <v>300</v>
      </c>
      <c r="N15" s="509">
        <v>900</v>
      </c>
      <c r="O15" s="509">
        <v>525</v>
      </c>
      <c r="P15" s="509">
        <v>560</v>
      </c>
      <c r="Q15" s="518">
        <f>4*C16</f>
        <v>78466.16</v>
      </c>
      <c r="R15" s="518">
        <f>E16*4+G16*4</f>
        <v>-0.16000000000349246</v>
      </c>
      <c r="S15" s="518">
        <f>Прайс[[#This Row],[Комплект ящика INNOTECH ATIRA полного выдв. с  PUSH TO OPEN , Н70,NL470,цвет серебристый]]*4</f>
        <v>25760</v>
      </c>
    </row>
    <row r="16" spans="1:19" x14ac:dyDescent="0.25">
      <c r="A16" s="470" t="s">
        <v>1</v>
      </c>
      <c r="B16" s="1">
        <v>1</v>
      </c>
      <c r="C16" s="468">
        <v>19616.54</v>
      </c>
      <c r="D16" s="474">
        <v>19616.5</v>
      </c>
      <c r="E16" s="474"/>
      <c r="F16" s="474"/>
      <c r="G16" s="28">
        <f>Таблица21[[#This Row],[Моя цена Компл 2]]-Таблица21[[#This Row],[Цена БЗ компл 2]]</f>
        <v>-4.0000000000873115E-2</v>
      </c>
      <c r="J16" s="495" t="s">
        <v>1</v>
      </c>
      <c r="K16" s="509">
        <v>720</v>
      </c>
      <c r="L16" s="509">
        <v>720</v>
      </c>
      <c r="M16" s="509">
        <v>300</v>
      </c>
      <c r="N16" s="509">
        <v>600</v>
      </c>
      <c r="O16" s="509">
        <v>525</v>
      </c>
      <c r="P16" s="509">
        <v>560</v>
      </c>
      <c r="Q16" s="517">
        <f>Прайс[[#This Row],[KFN-SB-DWD95]]*2+Прайс[[#This Row],[KFN-SB-DWD95R]]</f>
        <v>15310</v>
      </c>
      <c r="R16" s="517">
        <f>Прайс[[#This Row],[KFN-SB-M86]]*2+Прайс[[#This Row],[KFN-SB-M15]]+Прайс[[#This Row],[KFN-SB-MD]]*3</f>
        <v>2190</v>
      </c>
      <c r="S16" s="517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19" x14ac:dyDescent="0.25">
      <c r="A17" s="313" t="s">
        <v>19</v>
      </c>
      <c r="B17" s="1"/>
      <c r="C17" s="474"/>
      <c r="D17" s="474"/>
      <c r="E17" s="474"/>
      <c r="F17" s="474"/>
      <c r="G17" s="28">
        <f>Таблица21[[#This Row],[Моя цена Компл 2]]-Таблица21[[#This Row],[Цена БЗ компл 2]]</f>
        <v>0</v>
      </c>
      <c r="J17" s="495" t="s">
        <v>19</v>
      </c>
      <c r="K17" s="509">
        <v>720</v>
      </c>
      <c r="L17" s="509">
        <v>720</v>
      </c>
      <c r="M17" s="509">
        <v>300</v>
      </c>
      <c r="N17" s="509">
        <v>950</v>
      </c>
      <c r="O17" s="509">
        <v>525</v>
      </c>
      <c r="P17" s="509">
        <v>560</v>
      </c>
      <c r="Q17" s="518">
        <f>Прайс[[#This Row],[KFN-SB-DWD95R]]*2</f>
        <v>11620</v>
      </c>
      <c r="R17" s="518">
        <f>Прайс[[#This Row],[KFN-SB-M15]]*2+Прайс[[#This Row],[KFN-SB-MD]]*2</f>
        <v>2220</v>
      </c>
      <c r="S17" s="518">
        <f>Прайс[[#This Row],[Комплект короба INNOTECH ATIRA полного выдв. с Push to open, Н176,NL470,рейлинги, цвет серебристый]]</f>
        <v>7970</v>
      </c>
    </row>
    <row r="18" spans="1:19" x14ac:dyDescent="0.25">
      <c r="A18" s="470" t="s">
        <v>20</v>
      </c>
      <c r="B18" s="1">
        <v>1</v>
      </c>
      <c r="C18" s="468">
        <v>4404.74</v>
      </c>
      <c r="D18" s="474">
        <v>4404.7250000000004</v>
      </c>
      <c r="E18" s="474"/>
      <c r="F18" s="474"/>
      <c r="G18" s="28">
        <f>Таблица21[[#This Row],[Моя цена Компл 2]]-Таблица21[[#This Row],[Цена БЗ компл 2]]</f>
        <v>-1.4999999999417923E-2</v>
      </c>
      <c r="J18" s="495" t="s">
        <v>20</v>
      </c>
      <c r="K18" s="509">
        <v>720</v>
      </c>
      <c r="L18" s="509">
        <v>720</v>
      </c>
      <c r="M18" s="509">
        <v>450</v>
      </c>
      <c r="N18" s="509">
        <v>600</v>
      </c>
      <c r="O18" s="509">
        <v>525</v>
      </c>
      <c r="P18" s="509">
        <v>600</v>
      </c>
      <c r="Q18" s="517">
        <v>0</v>
      </c>
      <c r="R18" s="517">
        <f>Прайс[[#This Row],[KFN-SB-M54]]+Прайс[[#This Row],[KFN-SB-MD]]</f>
        <v>650</v>
      </c>
      <c r="S18" s="517">
        <v>0</v>
      </c>
    </row>
    <row r="19" spans="1:19" x14ac:dyDescent="0.25">
      <c r="A19" s="470" t="s">
        <v>21</v>
      </c>
      <c r="B19" s="1">
        <v>1</v>
      </c>
      <c r="C19" s="468">
        <v>4551.03</v>
      </c>
      <c r="D19" s="474">
        <v>4551</v>
      </c>
      <c r="E19" s="474"/>
      <c r="F19" s="474"/>
      <c r="G19" s="28">
        <f>Таблица21[[#This Row],[Моя цена Компл 2]]-Таблица21[[#This Row],[Цена БЗ компл 2]]</f>
        <v>-2.9999999999745341E-2</v>
      </c>
      <c r="J19" s="495" t="s">
        <v>21</v>
      </c>
      <c r="K19" s="509">
        <v>720</v>
      </c>
      <c r="L19" s="509">
        <v>720</v>
      </c>
      <c r="M19" s="509">
        <v>230</v>
      </c>
      <c r="N19" s="509">
        <v>230</v>
      </c>
      <c r="O19" s="509">
        <v>330</v>
      </c>
      <c r="P19" s="509">
        <v>600</v>
      </c>
      <c r="Q19" s="518">
        <f>Прайс[[#This Row],[КKFP-SB-GT45]]*2</f>
        <v>3120</v>
      </c>
      <c r="R19" s="518">
        <f>Прайс[[#This Row],[KFP-SB-N45]]*2</f>
        <v>380</v>
      </c>
      <c r="S19" s="518">
        <f>Прайс[[#This Row],[KFP-SB-N45]]*2</f>
        <v>380</v>
      </c>
    </row>
    <row r="20" spans="1:19" x14ac:dyDescent="0.25">
      <c r="A20" s="471" t="s">
        <v>22</v>
      </c>
      <c r="B20" s="1">
        <v>1</v>
      </c>
      <c r="C20" s="468">
        <v>3430.03</v>
      </c>
      <c r="D20" s="474">
        <v>3430</v>
      </c>
      <c r="E20" s="474"/>
      <c r="F20" s="474"/>
      <c r="G20" s="28">
        <f>Таблица21[[#This Row],[Моя цена Компл 2]]-Таблица21[[#This Row],[Цена БЗ компл 2]]</f>
        <v>-3.0000000000200089E-2</v>
      </c>
      <c r="J20" s="496" t="s">
        <v>22</v>
      </c>
      <c r="K20" s="509">
        <v>720</v>
      </c>
      <c r="L20" s="509">
        <v>720</v>
      </c>
      <c r="M20" s="509">
        <v>315</v>
      </c>
      <c r="N20" s="509">
        <v>315</v>
      </c>
      <c r="O20" s="509">
        <v>315</v>
      </c>
      <c r="P20" s="509">
        <v>600</v>
      </c>
      <c r="Q20" s="517">
        <v>0</v>
      </c>
      <c r="R20" s="517">
        <v>0</v>
      </c>
      <c r="S20" s="517">
        <v>0</v>
      </c>
    </row>
    <row r="21" spans="1:19" x14ac:dyDescent="0.25">
      <c r="A21" s="471" t="s">
        <v>23</v>
      </c>
      <c r="B21" s="1">
        <v>1</v>
      </c>
      <c r="C21" s="468">
        <v>6320.05</v>
      </c>
      <c r="D21" s="474">
        <v>6320</v>
      </c>
      <c r="E21" s="474"/>
      <c r="F21" s="474"/>
      <c r="G21" s="28">
        <f>Таблица21[[#This Row],[Моя цена Компл 2]]-Таблица21[[#This Row],[Цена БЗ компл 2]]</f>
        <v>-5.0000000000181899E-2</v>
      </c>
      <c r="J21" s="496" t="s">
        <v>23</v>
      </c>
      <c r="K21" s="509">
        <v>720</v>
      </c>
      <c r="L21" s="509">
        <v>720</v>
      </c>
      <c r="M21" s="509">
        <v>315</v>
      </c>
      <c r="N21" s="509">
        <v>315</v>
      </c>
      <c r="O21" s="509">
        <v>415</v>
      </c>
      <c r="P21" s="509">
        <v>600</v>
      </c>
      <c r="Q21" s="518">
        <f>Прайс[[#This Row],[КФ петли вклад. 95 гр. с крестообр. планкой]]*2</f>
        <v>2600</v>
      </c>
      <c r="R21" s="518">
        <f>Прайс[[#This Row],[KFP-SB-PY94]]*2</f>
        <v>960</v>
      </c>
      <c r="S21" s="518">
        <v>0</v>
      </c>
    </row>
    <row r="22" spans="1:19" x14ac:dyDescent="0.25">
      <c r="A22" s="471" t="s">
        <v>24</v>
      </c>
      <c r="B22" s="1">
        <v>1</v>
      </c>
      <c r="C22" s="468">
        <v>6114.93</v>
      </c>
      <c r="D22" s="474">
        <v>6114.74784</v>
      </c>
      <c r="E22" s="474"/>
      <c r="F22" s="474"/>
      <c r="G22" s="28">
        <f>Таблица21[[#This Row],[Моя цена Компл 2]]-Таблица21[[#This Row],[Цена БЗ компл 2]]</f>
        <v>-0.18216000000029453</v>
      </c>
      <c r="J22" s="496" t="s">
        <v>24</v>
      </c>
      <c r="K22" s="509">
        <v>720</v>
      </c>
      <c r="L22" s="509">
        <v>720</v>
      </c>
      <c r="M22" s="509">
        <v>150</v>
      </c>
      <c r="N22" s="509">
        <v>600</v>
      </c>
      <c r="O22" s="509">
        <v>300</v>
      </c>
      <c r="P22" s="509">
        <v>640</v>
      </c>
      <c r="Q22" s="517">
        <f>Прайс[[#This Row],[КФ петли SENS накл.110 гр. с крестообр. Планкой]]*2+Прайс[[#This Row],[КФ  крепления профиля Gola]]</f>
        <v>1390</v>
      </c>
      <c r="R22" s="517">
        <v>0</v>
      </c>
      <c r="S22" s="517">
        <v>0</v>
      </c>
    </row>
    <row r="23" spans="1:19" x14ac:dyDescent="0.25">
      <c r="A23" s="471" t="s">
        <v>25</v>
      </c>
      <c r="B23" s="1">
        <v>1</v>
      </c>
      <c r="C23" s="474">
        <v>6696.68</v>
      </c>
      <c r="D23" s="474">
        <v>6696.49784</v>
      </c>
      <c r="E23" s="474"/>
      <c r="F23" s="474"/>
      <c r="G23" s="28">
        <f>Таблица21[[#This Row],[Моя цена Компл 2]]-Таблица21[[#This Row],[Цена БЗ компл 2]]</f>
        <v>-0.18216000000029453</v>
      </c>
      <c r="J23" s="496" t="s">
        <v>25</v>
      </c>
      <c r="K23" s="509">
        <v>720</v>
      </c>
      <c r="L23" s="509">
        <v>720</v>
      </c>
      <c r="M23" s="509">
        <v>600</v>
      </c>
      <c r="N23" s="509">
        <v>900</v>
      </c>
      <c r="O23" s="509">
        <v>300</v>
      </c>
      <c r="P23" s="509">
        <v>640</v>
      </c>
      <c r="Q23" s="518">
        <f>Прайс[[#This Row],[КФ петли SENS накл.110 гр. с крестообр. Планкой]]*4+Прайс[[#This Row],[КФ  крепления профиля Gola]]</f>
        <v>2390</v>
      </c>
      <c r="R23" s="518">
        <v>0</v>
      </c>
      <c r="S23" s="518">
        <v>0</v>
      </c>
    </row>
    <row r="24" spans="1:19" x14ac:dyDescent="0.25">
      <c r="A24" s="471" t="s">
        <v>26</v>
      </c>
      <c r="B24" s="1">
        <v>1</v>
      </c>
      <c r="C24" s="468">
        <v>17825.53</v>
      </c>
      <c r="D24" s="474">
        <v>17825.498</v>
      </c>
      <c r="E24" s="474"/>
      <c r="F24" s="474"/>
      <c r="G24" s="28">
        <f>Таблица21[[#This Row],[Моя цена Компл 2]]-Таблица21[[#This Row],[Цена БЗ компл 2]]</f>
        <v>-3.19999999992433E-2</v>
      </c>
      <c r="J24" s="496" t="s">
        <v>26</v>
      </c>
      <c r="K24" s="509">
        <v>720</v>
      </c>
      <c r="L24" s="509">
        <v>720</v>
      </c>
      <c r="M24" s="509">
        <v>300</v>
      </c>
      <c r="N24" s="509">
        <v>900</v>
      </c>
      <c r="O24" s="509">
        <v>525</v>
      </c>
      <c r="P24" s="509">
        <v>560</v>
      </c>
      <c r="Q24" s="517">
        <f>Прайс[[#This Row],[KFN-SB-DWD95R]]*2+Прайс[[#This Row],[КФ  крепления профиля Gola]]*2</f>
        <v>12400</v>
      </c>
      <c r="R24" s="517">
        <v>0</v>
      </c>
      <c r="S24" s="517">
        <v>0</v>
      </c>
    </row>
    <row r="25" spans="1:19" x14ac:dyDescent="0.25">
      <c r="A25" s="471" t="s">
        <v>27</v>
      </c>
      <c r="B25" s="1">
        <v>1</v>
      </c>
      <c r="C25" s="468">
        <v>20654.66</v>
      </c>
      <c r="D25" s="474">
        <v>20654.62</v>
      </c>
      <c r="E25" s="474"/>
      <c r="F25" s="474"/>
      <c r="G25" s="28">
        <f>Таблица21[[#This Row],[Моя цена Компл 2]]-Таблица21[[#This Row],[Цена БЗ компл 2]]</f>
        <v>-4.0000000000873115E-2</v>
      </c>
      <c r="J25" s="496" t="s">
        <v>27</v>
      </c>
      <c r="K25" s="509">
        <v>720</v>
      </c>
      <c r="L25" s="509">
        <v>720</v>
      </c>
      <c r="M25" s="509">
        <v>300</v>
      </c>
      <c r="N25" s="509">
        <v>900</v>
      </c>
      <c r="O25" s="509">
        <v>525</v>
      </c>
      <c r="P25" s="509">
        <v>560</v>
      </c>
      <c r="Q25" s="518">
        <f>Прайс[[#This Row],[KFN-SB-DWD95]]*2+Прайс[[#This Row],[KFN-SB-DWD95R]]+Прайс[[#This Row],[КФ  крепления профиля Gola]]*2</f>
        <v>16090</v>
      </c>
      <c r="R25" s="518">
        <v>0</v>
      </c>
      <c r="S25" s="518">
        <v>0</v>
      </c>
    </row>
    <row r="26" spans="1:19" x14ac:dyDescent="0.25">
      <c r="A26" s="469" t="s">
        <v>694</v>
      </c>
      <c r="B26" s="1">
        <v>0</v>
      </c>
      <c r="C26" s="474"/>
      <c r="D26" s="474"/>
      <c r="E26" s="474"/>
      <c r="F26" s="474"/>
      <c r="G26" s="28">
        <f>Таблица21[[#This Row],[Моя цена Компл 2]]-Таблица21[[#This Row],[Цена БЗ компл 2]]</f>
        <v>0</v>
      </c>
      <c r="J26" s="496" t="s">
        <v>694</v>
      </c>
      <c r="K26" s="509">
        <v>720</v>
      </c>
      <c r="L26" s="509">
        <v>720</v>
      </c>
      <c r="M26" s="509">
        <v>150</v>
      </c>
      <c r="N26" s="509">
        <v>150</v>
      </c>
      <c r="O26" s="509">
        <v>515</v>
      </c>
      <c r="P26" s="509">
        <v>640</v>
      </c>
      <c r="Q26" s="517">
        <f>Прайс[[#This Row],[KFS-SB-BYT]]+Прайс[[#This Row],[КФ евровинт]]*2+Прайс[[#This Row],[КФ  крепления профиля Gola]]</f>
        <v>11970</v>
      </c>
      <c r="R26" s="517">
        <v>0</v>
      </c>
      <c r="S26" s="517">
        <v>0</v>
      </c>
    </row>
    <row r="27" spans="1:19" x14ac:dyDescent="0.25">
      <c r="A27" s="469" t="s">
        <v>695</v>
      </c>
      <c r="B27" s="1">
        <v>0</v>
      </c>
      <c r="C27" s="468">
        <v>14431.73</v>
      </c>
      <c r="D27" s="474">
        <v>15301.718000000001</v>
      </c>
      <c r="E27" s="474"/>
      <c r="F27" s="474"/>
      <c r="G27" s="28">
        <f>Таблица21[[#This Row],[Моя цена Компл 2]]-Таблица21[[#This Row],[Цена БЗ компл 2]]</f>
        <v>869.98800000000119</v>
      </c>
      <c r="J27" s="496" t="s">
        <v>695</v>
      </c>
      <c r="K27" s="509">
        <v>720</v>
      </c>
      <c r="L27" s="509">
        <v>720</v>
      </c>
      <c r="M27" s="509">
        <v>450</v>
      </c>
      <c r="N27" s="509">
        <v>450</v>
      </c>
      <c r="O27" s="509">
        <v>515</v>
      </c>
      <c r="P27" s="509">
        <v>640</v>
      </c>
      <c r="Q27" s="51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R27" s="518">
        <v>0</v>
      </c>
      <c r="S27" s="518">
        <v>0</v>
      </c>
    </row>
    <row r="28" spans="1:19" x14ac:dyDescent="0.25">
      <c r="A28" s="470" t="s">
        <v>29</v>
      </c>
      <c r="B28" s="1">
        <v>1</v>
      </c>
      <c r="C28" s="468">
        <v>5128.67</v>
      </c>
      <c r="D28" s="474">
        <v>5128.6360000000004</v>
      </c>
      <c r="E28" s="474"/>
      <c r="F28" s="474"/>
      <c r="G28" s="28">
        <f>Таблица21[[#This Row],[Моя цена Компл 2]]-Таблица21[[#This Row],[Цена БЗ компл 2]]</f>
        <v>-3.3999999999650754E-2</v>
      </c>
      <c r="J28" s="495" t="s">
        <v>29</v>
      </c>
      <c r="K28" s="509">
        <v>720</v>
      </c>
      <c r="L28" s="509">
        <v>720</v>
      </c>
      <c r="M28" s="509">
        <v>300</v>
      </c>
      <c r="N28" s="509">
        <v>600</v>
      </c>
      <c r="O28" s="509">
        <v>300</v>
      </c>
      <c r="P28" s="509">
        <v>640</v>
      </c>
      <c r="Q28" s="517">
        <f>Прайс[[#This Row],[КФ петли SENS накл.110 гр. с крестообр. Планкой]]*2+Прайс[[#This Row],[КФ  крепления профиля Gola]]</f>
        <v>1390</v>
      </c>
      <c r="R28" s="517">
        <v>0</v>
      </c>
      <c r="S28" s="517">
        <v>0</v>
      </c>
    </row>
    <row r="29" spans="1:19" x14ac:dyDescent="0.25">
      <c r="A29" s="470" t="s">
        <v>30</v>
      </c>
      <c r="B29" s="1">
        <v>1</v>
      </c>
      <c r="C29" s="468">
        <v>6128.65</v>
      </c>
      <c r="D29" s="474">
        <v>6128.6360000000004</v>
      </c>
      <c r="E29" s="474"/>
      <c r="F29" s="474"/>
      <c r="G29" s="28">
        <f>Таблица21[[#This Row],[Моя цена Компл 2]]-Таблица21[[#This Row],[Цена БЗ компл 2]]</f>
        <v>-1.3999999999214197E-2</v>
      </c>
      <c r="J29" s="495" t="s">
        <v>30</v>
      </c>
      <c r="K29" s="509">
        <v>720</v>
      </c>
      <c r="L29" s="509">
        <v>720</v>
      </c>
      <c r="M29" s="509">
        <v>600</v>
      </c>
      <c r="N29" s="509">
        <v>900</v>
      </c>
      <c r="O29" s="509">
        <v>300</v>
      </c>
      <c r="P29" s="509">
        <v>640</v>
      </c>
      <c r="Q29" s="518">
        <f>Прайс[[#This Row],[КФ петли SENS накл.110 гр. с крестообр. Планкой]]*4+Прайс[[#This Row],[КФ  крепления профиля Gola]]</f>
        <v>2390</v>
      </c>
      <c r="R29" s="518">
        <v>0</v>
      </c>
      <c r="S29" s="518">
        <v>0</v>
      </c>
    </row>
    <row r="30" spans="1:19" x14ac:dyDescent="0.25">
      <c r="A30" s="472" t="s">
        <v>192</v>
      </c>
      <c r="B30" s="1">
        <v>1</v>
      </c>
      <c r="C30" s="468">
        <v>12175.68</v>
      </c>
      <c r="D30" s="474">
        <v>12126.134839999999</v>
      </c>
      <c r="E30" s="474"/>
      <c r="F30" s="474"/>
      <c r="G30" s="28">
        <f>Таблица21[[#This Row],[Моя цена Компл 2]]-Таблица21[[#This Row],[Цена БЗ компл 2]]</f>
        <v>-49.545160000001488</v>
      </c>
      <c r="J30" s="495" t="s">
        <v>192</v>
      </c>
      <c r="K30" s="509">
        <v>720</v>
      </c>
      <c r="L30" s="509">
        <v>720</v>
      </c>
      <c r="M30" s="509">
        <v>710</v>
      </c>
      <c r="N30" s="509">
        <v>950</v>
      </c>
      <c r="O30" s="509">
        <v>360</v>
      </c>
      <c r="P30" s="509">
        <v>560</v>
      </c>
      <c r="Q30" s="517">
        <f>Прайс[[#This Row],[КФ  крепления профиля Gola]]+Прайс[[#This Row],[КФ петли вклад. 95 гр. с крестообр. планкой]]*2+Прайс[[#This Row],[KFPr-SB-SPL]]</f>
        <v>3020</v>
      </c>
      <c r="R30" s="517">
        <v>0</v>
      </c>
      <c r="S30" s="517">
        <v>0</v>
      </c>
    </row>
    <row r="31" spans="1:19" x14ac:dyDescent="0.25">
      <c r="A31" s="472" t="s">
        <v>191</v>
      </c>
      <c r="B31" s="1">
        <v>1</v>
      </c>
      <c r="C31" s="468">
        <v>12195.68</v>
      </c>
      <c r="D31" s="474">
        <v>12126.134839999999</v>
      </c>
      <c r="E31" s="474"/>
      <c r="F31" s="474"/>
      <c r="G31" s="28">
        <f>Таблица21[[#This Row],[Моя цена Компл 2]]-Таблица21[[#This Row],[Цена БЗ компл 2]]</f>
        <v>-69.545160000001488</v>
      </c>
      <c r="J31" s="495" t="s">
        <v>191</v>
      </c>
      <c r="K31" s="509">
        <v>720</v>
      </c>
      <c r="L31" s="509">
        <v>720</v>
      </c>
      <c r="M31" s="509">
        <v>810</v>
      </c>
      <c r="N31" s="509">
        <v>1050</v>
      </c>
      <c r="O31" s="509">
        <v>360</v>
      </c>
      <c r="P31" s="509">
        <v>560</v>
      </c>
      <c r="Q31" s="518">
        <f>Прайс[[#This Row],[КФ  крепления профиля Gola]]+Прайс[[#This Row],[КФ петли вклад. 95 гр. с крестообр. планкой]]*2+Прайс[[#This Row],[KFPr-SB-SPL]]</f>
        <v>3020</v>
      </c>
      <c r="R31" s="518">
        <v>0</v>
      </c>
      <c r="S31" s="518">
        <v>0</v>
      </c>
    </row>
    <row r="32" spans="1:19" x14ac:dyDescent="0.25">
      <c r="A32" s="477" t="s">
        <v>2</v>
      </c>
      <c r="B32" s="1">
        <v>1</v>
      </c>
      <c r="C32" s="468">
        <v>3172.39</v>
      </c>
      <c r="D32" s="474">
        <v>3172.1829600000001</v>
      </c>
      <c r="E32" s="474"/>
      <c r="F32" s="474"/>
      <c r="G32" s="28">
        <f>Таблица21[[#This Row],[Моя цена Компл 2]]-Таблица21[[#This Row],[Цена БЗ компл 2]]</f>
        <v>-0.20703999999977896</v>
      </c>
      <c r="J32" s="497" t="s">
        <v>2</v>
      </c>
      <c r="K32" s="510">
        <v>240</v>
      </c>
      <c r="L32" s="510">
        <v>1250</v>
      </c>
      <c r="M32" s="510">
        <v>150</v>
      </c>
      <c r="N32" s="510">
        <v>900</v>
      </c>
      <c r="O32" s="510">
        <v>250</v>
      </c>
      <c r="P32" s="510">
        <v>560</v>
      </c>
      <c r="Q32" s="519">
        <v>0</v>
      </c>
      <c r="R32" s="519">
        <v>0</v>
      </c>
      <c r="S32" s="519">
        <v>0</v>
      </c>
    </row>
    <row r="33" spans="1:19" x14ac:dyDescent="0.25">
      <c r="A33" s="477" t="s">
        <v>131</v>
      </c>
      <c r="B33" s="1">
        <v>1</v>
      </c>
      <c r="C33" s="468">
        <v>3882.49</v>
      </c>
      <c r="D33" s="474">
        <v>3882.26296</v>
      </c>
      <c r="E33" s="474"/>
      <c r="F33" s="474"/>
      <c r="G33" s="28">
        <f>Таблица21[[#This Row],[Моя цена Компл 2]]-Таблица21[[#This Row],[Цена БЗ компл 2]]</f>
        <v>-0.22703999999976077</v>
      </c>
      <c r="J33" s="497" t="s">
        <v>131</v>
      </c>
      <c r="K33" s="509">
        <v>360</v>
      </c>
      <c r="L33" s="509">
        <v>1250</v>
      </c>
      <c r="M33" s="509">
        <v>150</v>
      </c>
      <c r="N33" s="509">
        <v>600</v>
      </c>
      <c r="O33" s="509">
        <v>250</v>
      </c>
      <c r="P33" s="509">
        <v>560</v>
      </c>
      <c r="Q33" s="518">
        <f>Прайс[[#This Row],[КФ петли SENS накл.110 гр. с крестообр. Планкой]]*2</f>
        <v>1000</v>
      </c>
      <c r="R33" s="518">
        <f>Прайс[[#This Row],[KFP-SB-N110]]*2</f>
        <v>260</v>
      </c>
      <c r="S33" s="518">
        <f>Прайс[[#This Row],[KFP-SB-N110]]*2</f>
        <v>260</v>
      </c>
    </row>
    <row r="34" spans="1:19" x14ac:dyDescent="0.25">
      <c r="A34" s="477" t="s">
        <v>132</v>
      </c>
      <c r="B34" s="1">
        <v>1</v>
      </c>
      <c r="C34" s="468">
        <v>4234.2700000000004</v>
      </c>
      <c r="D34" s="474">
        <v>4231.9078</v>
      </c>
      <c r="E34" s="474"/>
      <c r="F34" s="474"/>
      <c r="G34" s="28">
        <f>Таблица21[[#This Row],[Моя цена Компл 2]]-Таблица21[[#This Row],[Цена БЗ компл 2]]</f>
        <v>-2.3622000000004846</v>
      </c>
      <c r="H34" t="s">
        <v>1306</v>
      </c>
      <c r="J34" s="497" t="s">
        <v>132</v>
      </c>
      <c r="K34" s="509">
        <v>800</v>
      </c>
      <c r="L34" s="509">
        <v>960</v>
      </c>
      <c r="M34" s="509">
        <v>450</v>
      </c>
      <c r="N34" s="509">
        <v>600</v>
      </c>
      <c r="O34" s="509">
        <v>350</v>
      </c>
      <c r="P34" s="509">
        <v>500</v>
      </c>
      <c r="Q34" s="517">
        <f>Прайс[[#This Row],[КФ петли SENS накл.110 гр. с крестообр. Планкой]]*2</f>
        <v>1000</v>
      </c>
      <c r="R34" s="517">
        <f>Прайс[[#This Row],[KFP-SB-N110]]*2</f>
        <v>260</v>
      </c>
      <c r="S34" s="517">
        <f>Прайс[[#This Row],[KFP-SB-N110]]*2</f>
        <v>260</v>
      </c>
    </row>
    <row r="35" spans="1:19" x14ac:dyDescent="0.25">
      <c r="A35" s="477" t="s">
        <v>133</v>
      </c>
      <c r="B35" s="1">
        <v>1</v>
      </c>
      <c r="C35" s="468">
        <v>9369.52</v>
      </c>
      <c r="D35" s="474">
        <v>9369.49</v>
      </c>
      <c r="E35" s="474"/>
      <c r="F35" s="474"/>
      <c r="G35" s="28">
        <f>Таблица21[[#This Row],[Моя цена Компл 2]]-Таблица21[[#This Row],[Цена БЗ компл 2]]</f>
        <v>-3.0000000000654836E-2</v>
      </c>
      <c r="J35" s="497" t="s">
        <v>133</v>
      </c>
      <c r="K35" s="509">
        <v>240</v>
      </c>
      <c r="L35" s="509">
        <v>600</v>
      </c>
      <c r="M35" s="509">
        <v>350</v>
      </c>
      <c r="N35" s="509">
        <v>700</v>
      </c>
      <c r="O35" s="509">
        <v>315</v>
      </c>
      <c r="P35" s="509">
        <v>560</v>
      </c>
      <c r="Q35" s="518">
        <f>Прайс[[#This Row],[KFP-SP-PPGK]]</f>
        <v>6080</v>
      </c>
      <c r="R35" s="518">
        <f>Прайс[[#This Row],[KFP-SP-PPA]]+Прайс[[#This Row],[KFP-SB-N110]]*2</f>
        <v>2550</v>
      </c>
      <c r="S35" s="518">
        <v>0</v>
      </c>
    </row>
    <row r="36" spans="1:19" x14ac:dyDescent="0.25">
      <c r="A36" s="477" t="s">
        <v>134</v>
      </c>
      <c r="B36" s="1">
        <v>1</v>
      </c>
      <c r="C36" s="468">
        <v>8966.51</v>
      </c>
      <c r="D36" s="474">
        <v>8966.48</v>
      </c>
      <c r="E36" s="474"/>
      <c r="F36" s="474"/>
      <c r="G36" s="28">
        <f>Таблица21[[#This Row],[Моя цена Компл 2]]-Таблица21[[#This Row],[Цена БЗ компл 2]]</f>
        <v>-3.0000000000654836E-2</v>
      </c>
      <c r="J36" s="497" t="s">
        <v>134</v>
      </c>
      <c r="K36" s="511">
        <v>600</v>
      </c>
      <c r="L36" s="511">
        <v>800</v>
      </c>
      <c r="M36" s="511">
        <v>450</v>
      </c>
      <c r="N36" s="511">
        <v>600</v>
      </c>
      <c r="O36" s="511">
        <v>350</v>
      </c>
      <c r="P36" s="511">
        <v>500</v>
      </c>
      <c r="Q36" s="399">
        <f>Прайс[[#This Row],[KFP-SP-PPGK]]</f>
        <v>6080</v>
      </c>
      <c r="R36" s="399">
        <f>Прайс[[#This Row],[KFP-SP-PPA]]+Прайс[[#This Row],[KFP-SB-N110]]*2</f>
        <v>2550</v>
      </c>
      <c r="S36" s="399">
        <v>0</v>
      </c>
    </row>
    <row r="37" spans="1:19" x14ac:dyDescent="0.25">
      <c r="A37" s="477" t="s">
        <v>135</v>
      </c>
      <c r="B37" s="1">
        <v>1</v>
      </c>
      <c r="C37" s="468">
        <v>5172.41</v>
      </c>
      <c r="D37" s="474">
        <v>5172.1829600000001</v>
      </c>
      <c r="E37" s="474"/>
      <c r="F37" s="474"/>
      <c r="G37" s="28">
        <f>Таблица21[[#This Row],[Моя цена Компл 2]]-Таблица21[[#This Row],[Цена БЗ компл 2]]</f>
        <v>-0.22703999999976077</v>
      </c>
      <c r="J37" s="497" t="s">
        <v>135</v>
      </c>
      <c r="K37" s="509">
        <v>360</v>
      </c>
      <c r="L37" s="509">
        <v>1250</v>
      </c>
      <c r="M37" s="509">
        <v>400</v>
      </c>
      <c r="N37" s="509">
        <v>900</v>
      </c>
      <c r="O37" s="509">
        <v>250</v>
      </c>
      <c r="P37" s="509">
        <v>560</v>
      </c>
      <c r="Q37" s="518">
        <f>Прайс[[#This Row],[КФ петли SENS накл.110 гр. с крестообр. Планкой]]*4</f>
        <v>2000</v>
      </c>
      <c r="R37" s="518">
        <f>Прайс[[#This Row],[KFP-SB-N110]]*4</f>
        <v>520</v>
      </c>
      <c r="S37" s="518">
        <f>Прайс[[#This Row],[KFP-SB-N110]]*4</f>
        <v>520</v>
      </c>
    </row>
    <row r="38" spans="1:19" x14ac:dyDescent="0.25">
      <c r="A38" s="477" t="s">
        <v>32</v>
      </c>
      <c r="B38" s="1">
        <v>1</v>
      </c>
      <c r="C38" s="468">
        <v>16843.509999999998</v>
      </c>
      <c r="D38" s="474">
        <v>16843.604512000002</v>
      </c>
      <c r="E38" s="474"/>
      <c r="F38" s="474"/>
      <c r="G38" s="28">
        <f>Таблица21[[#This Row],[Моя цена Компл 2]]-Таблица21[[#This Row],[Цена БЗ компл 2]]</f>
        <v>9.4512000003305729E-2</v>
      </c>
      <c r="J38" s="497" t="s">
        <v>32</v>
      </c>
      <c r="K38" s="509">
        <v>720</v>
      </c>
      <c r="L38" s="509">
        <v>720</v>
      </c>
      <c r="M38" s="509">
        <v>400</v>
      </c>
      <c r="N38" s="509">
        <v>900</v>
      </c>
      <c r="O38" s="509">
        <v>300</v>
      </c>
      <c r="P38" s="509">
        <v>400</v>
      </c>
      <c r="Q38" s="517">
        <f>Прайс[[#This Row],[KFP-SB-PPHF_W]]</f>
        <v>13990</v>
      </c>
      <c r="R38" s="517">
        <v>0</v>
      </c>
      <c r="S38" s="517">
        <v>0</v>
      </c>
    </row>
    <row r="39" spans="1:19" x14ac:dyDescent="0.25">
      <c r="A39" s="477" t="s">
        <v>797</v>
      </c>
      <c r="B39" s="1">
        <v>1</v>
      </c>
      <c r="C39" s="468">
        <v>7009.31</v>
      </c>
      <c r="D39" s="474">
        <v>7009.25</v>
      </c>
      <c r="E39" s="474"/>
      <c r="F39" s="474"/>
      <c r="G39" s="28">
        <f>Таблица21[[#This Row],[Моя цена Компл 2]]-Таблица21[[#This Row],[Цена БЗ компл 2]]</f>
        <v>-6.0000000000400178E-2</v>
      </c>
      <c r="J39" s="497" t="s">
        <v>797</v>
      </c>
      <c r="K39" s="509">
        <v>360</v>
      </c>
      <c r="L39" s="509">
        <v>1250</v>
      </c>
      <c r="M39" s="509">
        <v>595</v>
      </c>
      <c r="N39" s="509">
        <v>1000</v>
      </c>
      <c r="O39" s="509">
        <v>315</v>
      </c>
      <c r="P39" s="509">
        <v>560</v>
      </c>
      <c r="Q39" s="518">
        <f>Прайс[[#This Row],[KFPr-SB-SPL]]+Прайс[[#This Row],[KFPr-SB-SMRZ_16мм]]+Прайс[[#This Row],[КФ петли вклад. 95 гр. с крестообр. планкой]]*2</f>
        <v>2650</v>
      </c>
      <c r="R39" s="518">
        <f>Прайс[[#This Row],[KFPr-SB-SPL]]+Прайс[[#This Row],[KFPr-SB-SMRZ_16мм]]+Прайс[[#This Row],[KFP-SB-PY94]]*2</f>
        <v>1010</v>
      </c>
      <c r="S39" s="518">
        <f>Прайс[[#This Row],[KFPr-SB-SPL]]+Прайс[[#This Row],[KFPr-SB-SMRZ_16мм]]+Прайс[[#This Row],[KFP-SB-PY94]]*2</f>
        <v>1010</v>
      </c>
    </row>
    <row r="40" spans="1:19" x14ac:dyDescent="0.25">
      <c r="A40" s="478" t="s">
        <v>34</v>
      </c>
      <c r="B40" s="1">
        <v>1</v>
      </c>
      <c r="C40" s="468">
        <v>6228.83</v>
      </c>
      <c r="D40" s="474">
        <v>6228.4307519999993</v>
      </c>
      <c r="E40" s="474"/>
      <c r="F40" s="474"/>
      <c r="G40" s="28">
        <f>Таблица21[[#This Row],[Моя цена Компл 2]]-Таблица21[[#This Row],[Цена БЗ компл 2]]</f>
        <v>-0.39924800000062532</v>
      </c>
      <c r="I40" t="s">
        <v>1307</v>
      </c>
      <c r="J40" s="498" t="s">
        <v>34</v>
      </c>
      <c r="K40" s="509">
        <v>440</v>
      </c>
      <c r="L40" s="509">
        <v>1210</v>
      </c>
      <c r="M40" s="509">
        <v>500</v>
      </c>
      <c r="N40" s="509">
        <v>600</v>
      </c>
      <c r="O40" s="509">
        <v>300</v>
      </c>
      <c r="P40" s="509">
        <v>400</v>
      </c>
      <c r="Q40" s="517">
        <f>Прайс[[#This Row],[КФ петли SENS накл.110 гр. с крестообр. Планкой]]*2</f>
        <v>1000</v>
      </c>
      <c r="R40" s="517">
        <f>Прайс[[#This Row],[KFP-SB-N110]]*2</f>
        <v>260</v>
      </c>
      <c r="S40" s="517">
        <f>Прайс[[#This Row],[KFP-SB-N110]]*2</f>
        <v>260</v>
      </c>
    </row>
    <row r="41" spans="1:19" x14ac:dyDescent="0.25">
      <c r="A41" s="478" t="s">
        <v>35</v>
      </c>
      <c r="B41" s="1">
        <v>1</v>
      </c>
      <c r="C41" s="468">
        <v>7728.83</v>
      </c>
      <c r="D41" s="474">
        <v>7728.4307519999993</v>
      </c>
      <c r="E41" s="474"/>
      <c r="F41" s="474"/>
      <c r="G41" s="28">
        <f>Таблица21[[#This Row],[Моя цена Компл 2]]-Таблица21[[#This Row],[Цена БЗ компл 2]]</f>
        <v>-0.39924800000062532</v>
      </c>
      <c r="J41" s="498" t="s">
        <v>35</v>
      </c>
      <c r="K41" s="509">
        <v>440</v>
      </c>
      <c r="L41" s="509">
        <v>1210</v>
      </c>
      <c r="M41" s="509">
        <v>600</v>
      </c>
      <c r="N41" s="509">
        <v>900</v>
      </c>
      <c r="O41" s="509">
        <v>300</v>
      </c>
      <c r="P41" s="509">
        <v>400</v>
      </c>
      <c r="Q41" s="518">
        <f>Прайс[[#This Row],[КФ петли SENS накл.110 гр. с крестообр. Планкой]]*4</f>
        <v>2000</v>
      </c>
      <c r="R41" s="518">
        <f>Прайс[[#This Row],[KFP-SB-N110]]*4</f>
        <v>520</v>
      </c>
      <c r="S41" s="518">
        <f>Прайс[[#This Row],[KFP-SB-N110]]*4</f>
        <v>520</v>
      </c>
    </row>
    <row r="42" spans="1:19" x14ac:dyDescent="0.25">
      <c r="A42" s="477" t="s">
        <v>36</v>
      </c>
      <c r="B42" s="1">
        <v>1</v>
      </c>
      <c r="C42" s="468">
        <v>6139.85</v>
      </c>
      <c r="D42" s="474">
        <v>6139.5399040000002</v>
      </c>
      <c r="E42" s="474"/>
      <c r="F42" s="474"/>
      <c r="G42" s="28">
        <f>Таблица21[[#This Row],[Моя цена Компл 2]]-Таблица21[[#This Row],[Цена БЗ компл 2]]</f>
        <v>-0.3100960000001578</v>
      </c>
      <c r="J42" s="497" t="s">
        <v>36</v>
      </c>
      <c r="K42" s="509">
        <v>360</v>
      </c>
      <c r="L42" s="509">
        <v>960</v>
      </c>
      <c r="M42" s="509">
        <v>600</v>
      </c>
      <c r="N42" s="509">
        <v>600</v>
      </c>
      <c r="O42" s="509">
        <v>600</v>
      </c>
      <c r="P42" s="509">
        <v>600</v>
      </c>
      <c r="Q42" s="517">
        <f>Прайс[[#This Row],[КKFP-SB-GT45]]*2</f>
        <v>3120</v>
      </c>
      <c r="R42" s="517">
        <f>Прайс[[#This Row],[KFP-SB-N45]]*2</f>
        <v>380</v>
      </c>
      <c r="S42" s="517">
        <f>Прайс[[#This Row],[KFP-SB-N45]]*2</f>
        <v>380</v>
      </c>
    </row>
    <row r="43" spans="1:19" x14ac:dyDescent="0.25">
      <c r="A43" s="477" t="s">
        <v>696</v>
      </c>
      <c r="B43" s="1">
        <v>1</v>
      </c>
      <c r="C43" s="468">
        <v>5178.92</v>
      </c>
      <c r="D43" s="474">
        <v>5179.2609600000005</v>
      </c>
      <c r="E43" s="474"/>
      <c r="F43" s="474"/>
      <c r="G43" s="28">
        <f>Таблица21[[#This Row],[Моя цена Компл 2]]-Таблица21[[#This Row],[Цена БЗ компл 2]]</f>
        <v>0.34096000000045024</v>
      </c>
      <c r="J43" s="497" t="s">
        <v>696</v>
      </c>
      <c r="K43" s="509">
        <v>601</v>
      </c>
      <c r="L43" s="509">
        <v>1250</v>
      </c>
      <c r="M43" s="509">
        <v>450</v>
      </c>
      <c r="N43" s="509">
        <v>450</v>
      </c>
      <c r="O43" s="509">
        <v>315</v>
      </c>
      <c r="P43" s="509">
        <v>360</v>
      </c>
      <c r="Q43" s="518">
        <f>Прайс[[#This Row],[КФ петли SENS накл.110 гр. с крестообр. Планкой]]*2+Прайс[[#This Row],[KFS-SB-45 (посудосушители)]]</f>
        <v>2590</v>
      </c>
      <c r="R43" s="518">
        <f>Прайс[[#This Row],[KFP-SB-N110]]*2+Прайс[[#This Row],[KFS-SB-45 (посудосушители)]]</f>
        <v>1850</v>
      </c>
      <c r="S43" s="518">
        <f>Прайс[[#This Row],[KFP-SB-N110]]*2+Прайс[[#This Row],[KFS-SB-45 (посудосушители)]]</f>
        <v>1850</v>
      </c>
    </row>
    <row r="44" spans="1:19" x14ac:dyDescent="0.25">
      <c r="A44" s="477" t="s">
        <v>697</v>
      </c>
      <c r="B44" s="1">
        <v>1</v>
      </c>
      <c r="C44" s="474">
        <v>8092.38</v>
      </c>
      <c r="D44" s="474">
        <v>8088.5540000000001</v>
      </c>
      <c r="E44" s="474"/>
      <c r="F44" s="474"/>
      <c r="G44" s="28">
        <f>Таблица21[[#This Row],[Моя цена Компл 2]]-Таблица21[[#This Row],[Цена БЗ компл 2]]</f>
        <v>-3.8260000000000218</v>
      </c>
      <c r="J44" s="497" t="s">
        <v>697</v>
      </c>
      <c r="K44" s="509">
        <v>601</v>
      </c>
      <c r="L44" s="509">
        <v>1250</v>
      </c>
      <c r="M44" s="509">
        <v>596</v>
      </c>
      <c r="N44" s="509">
        <v>596</v>
      </c>
      <c r="O44" s="509">
        <v>315</v>
      </c>
      <c r="P44" s="509">
        <v>360</v>
      </c>
      <c r="Q44" s="517">
        <f>Прайс[[#This Row],[КФ петли SENS накл.110 гр. с крестообр. Планкой]]*2+Прайс[[#This Row],[КФ Сушка AFF 600]]</f>
        <v>5920</v>
      </c>
      <c r="R44" s="517">
        <f>Прайс[[#This Row],[KFP-SB-N110]]*2+Прайс[[#This Row],[КФ Сушка AFF 600]]</f>
        <v>5180</v>
      </c>
      <c r="S44" s="517">
        <f>Прайс[[#This Row],[KFP-SB-N110]]*2+Прайс[[#This Row],[КФ Сушка AFF 600]]</f>
        <v>5180</v>
      </c>
    </row>
    <row r="45" spans="1:19" x14ac:dyDescent="0.25">
      <c r="A45" s="307" t="s">
        <v>698</v>
      </c>
      <c r="B45" s="1"/>
      <c r="C45" s="474"/>
      <c r="D45" s="474"/>
      <c r="E45" s="474"/>
      <c r="F45" s="474"/>
      <c r="G45" s="28">
        <f>Таблица21[[#This Row],[Моя цена Компл 2]]-Таблица21[[#This Row],[Цена БЗ компл 2]]</f>
        <v>0</v>
      </c>
      <c r="J45" s="497" t="s">
        <v>698</v>
      </c>
      <c r="K45" s="509">
        <v>601</v>
      </c>
      <c r="L45" s="509">
        <v>1250</v>
      </c>
      <c r="M45" s="509">
        <v>596</v>
      </c>
      <c r="N45" s="509">
        <v>596</v>
      </c>
      <c r="O45" s="509">
        <v>315</v>
      </c>
      <c r="P45" s="509">
        <v>360</v>
      </c>
      <c r="Q45" s="518">
        <f>Прайс[[#This Row],[КФ петли SENS накл.110 гр. с крестообр. Планкой]]*4+Прайс[[#This Row],[КФ Сушка AFF 600]]</f>
        <v>6920</v>
      </c>
      <c r="R45" s="518">
        <f>Прайс[[#This Row],[KFP-SB-N110]]*4+Прайс[[#This Row],[КФ Сушка AFF 600]]</f>
        <v>5440</v>
      </c>
      <c r="S45" s="518">
        <f>Прайс[[#This Row],[KFP-SB-N110]]*4+Прайс[[#This Row],[КФ Сушка AFF 600]]</f>
        <v>5440</v>
      </c>
    </row>
    <row r="46" spans="1:19" x14ac:dyDescent="0.25">
      <c r="A46" s="307" t="s">
        <v>699</v>
      </c>
      <c r="B46" s="1"/>
      <c r="C46" s="474"/>
      <c r="D46" s="474"/>
      <c r="E46" s="474"/>
      <c r="F46" s="474"/>
      <c r="G46" s="28">
        <f>Таблица21[[#This Row],[Моя цена Компл 2]]-Таблица21[[#This Row],[Цена БЗ компл 2]]</f>
        <v>0</v>
      </c>
      <c r="J46" s="497" t="s">
        <v>699</v>
      </c>
      <c r="K46" s="509">
        <v>601</v>
      </c>
      <c r="L46" s="509">
        <v>1250</v>
      </c>
      <c r="M46" s="509">
        <v>796</v>
      </c>
      <c r="N46" s="509">
        <v>796</v>
      </c>
      <c r="O46" s="509">
        <v>315</v>
      </c>
      <c r="P46" s="509">
        <v>360</v>
      </c>
      <c r="Q46" s="517">
        <f>Прайс[[#This Row],[КФ петли SENS накл.110 гр. с крестообр. Планкой]]*4+Прайс[[#This Row],[КФ Сушка AFF 800]]</f>
        <v>7530</v>
      </c>
      <c r="R46" s="517">
        <f>Прайс[[#This Row],[KFP-SB-N110]]*4+Прайс[[#This Row],[КФ Сушка AFF 800]]</f>
        <v>6050</v>
      </c>
      <c r="S46" s="517">
        <f>Прайс[[#This Row],[KFP-SB-N110]]*4+Прайс[[#This Row],[КФ Сушка AFF 800]]</f>
        <v>6050</v>
      </c>
    </row>
    <row r="47" spans="1:19" x14ac:dyDescent="0.25">
      <c r="A47" s="307" t="s">
        <v>700</v>
      </c>
      <c r="B47" s="1"/>
      <c r="C47" s="474"/>
      <c r="D47" s="474"/>
      <c r="E47" s="474"/>
      <c r="F47" s="474"/>
      <c r="G47" s="28">
        <f>Таблица21[[#This Row],[Моя цена Компл 2]]-Таблица21[[#This Row],[Цена БЗ компл 2]]</f>
        <v>0</v>
      </c>
      <c r="J47" s="497" t="s">
        <v>700</v>
      </c>
      <c r="K47" s="509">
        <v>601</v>
      </c>
      <c r="L47" s="509">
        <v>1250</v>
      </c>
      <c r="M47" s="509">
        <v>896</v>
      </c>
      <c r="N47" s="509">
        <v>896</v>
      </c>
      <c r="O47" s="509">
        <v>315</v>
      </c>
      <c r="P47" s="509">
        <v>360</v>
      </c>
      <c r="Q47" s="518">
        <f>Прайс[[#This Row],[КФ петли SENS накл.110 гр. с крестообр. Планкой]]*4+Прайс[[#This Row],[КФ Сушка AFF 900]]</f>
        <v>8130</v>
      </c>
      <c r="R47" s="518">
        <f>Прайс[[#This Row],[KFP-SB-N110]]*4+Прайс[[#This Row],[КФ Сушка AFF 900]]</f>
        <v>6650</v>
      </c>
      <c r="S47" s="518">
        <f>Прайс[[#This Row],[KFP-SB-N110]]*4+Прайс[[#This Row],[КФ Сушка AFF 900]]</f>
        <v>6650</v>
      </c>
    </row>
    <row r="48" spans="1:19" x14ac:dyDescent="0.25">
      <c r="A48" s="477" t="s">
        <v>701</v>
      </c>
      <c r="B48" s="1">
        <v>1</v>
      </c>
      <c r="C48" s="468">
        <v>17610.009999999998</v>
      </c>
      <c r="D48" s="474">
        <v>17610</v>
      </c>
      <c r="E48" s="474"/>
      <c r="F48" s="474"/>
      <c r="G48" s="28">
        <f>Таблица21[[#This Row],[Моя цена Компл 2]]-Таблица21[[#This Row],[Цена БЗ компл 2]]</f>
        <v>-9.9999999983992893E-3</v>
      </c>
      <c r="I48" s="269">
        <v>85</v>
      </c>
      <c r="J48" s="499" t="s">
        <v>701</v>
      </c>
      <c r="K48" s="509">
        <v>720</v>
      </c>
      <c r="L48" s="509">
        <v>720</v>
      </c>
      <c r="M48" s="509">
        <v>450</v>
      </c>
      <c r="N48" s="509">
        <v>450</v>
      </c>
      <c r="O48" s="509">
        <v>315</v>
      </c>
      <c r="P48" s="509">
        <v>315</v>
      </c>
      <c r="Q48" s="517">
        <f>Прайс[[#This Row],[KFS-SB-45 (посудосушители)]]+Прайс[[#This Row],[KFP-SB-PPHF_W]]</f>
        <v>15580</v>
      </c>
      <c r="R48" s="517">
        <v>0</v>
      </c>
      <c r="S48" s="517">
        <v>0</v>
      </c>
    </row>
    <row r="49" spans="1:19" ht="23.25" x14ac:dyDescent="0.35">
      <c r="A49" s="314" t="s">
        <v>702</v>
      </c>
      <c r="B49" s="1">
        <v>1</v>
      </c>
      <c r="C49" s="468">
        <v>10022.280000000001</v>
      </c>
      <c r="D49" s="474">
        <v>10022.264999999999</v>
      </c>
      <c r="E49" s="474"/>
      <c r="F49" s="474"/>
      <c r="G49" s="28">
        <f>Таблица21[[#This Row],[Моя цена Компл 2]]-Таблица21[[#This Row],[Цена БЗ компл 2]]</f>
        <v>-1.5000000001236913E-2</v>
      </c>
      <c r="I49" s="473">
        <f>Таблица21[[#Totals],[Тест]]/I48</f>
        <v>0.71764705882352942</v>
      </c>
      <c r="J49" s="301" t="s">
        <v>702</v>
      </c>
      <c r="K49" s="512">
        <v>240</v>
      </c>
      <c r="L49" s="512">
        <v>600</v>
      </c>
      <c r="M49" s="512">
        <v>450</v>
      </c>
      <c r="N49" s="512">
        <v>450</v>
      </c>
      <c r="O49" s="512">
        <v>315</v>
      </c>
      <c r="P49" s="512">
        <v>360</v>
      </c>
      <c r="Q49" s="518">
        <f>Прайс[[#This Row],[KFP-SP-PPGK]]+Прайс[[#This Row],[KFS-SB-45 (посудосушители)]]</f>
        <v>7080</v>
      </c>
      <c r="R49" s="518">
        <v>0</v>
      </c>
      <c r="S49" s="518">
        <v>0</v>
      </c>
    </row>
    <row r="50" spans="1:19" x14ac:dyDescent="0.25">
      <c r="A50" s="314" t="s">
        <v>703</v>
      </c>
      <c r="B50" s="1"/>
      <c r="C50" s="474"/>
      <c r="D50" s="474"/>
      <c r="E50" s="474"/>
      <c r="F50" s="474"/>
      <c r="G50" s="28">
        <f>Таблица21[[#This Row],[Моя цена Компл 2]]-Таблица21[[#This Row],[Цена БЗ компл 2]]</f>
        <v>0</v>
      </c>
      <c r="J50" s="301" t="s">
        <v>703</v>
      </c>
      <c r="K50" s="512">
        <v>240</v>
      </c>
      <c r="L50" s="512">
        <v>600</v>
      </c>
      <c r="M50" s="512">
        <v>596</v>
      </c>
      <c r="N50" s="512">
        <v>596</v>
      </c>
      <c r="O50" s="512">
        <v>315</v>
      </c>
      <c r="P50" s="512">
        <v>360</v>
      </c>
      <c r="Q50" s="517">
        <f>Прайс[[#This Row],[KFP-SP-PPGK]]+Прайс[[#This Row],[КФ Сушка AFF 600]]</f>
        <v>7080</v>
      </c>
      <c r="R50" s="517">
        <v>0</v>
      </c>
      <c r="S50" s="517">
        <v>0</v>
      </c>
    </row>
    <row r="51" spans="1:19" x14ac:dyDescent="0.25">
      <c r="A51" s="314" t="s">
        <v>850</v>
      </c>
      <c r="B51" s="1">
        <v>1</v>
      </c>
      <c r="C51" s="468">
        <v>9458.99</v>
      </c>
      <c r="D51" s="474">
        <v>9455.0539999999983</v>
      </c>
      <c r="E51" s="474"/>
      <c r="F51" s="474"/>
      <c r="G51" s="28">
        <f>Таблица21[[#This Row],[Моя цена Компл 2]]-Таблица21[[#This Row],[Цена БЗ компл 2]]</f>
        <v>-3.9360000000015134</v>
      </c>
      <c r="J51" s="301" t="s">
        <v>850</v>
      </c>
      <c r="K51" s="512">
        <v>240</v>
      </c>
      <c r="L51" s="512">
        <v>600</v>
      </c>
      <c r="M51" s="512">
        <v>896</v>
      </c>
      <c r="N51" s="512">
        <v>896</v>
      </c>
      <c r="O51" s="512">
        <v>315</v>
      </c>
      <c r="P51" s="512">
        <v>360</v>
      </c>
      <c r="Q51" s="518">
        <f>Прайс[[#This Row],[KFP-SP-PPGK]]+Прайс[[#This Row],[КФ Сушка AFF 600]]</f>
        <v>7080</v>
      </c>
      <c r="R51" s="518">
        <v>0</v>
      </c>
      <c r="S51" s="518">
        <v>0</v>
      </c>
    </row>
    <row r="52" spans="1:19" x14ac:dyDescent="0.25">
      <c r="A52" s="307" t="s">
        <v>853</v>
      </c>
      <c r="B52" s="1"/>
      <c r="C52" s="474"/>
      <c r="D52" s="474"/>
      <c r="E52" s="474"/>
      <c r="F52" s="474"/>
      <c r="G52" s="28">
        <f>Таблица21[[#This Row],[Моя цена Компл 2]]-Таблица21[[#This Row],[Цена БЗ компл 2]]</f>
        <v>0</v>
      </c>
      <c r="J52" s="500" t="s">
        <v>40</v>
      </c>
      <c r="K52" s="512">
        <v>480</v>
      </c>
      <c r="L52" s="512">
        <v>960</v>
      </c>
      <c r="M52" s="512">
        <v>315</v>
      </c>
      <c r="N52" s="512">
        <v>315</v>
      </c>
      <c r="O52" s="512">
        <v>315</v>
      </c>
      <c r="P52" s="512">
        <v>315</v>
      </c>
      <c r="Q52" s="517">
        <f>Прайс[[#This Row],[ KFPr-SB-StK ]]*2+Прайс[[#This Row],[КФ петли SENS накл.110 гр. с крестообр. Планкой]]*2</f>
        <v>1080</v>
      </c>
      <c r="R52" s="517">
        <f>Прайс[[#This Row],[ KFPr-SB-StK ]]*2+Прайс[[#This Row],[KFP-SB-N110]]*2</f>
        <v>340</v>
      </c>
      <c r="S52" s="517">
        <v>0</v>
      </c>
    </row>
    <row r="53" spans="1:19" x14ac:dyDescent="0.25">
      <c r="A53" s="307" t="s">
        <v>854</v>
      </c>
      <c r="B53" s="1"/>
      <c r="C53" s="474"/>
      <c r="D53" s="474"/>
      <c r="E53" s="474"/>
      <c r="F53" s="474"/>
      <c r="G53" s="28">
        <f>Таблица21[[#This Row],[Моя цена Компл 2]]-Таблица21[[#This Row],[Цена БЗ компл 2]]</f>
        <v>0</v>
      </c>
      <c r="J53" s="500" t="s">
        <v>138</v>
      </c>
      <c r="K53" s="512">
        <v>360</v>
      </c>
      <c r="L53" s="513">
        <v>1250</v>
      </c>
      <c r="M53" s="512">
        <v>150</v>
      </c>
      <c r="N53" s="512">
        <v>600</v>
      </c>
      <c r="O53" s="512">
        <v>250</v>
      </c>
      <c r="P53" s="512">
        <v>560</v>
      </c>
      <c r="Q53" s="518">
        <f>Прайс[[#This Row],[ KFPr-SB-StK ]]*2+Прайс[[#This Row],[КФ петли SENS накл.110 гр. с крестообр. Планкой]]*2</f>
        <v>1000</v>
      </c>
      <c r="R53" s="518">
        <f>Прайс[[#This Row],[ KFPr-SB-StK ]]*2+Прайс[[#This Row],[KFP-SB-N110]]*2</f>
        <v>260</v>
      </c>
      <c r="S53" s="518">
        <v>0</v>
      </c>
    </row>
    <row r="54" spans="1:19" x14ac:dyDescent="0.25">
      <c r="A54" s="307" t="s">
        <v>855</v>
      </c>
      <c r="B54" s="1">
        <v>1</v>
      </c>
      <c r="C54" s="468">
        <v>3690.04</v>
      </c>
      <c r="D54" s="474">
        <v>3690</v>
      </c>
      <c r="E54" s="474"/>
      <c r="F54" s="474"/>
      <c r="G54" s="28">
        <f>Таблица21[[#This Row],[Моя цена Компл 2]]-Таблица21[[#This Row],[Цена БЗ компл 2]]</f>
        <v>-3.999999999996362E-2</v>
      </c>
      <c r="J54" s="500" t="s">
        <v>41</v>
      </c>
      <c r="K54" s="512">
        <v>360</v>
      </c>
      <c r="L54" s="513">
        <v>1250</v>
      </c>
      <c r="M54" s="512">
        <v>400</v>
      </c>
      <c r="N54" s="512">
        <v>900</v>
      </c>
      <c r="O54" s="512">
        <v>250</v>
      </c>
      <c r="P54" s="512">
        <v>560</v>
      </c>
      <c r="Q54" s="517">
        <f>Прайс[[#This Row],[ KFPr-SB-StK ]]*2+Прайс[[#This Row],[КФ петли SENS накл.110 гр. с крестообр. Планкой]]*4</f>
        <v>2000</v>
      </c>
      <c r="R54" s="517">
        <f>Прайс[[#This Row],[ KFPr-SB-StK ]]*2+Прайс[[#This Row],[KFP-SB-N110]]*4</f>
        <v>520</v>
      </c>
      <c r="S54" s="517">
        <v>0</v>
      </c>
    </row>
    <row r="55" spans="1:19" x14ac:dyDescent="0.25">
      <c r="A55" s="307" t="s">
        <v>856</v>
      </c>
      <c r="B55" s="1"/>
      <c r="C55" s="474"/>
      <c r="D55" s="474"/>
      <c r="E55" s="474"/>
      <c r="F55" s="474"/>
      <c r="G55" s="28">
        <f>Таблица21[[#This Row],[Моя цена Компл 2]]-Таблица21[[#This Row],[Цена БЗ компл 2]]</f>
        <v>0</v>
      </c>
      <c r="J55" s="497" t="s">
        <v>42</v>
      </c>
      <c r="K55" s="512">
        <v>720</v>
      </c>
      <c r="L55" s="512">
        <v>720</v>
      </c>
      <c r="M55" s="512">
        <v>400</v>
      </c>
      <c r="N55" s="512">
        <v>900</v>
      </c>
      <c r="O55" s="512">
        <v>300</v>
      </c>
      <c r="P55" s="512">
        <v>400</v>
      </c>
      <c r="Q55" s="518">
        <f>Прайс[[#This Row],[KFP-SB-PPHF_W]]</f>
        <v>13990</v>
      </c>
      <c r="R55" s="518">
        <v>0</v>
      </c>
      <c r="S55" s="518">
        <v>0</v>
      </c>
    </row>
    <row r="56" spans="1:19" x14ac:dyDescent="0.25">
      <c r="A56" s="307" t="s">
        <v>138</v>
      </c>
      <c r="B56" s="1"/>
      <c r="C56" s="474"/>
      <c r="D56" s="474"/>
      <c r="E56" s="474"/>
      <c r="F56" s="474"/>
      <c r="G56" s="28">
        <f>Таблица21[[#This Row],[Моя цена Компл 2]]-Таблица21[[#This Row],[Цена БЗ компл 2]]</f>
        <v>0</v>
      </c>
      <c r="J56" s="500" t="s">
        <v>43</v>
      </c>
      <c r="K56" s="512">
        <v>360</v>
      </c>
      <c r="L56" s="513">
        <v>1250</v>
      </c>
      <c r="M56" s="512">
        <v>595</v>
      </c>
      <c r="N56" s="512">
        <v>1000</v>
      </c>
      <c r="O56" s="512">
        <v>315</v>
      </c>
      <c r="P56" s="512">
        <v>560</v>
      </c>
      <c r="Q56" s="517">
        <f>Прайс[[#This Row],[KFPr-SB-SPL]]+Прайс[[#This Row],[КФ петли вклад. 95 гр. с крестообр. планкой]]*2</f>
        <v>2630</v>
      </c>
      <c r="R56" s="517">
        <f>Прайс[[#This Row],[KFP-SB-PY94]]*2</f>
        <v>960</v>
      </c>
      <c r="S56" s="517">
        <v>0</v>
      </c>
    </row>
    <row r="57" spans="1:19" x14ac:dyDescent="0.25">
      <c r="A57" s="307" t="s">
        <v>41</v>
      </c>
      <c r="B57" s="1"/>
      <c r="C57" s="474"/>
      <c r="D57" s="474"/>
      <c r="E57" s="474"/>
      <c r="F57" s="474"/>
      <c r="G57" s="28">
        <f>Таблица21[[#This Row],[Моя цена Компл 2]]-Таблица21[[#This Row],[Цена БЗ компл 2]]</f>
        <v>0</v>
      </c>
      <c r="J57" s="500" t="s">
        <v>31</v>
      </c>
      <c r="K57" s="512">
        <v>240</v>
      </c>
      <c r="L57" s="512">
        <v>2400</v>
      </c>
      <c r="M57" s="512">
        <v>50</v>
      </c>
      <c r="N57" s="512">
        <v>100</v>
      </c>
      <c r="O57" s="512">
        <v>315</v>
      </c>
      <c r="P57" s="512">
        <v>700</v>
      </c>
      <c r="Q57" s="518">
        <v>0</v>
      </c>
      <c r="R57" s="518">
        <v>0</v>
      </c>
      <c r="S57" s="518">
        <v>0</v>
      </c>
    </row>
    <row r="58" spans="1:19" x14ac:dyDescent="0.25">
      <c r="A58" s="307" t="s">
        <v>42</v>
      </c>
      <c r="B58" s="1"/>
      <c r="C58" s="474"/>
      <c r="D58" s="474"/>
      <c r="E58" s="474"/>
      <c r="F58" s="474"/>
      <c r="G58" s="28">
        <f>Таблица21[[#This Row],[Моя цена Компл 2]]-Таблица21[[#This Row],[Цена БЗ компл 2]]</f>
        <v>0</v>
      </c>
      <c r="J58" s="501" t="s">
        <v>861</v>
      </c>
      <c r="K58" s="512">
        <v>720</v>
      </c>
      <c r="L58" s="512">
        <v>720</v>
      </c>
      <c r="M58" s="512">
        <v>210</v>
      </c>
      <c r="N58" s="512">
        <v>210</v>
      </c>
      <c r="O58" s="512">
        <v>300</v>
      </c>
      <c r="P58" s="512">
        <v>500</v>
      </c>
      <c r="Q58" s="517">
        <f>Прайс[[#This Row],[ KFPr-SB-StK ]]*2+Прайс[[#This Row],[КKFP-SB-GT45]]*2</f>
        <v>3200</v>
      </c>
      <c r="R58" s="517">
        <f>Прайс[[#This Row],[ KFPr-SB-StK ]]*2+Прайс[[#This Row],[KFP-SB-N45]]*2</f>
        <v>460</v>
      </c>
      <c r="S58" s="517">
        <v>0</v>
      </c>
    </row>
    <row r="59" spans="1:19" x14ac:dyDescent="0.25">
      <c r="A59" s="307" t="s">
        <v>43</v>
      </c>
      <c r="B59" s="1"/>
      <c r="C59" s="474"/>
      <c r="D59" s="474"/>
      <c r="E59" s="474"/>
      <c r="F59" s="474"/>
      <c r="G59" s="28">
        <f>Таблица21[[#This Row],[Моя цена Компл 2]]-Таблица21[[#This Row],[Цена БЗ компл 2]]</f>
        <v>0</v>
      </c>
      <c r="J59" s="501" t="s">
        <v>862</v>
      </c>
      <c r="K59" s="512">
        <v>960</v>
      </c>
      <c r="L59" s="512">
        <v>960</v>
      </c>
      <c r="M59" s="512">
        <v>210</v>
      </c>
      <c r="N59" s="512">
        <v>210</v>
      </c>
      <c r="O59" s="512">
        <v>300</v>
      </c>
      <c r="P59" s="512">
        <v>500</v>
      </c>
      <c r="Q59" s="518">
        <f>Прайс[[#This Row],[ KFPr-SB-StK ]]*2+Прайс[[#This Row],[КKFP-SB-GT45]]*2</f>
        <v>3200</v>
      </c>
      <c r="R59" s="518">
        <f>Прайс[[#This Row],[ KFPr-SB-StK ]]*2+Прайс[[#This Row],[KFP-SB-N45]]*2</f>
        <v>460</v>
      </c>
      <c r="S59" s="518">
        <v>0</v>
      </c>
    </row>
    <row r="60" spans="1:19" x14ac:dyDescent="0.25">
      <c r="A60" s="307" t="s">
        <v>31</v>
      </c>
      <c r="B60" s="1"/>
      <c r="C60" s="474"/>
      <c r="D60" s="474"/>
      <c r="E60" s="474"/>
      <c r="F60" s="474"/>
      <c r="G60" s="28">
        <f>Таблица21[[#This Row],[Моя цена Компл 2]]-Таблица21[[#This Row],[Цена БЗ компл 2]]</f>
        <v>0</v>
      </c>
      <c r="J60" s="502" t="s">
        <v>45</v>
      </c>
      <c r="K60" s="514">
        <v>1220</v>
      </c>
      <c r="L60" s="514">
        <v>1500</v>
      </c>
      <c r="M60" s="514">
        <v>150</v>
      </c>
      <c r="N60" s="514">
        <v>600</v>
      </c>
      <c r="O60" s="514">
        <v>300</v>
      </c>
      <c r="P60" s="514">
        <v>640</v>
      </c>
      <c r="Q60" s="517">
        <f>Прайс[[#This Row],[КФ петли SENS накл.110 гр. с крестообр. Планкой]]*3</f>
        <v>1500</v>
      </c>
      <c r="R60" s="517">
        <f>Прайс[[#This Row],[KFP-SB-N110]]*3</f>
        <v>390</v>
      </c>
      <c r="S60" s="517">
        <f>Прайс[[#This Row],[KFP-SB-N110]]*3</f>
        <v>390</v>
      </c>
    </row>
    <row r="61" spans="1:19" ht="28.5" x14ac:dyDescent="0.25">
      <c r="A61" s="315" t="s">
        <v>861</v>
      </c>
      <c r="B61" s="1"/>
      <c r="C61" s="474"/>
      <c r="D61" s="474"/>
      <c r="E61" s="474"/>
      <c r="F61" s="474"/>
      <c r="G61" s="28">
        <f>Таблица21[[#This Row],[Моя цена Компл 2]]-Таблица21[[#This Row],[Цена БЗ компл 2]]</f>
        <v>0</v>
      </c>
      <c r="J61" s="503" t="s">
        <v>46</v>
      </c>
      <c r="K61" s="515">
        <v>1220</v>
      </c>
      <c r="L61" s="515">
        <v>1500</v>
      </c>
      <c r="M61" s="515">
        <v>150</v>
      </c>
      <c r="N61" s="515">
        <v>600</v>
      </c>
      <c r="O61" s="515">
        <v>300</v>
      </c>
      <c r="P61" s="515">
        <v>640</v>
      </c>
      <c r="Q61" s="518">
        <f>Прайс[[#This Row],[КФ KEKU]]*4+Прайс[[#This Row],[КФ петли SENS накл.110 гр. с крестообр. Планкой]]*3</f>
        <v>2660</v>
      </c>
      <c r="R61" s="518">
        <v>0</v>
      </c>
      <c r="S61" s="518">
        <v>0</v>
      </c>
    </row>
    <row r="62" spans="1:19" ht="28.5" x14ac:dyDescent="0.25">
      <c r="A62" s="315" t="s">
        <v>862</v>
      </c>
      <c r="B62" s="1"/>
      <c r="C62" s="474"/>
      <c r="D62" s="474"/>
      <c r="E62" s="474"/>
      <c r="F62" s="474"/>
      <c r="G62" s="28">
        <f>Таблица21[[#This Row],[Моя цена Компл 2]]-Таблица21[[#This Row],[Цена БЗ компл 2]]</f>
        <v>0</v>
      </c>
      <c r="J62" s="502" t="s">
        <v>837</v>
      </c>
      <c r="K62" s="514">
        <v>1187</v>
      </c>
      <c r="L62" s="514">
        <v>1187</v>
      </c>
      <c r="M62" s="514">
        <v>600</v>
      </c>
      <c r="N62" s="514">
        <v>600</v>
      </c>
      <c r="O62" s="514">
        <v>560</v>
      </c>
      <c r="P62" s="514">
        <v>560</v>
      </c>
      <c r="Q62" s="517">
        <f>Прайс[[#This Row],[КФ петли SENS накл.110 гр. с крестообр. Планкой]]*2</f>
        <v>1000</v>
      </c>
      <c r="R62" s="517">
        <f>Прайс[[#This Row],[KFP-SB-N110]]*2</f>
        <v>260</v>
      </c>
      <c r="S62" s="517">
        <f>Прайс[[#This Row],[KFP-SB-N110]]*2</f>
        <v>260</v>
      </c>
    </row>
    <row r="63" spans="1:19" x14ac:dyDescent="0.25">
      <c r="A63" s="307" t="s">
        <v>45</v>
      </c>
      <c r="B63" s="1">
        <v>1</v>
      </c>
      <c r="C63" s="474"/>
      <c r="D63" s="474"/>
      <c r="E63" s="474"/>
      <c r="F63" s="474"/>
      <c r="G63" s="28">
        <f>Таблица21[[#This Row],[Моя цена Компл 2]]-Таблица21[[#This Row],[Цена БЗ компл 2]]</f>
        <v>0</v>
      </c>
      <c r="J63" s="503" t="s">
        <v>838</v>
      </c>
      <c r="K63" s="515">
        <v>1320</v>
      </c>
      <c r="L63" s="515">
        <v>1320</v>
      </c>
      <c r="M63" s="515">
        <v>600</v>
      </c>
      <c r="N63" s="515">
        <v>600</v>
      </c>
      <c r="O63" s="515">
        <v>560</v>
      </c>
      <c r="P63" s="515">
        <v>560</v>
      </c>
      <c r="Q63" s="518">
        <f>Прайс[[#This Row],[КФ петли SENS накл.110 гр. с крестообр. Планкой]]*2</f>
        <v>1000</v>
      </c>
      <c r="R63" s="518">
        <f>Прайс[[#This Row],[KFP-SB-N110]]*2</f>
        <v>260</v>
      </c>
      <c r="S63" s="518">
        <f>Прайс[[#This Row],[KFP-SB-N110]]*2</f>
        <v>260</v>
      </c>
    </row>
    <row r="64" spans="1:19" x14ac:dyDescent="0.25">
      <c r="A64" s="307" t="s">
        <v>46</v>
      </c>
      <c r="B64" s="1">
        <v>1</v>
      </c>
      <c r="C64" s="474"/>
      <c r="D64" s="474"/>
      <c r="E64" s="474"/>
      <c r="F64" s="474"/>
      <c r="G64" s="28">
        <f>Таблица21[[#This Row],[Моя цена Компл 2]]-Таблица21[[#This Row],[Цена БЗ компл 2]]</f>
        <v>0</v>
      </c>
      <c r="J64" s="504" t="s">
        <v>841</v>
      </c>
      <c r="K64" s="514">
        <v>760</v>
      </c>
      <c r="L64" s="514">
        <v>760</v>
      </c>
      <c r="M64" s="514">
        <v>600</v>
      </c>
      <c r="N64" s="514">
        <v>600</v>
      </c>
      <c r="O64" s="514">
        <v>560</v>
      </c>
      <c r="P64" s="514">
        <v>560</v>
      </c>
      <c r="Q64" s="517">
        <f>Прайс[[#This Row],[KFN-SB-DWD95R]]</f>
        <v>5810</v>
      </c>
      <c r="R64" s="517">
        <f>Прайс[[#This Row],[KFN-SB-M15]]+Прайс[[#This Row],[KFN-SB-MD]]</f>
        <v>1110</v>
      </c>
      <c r="S64" s="517">
        <f>Прайс[[#This Row],[Комплект ящика INNOTECH ATIRA полного выдв. с  PUSH TO OPEN , Н70,NL470,цвет серебристый]]</f>
        <v>6440</v>
      </c>
    </row>
    <row r="65" spans="1:19" x14ac:dyDescent="0.25">
      <c r="A65" s="307" t="s">
        <v>837</v>
      </c>
      <c r="B65" s="1">
        <v>1</v>
      </c>
      <c r="C65" s="474"/>
      <c r="D65" s="474"/>
      <c r="E65" s="474"/>
      <c r="F65" s="474"/>
      <c r="G65" s="28">
        <f>Таблица21[[#This Row],[Моя цена Компл 2]]-Таблица21[[#This Row],[Цена БЗ компл 2]]</f>
        <v>0</v>
      </c>
      <c r="J65" s="505" t="s">
        <v>842</v>
      </c>
      <c r="K65" s="515">
        <v>834</v>
      </c>
      <c r="L65" s="515">
        <v>834</v>
      </c>
      <c r="M65" s="515">
        <v>600</v>
      </c>
      <c r="N65" s="515">
        <v>600</v>
      </c>
      <c r="O65" s="515">
        <v>560</v>
      </c>
      <c r="P65" s="515">
        <v>560</v>
      </c>
      <c r="Q65" s="518">
        <f>Прайс[[#This Row],[KFN-SB-DWD95R]]</f>
        <v>5810</v>
      </c>
      <c r="R65" s="518">
        <f>Прайс[[#This Row],[KFN-SB-M15]]+Прайс[[#This Row],[KFN-SB-MD]]</f>
        <v>1110</v>
      </c>
      <c r="S65" s="518">
        <f>Прайс[[#This Row],[Комплект ящика INNOTECH ATIRA полного выдв. с  PUSH TO OPEN , Н70,NL470,цвет серебристый]]</f>
        <v>6440</v>
      </c>
    </row>
    <row r="66" spans="1:19" x14ac:dyDescent="0.25">
      <c r="A66" s="307" t="s">
        <v>838</v>
      </c>
      <c r="B66" s="1">
        <v>1</v>
      </c>
      <c r="C66" s="474"/>
      <c r="D66" s="474"/>
      <c r="E66" s="474"/>
      <c r="F66" s="474"/>
      <c r="G66" s="28">
        <f>Таблица21[[#This Row],[Моя цена Компл 2]]-Таблица21[[#This Row],[Цена БЗ компл 2]]</f>
        <v>0</v>
      </c>
      <c r="J66" s="504" t="s">
        <v>843</v>
      </c>
      <c r="K66" s="514">
        <v>963</v>
      </c>
      <c r="L66" s="514">
        <v>963</v>
      </c>
      <c r="M66" s="514">
        <v>600</v>
      </c>
      <c r="N66" s="514">
        <v>600</v>
      </c>
      <c r="O66" s="514">
        <v>560</v>
      </c>
      <c r="P66" s="514">
        <v>560</v>
      </c>
      <c r="Q66" s="517">
        <f>Прайс[[#This Row],[KFN-SB-DWD95R]]</f>
        <v>5810</v>
      </c>
      <c r="R66" s="517">
        <f>Прайс[[#This Row],[KFN-SB-M15]]+Прайс[[#This Row],[KFN-SB-MD]]</f>
        <v>1110</v>
      </c>
      <c r="S66" s="517">
        <f>Прайс[[#This Row],[Комплект ящика INNOTECH ATIRA полного выдв. с  PUSH TO OPEN , Н70,NL470,цвет серебристый]]</f>
        <v>6440</v>
      </c>
    </row>
    <row r="67" spans="1:19" x14ac:dyDescent="0.25">
      <c r="A67" s="308" t="s">
        <v>841</v>
      </c>
      <c r="B67" s="1">
        <v>1</v>
      </c>
      <c r="C67" s="474"/>
      <c r="D67" s="474"/>
      <c r="E67" s="474"/>
      <c r="F67" s="474"/>
      <c r="G67" s="28">
        <f>Таблица21[[#This Row],[Моя цена Компл 2]]-Таблица21[[#This Row],[Цена БЗ компл 2]]</f>
        <v>0</v>
      </c>
      <c r="J67" s="503" t="s">
        <v>49</v>
      </c>
      <c r="K67" s="515">
        <v>2000</v>
      </c>
      <c r="L67" s="515">
        <v>2280</v>
      </c>
      <c r="M67" s="515">
        <v>150</v>
      </c>
      <c r="N67" s="515">
        <v>600</v>
      </c>
      <c r="O67" s="515">
        <v>300</v>
      </c>
      <c r="P67" s="515">
        <v>640</v>
      </c>
      <c r="Q67" s="518">
        <f>Прайс[[#This Row],[КФ петли SENS накл.110 гр. с крестообр. Планкой]]*5</f>
        <v>2500</v>
      </c>
      <c r="R67" s="518">
        <f>Прайс[[#This Row],[KFP-SB-N110]]*5</f>
        <v>650</v>
      </c>
      <c r="S67" s="518">
        <f>Прайс[[#This Row],[KFP-SB-N110]]*5</f>
        <v>650</v>
      </c>
    </row>
    <row r="68" spans="1:19" ht="28.5" x14ac:dyDescent="0.25">
      <c r="A68" s="308" t="s">
        <v>842</v>
      </c>
      <c r="B68" s="1">
        <v>1</v>
      </c>
      <c r="C68" s="474"/>
      <c r="D68" s="474"/>
      <c r="E68" s="474"/>
      <c r="F68" s="474"/>
      <c r="G68" s="28">
        <f>Таблица21[[#This Row],[Моя цена Компл 2]]-Таблица21[[#This Row],[Цена БЗ компл 2]]</f>
        <v>0</v>
      </c>
      <c r="J68" s="502" t="s">
        <v>139</v>
      </c>
      <c r="K68" s="514">
        <v>2000</v>
      </c>
      <c r="L68" s="514">
        <v>2280</v>
      </c>
      <c r="M68" s="514">
        <v>150</v>
      </c>
      <c r="N68" s="514">
        <v>600</v>
      </c>
      <c r="O68" s="514">
        <v>300</v>
      </c>
      <c r="P68" s="514">
        <v>640</v>
      </c>
      <c r="Q68" s="517">
        <f>Прайс[[#This Row],[КФ KEKU]]*4+Прайс[[#This Row],[КФ петли SENS накл.110 гр. с крестообр. Планкой]]*5</f>
        <v>3660</v>
      </c>
      <c r="R68" s="517">
        <v>0</v>
      </c>
      <c r="S68" s="517">
        <v>0</v>
      </c>
    </row>
    <row r="69" spans="1:19" x14ac:dyDescent="0.25">
      <c r="A69" s="308" t="s">
        <v>843</v>
      </c>
      <c r="B69" s="1">
        <v>1</v>
      </c>
      <c r="C69" s="474"/>
      <c r="D69" s="474"/>
      <c r="E69" s="474"/>
      <c r="F69" s="474"/>
      <c r="G69" s="28">
        <f>Таблица21[[#This Row],[Моя цена Компл 2]]-Таблица21[[#This Row],[Цена БЗ компл 2]]</f>
        <v>0</v>
      </c>
      <c r="J69" s="503" t="s">
        <v>50</v>
      </c>
      <c r="K69" s="515">
        <v>2000</v>
      </c>
      <c r="L69" s="515">
        <v>2280</v>
      </c>
      <c r="M69" s="515">
        <v>600</v>
      </c>
      <c r="N69" s="515">
        <v>600</v>
      </c>
      <c r="O69" s="515">
        <v>560</v>
      </c>
      <c r="P69" s="515">
        <v>560</v>
      </c>
      <c r="Q69" s="518">
        <f>Прайс[[#This Row],[КФ петли SENS накл.110 гр. с крестообр. Планкой]]*5</f>
        <v>2500</v>
      </c>
      <c r="R69" s="518">
        <f>Прайс[[#This Row],[KFP-SB-N110]]*5</f>
        <v>650</v>
      </c>
      <c r="S69" s="518">
        <v>0</v>
      </c>
    </row>
    <row r="70" spans="1:19" x14ac:dyDescent="0.25">
      <c r="A70" s="307" t="s">
        <v>49</v>
      </c>
      <c r="B70" s="1">
        <v>1</v>
      </c>
      <c r="C70" s="474"/>
      <c r="D70" s="474"/>
      <c r="E70" s="474"/>
      <c r="F70" s="474"/>
      <c r="G70" s="28">
        <f>Таблица21[[#This Row],[Моя цена Компл 2]]-Таблица21[[#This Row],[Цена БЗ компл 2]]</f>
        <v>0</v>
      </c>
      <c r="J70" s="502" t="s">
        <v>51</v>
      </c>
      <c r="K70" s="514">
        <v>2000</v>
      </c>
      <c r="L70" s="514">
        <v>2280</v>
      </c>
      <c r="M70" s="514">
        <v>600</v>
      </c>
      <c r="N70" s="514">
        <v>600</v>
      </c>
      <c r="O70" s="514">
        <v>560</v>
      </c>
      <c r="P70" s="514">
        <v>560</v>
      </c>
      <c r="Q70" s="517">
        <f>Прайс[[#This Row],[КФ KEKU]]*4+Прайс[[#This Row],[КФ петли SENS накл.110 гр. с крестообр. Планкой]]*5</f>
        <v>3660</v>
      </c>
      <c r="R70" s="517">
        <v>0</v>
      </c>
      <c r="S70" s="517">
        <v>0</v>
      </c>
    </row>
    <row r="71" spans="1:19" ht="28.5" x14ac:dyDescent="0.25">
      <c r="A71" s="307" t="s">
        <v>139</v>
      </c>
      <c r="B71" s="1">
        <v>1</v>
      </c>
      <c r="C71" s="479">
        <v>14187.9</v>
      </c>
      <c r="D71" s="474">
        <v>14188.247359999999</v>
      </c>
      <c r="E71" s="474"/>
      <c r="F71" s="474"/>
      <c r="G71" s="28">
        <f>Таблица21[[#This Row],[Моя цена Компл 2]]-Таблица21[[#This Row],[Цена БЗ компл 2]]</f>
        <v>0.3473599999997532</v>
      </c>
      <c r="J71" s="506" t="s">
        <v>52</v>
      </c>
      <c r="K71" s="515">
        <v>2000</v>
      </c>
      <c r="L71" s="515">
        <v>2280</v>
      </c>
      <c r="M71" s="515">
        <v>300</v>
      </c>
      <c r="N71" s="515">
        <v>600</v>
      </c>
      <c r="O71" s="515">
        <v>560</v>
      </c>
      <c r="P71" s="515">
        <v>560</v>
      </c>
      <c r="Q71" s="518">
        <f>Прайс[[#This Row],[KFN-SB-DWD95]]*2+Прайс[[#This Row],[KFN-SB-DWD95R]]+Прайс[[#This Row],[КФ петли SENS накл.110 гр. с крестообр. Планкой]]*3</f>
        <v>16810</v>
      </c>
      <c r="R71" s="518">
        <f>Прайс[[#This Row],[KFN-SB-M86]]*2+Прайс[[#This Row],[KFN-SB-M15]]+Прайс[[#This Row],[KFN-SB-MD]]*3+Прайс[[#This Row],[KFP-SB-N110]]*3</f>
        <v>2580</v>
      </c>
      <c r="S71" s="51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19" x14ac:dyDescent="0.25">
      <c r="A72" s="307" t="s">
        <v>50</v>
      </c>
      <c r="B72" s="1">
        <v>1</v>
      </c>
      <c r="C72" s="474"/>
      <c r="D72" s="474"/>
      <c r="E72" s="474"/>
      <c r="F72" s="474"/>
      <c r="G72" s="28">
        <f>Таблица21[[#This Row],[Моя цена Компл 2]]-Таблица21[[#This Row],[Цена БЗ компл 2]]</f>
        <v>0</v>
      </c>
      <c r="J72" s="502" t="s">
        <v>53</v>
      </c>
      <c r="K72" s="514">
        <v>2000</v>
      </c>
      <c r="L72" s="514">
        <v>2280</v>
      </c>
      <c r="M72" s="514">
        <v>300</v>
      </c>
      <c r="N72" s="514">
        <v>600</v>
      </c>
      <c r="O72" s="514">
        <v>560</v>
      </c>
      <c r="P72" s="514">
        <v>560</v>
      </c>
      <c r="Q72" s="517">
        <f>Прайс[[#This Row],[KFN-SB-DWD95R]]*2+Прайс[[#This Row],[КФ петли SENS накл.110 гр. с крестообр. Планкой]]*3</f>
        <v>13120</v>
      </c>
      <c r="R72" s="517">
        <f>Прайс[[#This Row],[KFN-SB-M15]]*2+Прайс[[#This Row],[KFN-SB-MD]]*3+Прайс[[#This Row],[KFP-SB-N110]]*3</f>
        <v>2780</v>
      </c>
      <c r="S72" s="517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19" x14ac:dyDescent="0.25">
      <c r="A73" s="307" t="s">
        <v>51</v>
      </c>
      <c r="B73" s="1">
        <v>1</v>
      </c>
      <c r="C73" s="474"/>
      <c r="D73" s="474"/>
      <c r="E73" s="474"/>
      <c r="F73" s="474"/>
      <c r="G73" s="28">
        <f>Таблица21[[#This Row],[Моя цена Компл 2]]-Таблица21[[#This Row],[Цена БЗ компл 2]]</f>
        <v>0</v>
      </c>
      <c r="J73" s="503" t="s">
        <v>725</v>
      </c>
      <c r="K73" s="515">
        <v>2000</v>
      </c>
      <c r="L73" s="515">
        <v>2280</v>
      </c>
      <c r="M73" s="515">
        <v>600</v>
      </c>
      <c r="N73" s="515">
        <v>600</v>
      </c>
      <c r="O73" s="515">
        <v>560</v>
      </c>
      <c r="P73" s="515">
        <v>560</v>
      </c>
      <c r="Q73" s="518">
        <f>Прайс[[#This Row],[КФ петли SENS накл.110 гр. с крестообр. Планкой]]*4</f>
        <v>2000</v>
      </c>
      <c r="R73" s="518">
        <f>Прайс[[#This Row],[KFP-SB-N110]]*4</f>
        <v>520</v>
      </c>
      <c r="S73" s="518">
        <f>Прайс[[#This Row],[KFP-SB-N110]]*4</f>
        <v>520</v>
      </c>
    </row>
    <row r="74" spans="1:19" x14ac:dyDescent="0.25">
      <c r="A74" s="306" t="s">
        <v>52</v>
      </c>
      <c r="B74" s="1">
        <v>1</v>
      </c>
      <c r="C74" s="330">
        <v>28066.13</v>
      </c>
      <c r="D74" s="474">
        <v>28065.723679999999</v>
      </c>
      <c r="E74" s="474"/>
      <c r="F74" s="474"/>
      <c r="G74" s="28">
        <f>Таблица21[[#This Row],[Моя цена Компл 2]]-Таблица21[[#This Row],[Цена БЗ компл 2]]</f>
        <v>-0.40632000000186963</v>
      </c>
      <c r="J74" s="502" t="s">
        <v>726</v>
      </c>
      <c r="K74" s="514">
        <v>2000</v>
      </c>
      <c r="L74" s="514">
        <v>2280</v>
      </c>
      <c r="M74" s="514">
        <v>600</v>
      </c>
      <c r="N74" s="514">
        <v>600</v>
      </c>
      <c r="O74" s="514">
        <v>560</v>
      </c>
      <c r="P74" s="514">
        <v>560</v>
      </c>
      <c r="Q74" s="517">
        <f>Прайс[[#This Row],[КФ петли SENS накл.110 гр. с крестообр. Планкой]]*4</f>
        <v>2000</v>
      </c>
      <c r="R74" s="517">
        <f>Прайс[[#This Row],[KFP-SB-N110]]*4</f>
        <v>520</v>
      </c>
      <c r="S74" s="517">
        <f>Прайс[[#This Row],[KFP-SB-N110]]*4</f>
        <v>520</v>
      </c>
    </row>
    <row r="75" spans="1:19" x14ac:dyDescent="0.25">
      <c r="A75" s="307" t="s">
        <v>53</v>
      </c>
      <c r="B75" s="1">
        <v>1</v>
      </c>
      <c r="C75" s="330">
        <v>23826.12</v>
      </c>
      <c r="D75" s="474">
        <v>23825.723679999999</v>
      </c>
      <c r="E75" s="474"/>
      <c r="F75" s="474"/>
      <c r="G75" s="28">
        <f>Таблица21[[#This Row],[Моя цена Компл 2]]-Таблица21[[#This Row],[Цена БЗ компл 2]]</f>
        <v>-0.39631999999983236</v>
      </c>
      <c r="J75" s="507" t="s">
        <v>729</v>
      </c>
      <c r="K75" s="515">
        <v>2000</v>
      </c>
      <c r="L75" s="515">
        <v>2280</v>
      </c>
      <c r="M75" s="515">
        <v>600</v>
      </c>
      <c r="N75" s="515">
        <v>600</v>
      </c>
      <c r="O75" s="515">
        <v>560</v>
      </c>
      <c r="P75" s="515">
        <v>560</v>
      </c>
      <c r="Q75" s="518">
        <f>Прайс[[#This Row],[КФ KEKU]]*4+Прайс[[#This Row],[КФ петли SENS накл.110 гр. с крестообр. Планкой]]*4</f>
        <v>3160</v>
      </c>
      <c r="R75" s="518">
        <v>0</v>
      </c>
      <c r="S75" s="518">
        <v>0</v>
      </c>
    </row>
    <row r="76" spans="1:19" x14ac:dyDescent="0.25">
      <c r="A76" s="307" t="s">
        <v>725</v>
      </c>
      <c r="B76" s="1">
        <v>1</v>
      </c>
      <c r="C76" s="333">
        <v>11331.1</v>
      </c>
      <c r="D76" s="474">
        <v>11331.423999999999</v>
      </c>
      <c r="E76" s="474"/>
      <c r="F76" s="474"/>
      <c r="G76" s="28">
        <f>Таблица21[[#This Row],[Моя цена Компл 2]]-Таблица21[[#This Row],[Цена БЗ компл 2]]</f>
        <v>0.32399999999870488</v>
      </c>
      <c r="J76" s="507" t="s">
        <v>730</v>
      </c>
      <c r="K76" s="514">
        <v>2000</v>
      </c>
      <c r="L76" s="514">
        <v>2280</v>
      </c>
      <c r="M76" s="514">
        <v>600</v>
      </c>
      <c r="N76" s="514">
        <v>600</v>
      </c>
      <c r="O76" s="514">
        <v>560</v>
      </c>
      <c r="P76" s="514">
        <v>560</v>
      </c>
      <c r="Q76" s="517">
        <f>Прайс[[#This Row],[КФ KEKU]]*4+Прайс[[#This Row],[КФ петли SENS накл.110 гр. с крестообр. Планкой]]*4</f>
        <v>3160</v>
      </c>
      <c r="R76" s="517">
        <v>0</v>
      </c>
      <c r="S76" s="517">
        <v>0</v>
      </c>
    </row>
    <row r="77" spans="1:19" ht="28.5" x14ac:dyDescent="0.25">
      <c r="A77" s="307" t="s">
        <v>726</v>
      </c>
      <c r="B77" s="1"/>
      <c r="C77" s="474"/>
      <c r="D77" s="474"/>
      <c r="E77" s="474"/>
      <c r="F77" s="474"/>
      <c r="G77" s="28">
        <f>Таблица21[[#This Row],[Моя цена Компл 2]]-Таблица21[[#This Row],[Цена БЗ компл 2]]</f>
        <v>0</v>
      </c>
      <c r="J77" s="507" t="s">
        <v>733</v>
      </c>
      <c r="K77" s="515">
        <v>2000</v>
      </c>
      <c r="L77" s="515">
        <v>2280</v>
      </c>
      <c r="M77" s="515">
        <v>600</v>
      </c>
      <c r="N77" s="515">
        <v>600</v>
      </c>
      <c r="O77" s="515">
        <v>560</v>
      </c>
      <c r="P77" s="515">
        <v>560</v>
      </c>
      <c r="Q77" s="518">
        <f>Прайс[[#This Row],[КФ ящика Matrix (H=175 мм)_450_GR]]*2+Прайс[[#This Row],[КФ петли SENS накл.110 гр. с крестообр. Планкой]]*2</f>
        <v>11080</v>
      </c>
      <c r="R77" s="518">
        <f>Прайс[[#This Row],[KFN-SB-M15]]*2+Прайс[[#This Row],[KFN-SB-MD]]*2+Прайс[[#This Row],[KFP-SB-N110]]*2</f>
        <v>2480</v>
      </c>
      <c r="S77" s="518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19" ht="28.5" x14ac:dyDescent="0.25">
      <c r="A78" s="307" t="s">
        <v>729</v>
      </c>
      <c r="B78" s="1">
        <v>1</v>
      </c>
      <c r="C78" s="330">
        <v>15476.15</v>
      </c>
      <c r="D78" s="474">
        <v>15476.184000000001</v>
      </c>
      <c r="E78" s="474"/>
      <c r="F78" s="474"/>
      <c r="G78" s="28">
        <f>Таблица21[[#This Row],[Моя цена Компл 2]]-Таблица21[[#This Row],[Цена БЗ компл 2]]</f>
        <v>3.4000000001469743E-2</v>
      </c>
      <c r="J78" s="507" t="s">
        <v>734</v>
      </c>
      <c r="K78" s="514">
        <v>2000</v>
      </c>
      <c r="L78" s="514">
        <v>2280</v>
      </c>
      <c r="M78" s="514">
        <v>600</v>
      </c>
      <c r="N78" s="514">
        <v>600</v>
      </c>
      <c r="O78" s="514">
        <v>560</v>
      </c>
      <c r="P78" s="514">
        <v>560</v>
      </c>
      <c r="Q78" s="517">
        <f>Прайс[[#This Row],[КФ ящика Matrix (H=175 мм)_450_GR]]*2+Прайс[[#This Row],[КФ петли SENS накл.110 гр. с крестообр. Планкой]]*2</f>
        <v>11080</v>
      </c>
      <c r="R78" s="517">
        <f>Прайс[[#This Row],[KFN-SB-M15]]*2+Прайс[[#This Row],[KFN-SB-MD]]*2+Прайс[[#This Row],[KFP-SB-N110]]*2</f>
        <v>2480</v>
      </c>
      <c r="S78" s="517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19" ht="28.5" x14ac:dyDescent="0.25">
      <c r="A79" s="307" t="s">
        <v>730</v>
      </c>
      <c r="B79" s="1"/>
      <c r="C79" s="474"/>
      <c r="D79" s="474"/>
      <c r="E79" s="474"/>
      <c r="F79" s="474"/>
      <c r="G79" s="28">
        <f>Таблица21[[#This Row],[Моя цена Компл 2]]-Таблица21[[#This Row],[Цена БЗ компл 2]]</f>
        <v>0</v>
      </c>
      <c r="J79" s="507" t="s">
        <v>735</v>
      </c>
      <c r="K79" s="515">
        <v>2000</v>
      </c>
      <c r="L79" s="515">
        <v>2280</v>
      </c>
      <c r="M79" s="515">
        <v>600</v>
      </c>
      <c r="N79" s="515">
        <v>600</v>
      </c>
      <c r="O79" s="515">
        <v>560</v>
      </c>
      <c r="P79" s="515">
        <v>560</v>
      </c>
      <c r="Q79" s="518">
        <f>Прайс[[#This Row],[КФ ящика Matrix (H=175 мм)_450_GR]]*2+Прайс[[#This Row],[КФ петли SENS накл.110 гр. с крестообр. Планкой]]*2</f>
        <v>11080</v>
      </c>
      <c r="R79" s="518">
        <f>Прайс[[#This Row],[KFN-SB-M15]]*2+Прайс[[#This Row],[KFN-SB-MD]]*2+Прайс[[#This Row],[KFP-SB-N110]]*2</f>
        <v>2480</v>
      </c>
      <c r="S79" s="518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19" ht="28.5" x14ac:dyDescent="0.25">
      <c r="A80" s="307" t="s">
        <v>733</v>
      </c>
      <c r="B80" s="1"/>
      <c r="C80" s="474"/>
      <c r="D80" s="474"/>
      <c r="E80" s="474"/>
      <c r="F80" s="474"/>
      <c r="G80" s="28">
        <f>Таблица21[[#This Row],[Моя цена Компл 2]]-Таблица21[[#This Row],[Цена БЗ компл 2]]</f>
        <v>0</v>
      </c>
      <c r="J80" s="507" t="s">
        <v>57</v>
      </c>
      <c r="K80" s="514">
        <v>2000</v>
      </c>
      <c r="L80" s="514">
        <v>2280</v>
      </c>
      <c r="M80" s="514">
        <v>600</v>
      </c>
      <c r="N80" s="514">
        <v>600</v>
      </c>
      <c r="O80" s="514">
        <v>560</v>
      </c>
      <c r="P80" s="514">
        <v>560</v>
      </c>
      <c r="Q80" s="517">
        <f>Прайс[[#This Row],[KFP-SP-PPGK]]+Прайс[[#This Row],[КФ петли SENS накл.110 гр. с крестообр. Планкой]]*2</f>
        <v>7080</v>
      </c>
      <c r="R80" s="517">
        <f>Прайс[[#This Row],[KFP-SP-PPA]]+Прайс[[#This Row],[KFP-SB-N110]]*4</f>
        <v>2810</v>
      </c>
      <c r="S80" s="517">
        <v>0</v>
      </c>
    </row>
    <row r="81" spans="1:19" ht="28.5" x14ac:dyDescent="0.25">
      <c r="A81" s="307" t="s">
        <v>734</v>
      </c>
      <c r="B81" s="1">
        <v>1</v>
      </c>
      <c r="C81" s="474"/>
      <c r="D81" s="474"/>
      <c r="E81" s="474"/>
      <c r="F81" s="474"/>
      <c r="G81" s="28">
        <f>Таблица21[[#This Row],[Моя цена Компл 2]]-Таблица21[[#This Row],[Цена БЗ компл 2]]</f>
        <v>0</v>
      </c>
      <c r="J81" s="503" t="s">
        <v>58</v>
      </c>
      <c r="K81" s="515">
        <v>2000</v>
      </c>
      <c r="L81" s="515">
        <v>2280</v>
      </c>
      <c r="M81" s="515">
        <v>600</v>
      </c>
      <c r="N81" s="515">
        <v>600</v>
      </c>
      <c r="O81" s="515">
        <v>560</v>
      </c>
      <c r="P81" s="515">
        <v>560</v>
      </c>
      <c r="Q81" s="518">
        <f>Прайс[[#This Row],[КФ петли SENS накл.110 гр. с крестообр. Планкой]]*2+Прайс[[#This Row],[KFN-SB-DWD95R]]</f>
        <v>6810</v>
      </c>
      <c r="R81" s="518">
        <f>Прайс[[#This Row],[KFP-SB-N110]]*2+Прайс[[#This Row],[KFN-SB-M15]]+Прайс[[#This Row],[KFN-SB-MD]]</f>
        <v>1370</v>
      </c>
      <c r="S81" s="518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19" ht="28.5" x14ac:dyDescent="0.25">
      <c r="A82" s="307" t="s">
        <v>735</v>
      </c>
      <c r="B82" s="1">
        <v>1</v>
      </c>
      <c r="C82" s="474"/>
      <c r="D82" s="474"/>
      <c r="E82" s="474"/>
      <c r="F82" s="474"/>
      <c r="G82" s="28">
        <f>Таблица21[[#This Row],[Моя цена Компл 2]]-Таблица21[[#This Row],[Цена БЗ компл 2]]</f>
        <v>0</v>
      </c>
      <c r="J82" s="502" t="s">
        <v>59</v>
      </c>
      <c r="K82" s="514">
        <v>2000</v>
      </c>
      <c r="L82" s="514">
        <v>2280</v>
      </c>
      <c r="M82" s="514">
        <v>600</v>
      </c>
      <c r="N82" s="514">
        <v>600</v>
      </c>
      <c r="O82" s="514">
        <v>560</v>
      </c>
      <c r="P82" s="514">
        <v>560</v>
      </c>
      <c r="Q82" s="517">
        <f>Прайс[[#This Row],[КФ петли SENS накл.110 гр. с крестообр. Планкой]]*2+Прайс[[#This Row],[KFN-SB-DWD95R]]+Прайс[[#This Row],[КФ KEKU]]*4</f>
        <v>7970</v>
      </c>
      <c r="R82" s="517">
        <v>0</v>
      </c>
      <c r="S82" s="517">
        <v>0</v>
      </c>
    </row>
    <row r="83" spans="1:19" x14ac:dyDescent="0.25">
      <c r="A83" s="307" t="s">
        <v>57</v>
      </c>
      <c r="B83" s="1">
        <v>1</v>
      </c>
      <c r="C83" s="474"/>
      <c r="D83" s="474"/>
      <c r="E83" s="474"/>
      <c r="F83" s="474"/>
      <c r="G83" s="28">
        <f>Таблица21[[#This Row],[Моя цена Компл 2]]-Таблица21[[#This Row],[Цена БЗ компл 2]]</f>
        <v>0</v>
      </c>
      <c r="J83" s="316" t="s">
        <v>60</v>
      </c>
      <c r="K83" s="516">
        <v>2280</v>
      </c>
      <c r="L83" s="516">
        <v>2280</v>
      </c>
      <c r="M83" s="516">
        <v>600</v>
      </c>
      <c r="N83" s="516">
        <v>600</v>
      </c>
      <c r="O83" s="516">
        <v>560</v>
      </c>
      <c r="P83" s="516">
        <v>560</v>
      </c>
      <c r="Q83" s="520">
        <f>Прайс[[#This Row],[KFP-SP-PPGK]]+Прайс[[#This Row],[КФ петли SENS накл.110 гр. с крестообр. Планкой]]*5</f>
        <v>8580</v>
      </c>
      <c r="R83" s="520">
        <f>Прайс[[#This Row],[KFP-SP-PPA]]+Прайс[[#This Row],[KFP-SB-N110]]*7</f>
        <v>3200</v>
      </c>
      <c r="S83" s="520">
        <v>0</v>
      </c>
    </row>
    <row r="84" spans="1:19" x14ac:dyDescent="0.25">
      <c r="A84" s="307" t="s">
        <v>58</v>
      </c>
      <c r="B84" s="1">
        <v>1</v>
      </c>
      <c r="C84" s="474"/>
      <c r="D84" s="474"/>
      <c r="E84" s="474"/>
      <c r="F84" s="474"/>
      <c r="G84" s="28">
        <f>Таблица21[[#This Row],[Моя цена Компл 2]]-Таблица21[[#This Row],[Цена БЗ компл 2]]</f>
        <v>0</v>
      </c>
    </row>
    <row r="85" spans="1:19" x14ac:dyDescent="0.25">
      <c r="A85" s="307" t="s">
        <v>59</v>
      </c>
      <c r="B85" s="1">
        <v>1</v>
      </c>
      <c r="C85" s="474"/>
      <c r="D85" s="474"/>
      <c r="E85" s="474"/>
      <c r="F85" s="474"/>
      <c r="G85" s="28">
        <f>Таблица21[[#This Row],[Моя цена Компл 2]]-Таблица21[[#This Row],[Цена БЗ компл 2]]</f>
        <v>0</v>
      </c>
    </row>
    <row r="86" spans="1:19" x14ac:dyDescent="0.25">
      <c r="A86" s="316" t="s">
        <v>60</v>
      </c>
      <c r="B86" s="1">
        <v>1</v>
      </c>
      <c r="C86" s="474"/>
      <c r="D86" s="474"/>
      <c r="E86" s="474"/>
      <c r="F86" s="474"/>
      <c r="G86" s="28">
        <f>Таблица21[[#This Row],[Моя цена Компл 2]]-Таблица21[[#This Row],[Цена БЗ компл 2]]</f>
        <v>0</v>
      </c>
    </row>
    <row r="87" spans="1:19" x14ac:dyDescent="0.25">
      <c r="A87" s="317" t="s">
        <v>873</v>
      </c>
      <c r="B87" s="1">
        <f>SUBTOTAL(109,Таблица21[Тест])</f>
        <v>61</v>
      </c>
      <c r="C87" s="475"/>
      <c r="D87" s="475"/>
      <c r="E87" s="475"/>
      <c r="F87" s="475"/>
      <c r="G87" s="476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B0345-9F0C-4A01-B2DC-642A72A1AFDE}">
  <sheetPr codeName="Лист7"/>
  <dimension ref="A1:BN81"/>
  <sheetViews>
    <sheetView zoomScale="115" zoomScaleNormal="115" workbookViewId="0">
      <pane xSplit="1" topLeftCell="B1" activePane="topRight" state="frozen"/>
      <selection pane="topRight" activeCell="D13" sqref="D13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customWidth="1"/>
    <col min="14" max="14" width="22.85546875" hidden="1" customWidth="1"/>
    <col min="15" max="15" width="18.140625" hidden="1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4" max="44" width="13.140625" customWidth="1"/>
    <col min="45" max="45" width="23.85546875" bestFit="1" customWidth="1"/>
    <col min="46" max="46" width="16.7109375" bestFit="1" customWidth="1"/>
    <col min="47" max="47" width="14.28515625" bestFit="1" customWidth="1"/>
    <col min="48" max="48" width="15.85546875" bestFit="1" customWidth="1"/>
    <col min="49" max="49" width="16.7109375" bestFit="1" customWidth="1"/>
    <col min="50" max="50" width="17.28515625" bestFit="1" customWidth="1"/>
    <col min="51" max="51" width="26.28515625" customWidth="1"/>
    <col min="52" max="52" width="26.5703125" customWidth="1"/>
    <col min="53" max="53" width="9.42578125" customWidth="1"/>
    <col min="54" max="54" width="12.85546875" customWidth="1"/>
    <col min="56" max="56" width="35.5703125" bestFit="1" customWidth="1"/>
    <col min="57" max="57" width="15.42578125" customWidth="1"/>
    <col min="58" max="58" width="14.85546875" bestFit="1" customWidth="1"/>
    <col min="59" max="59" width="15.5703125" bestFit="1" customWidth="1"/>
    <col min="60" max="60" width="16.140625" bestFit="1" customWidth="1"/>
    <col min="61" max="61" width="15.28515625" bestFit="1" customWidth="1"/>
    <col min="62" max="62" width="15.7109375" bestFit="1" customWidth="1"/>
    <col min="63" max="63" width="63.140625" bestFit="1" customWidth="1"/>
    <col min="64" max="64" width="13.5703125" customWidth="1"/>
    <col min="66" max="66" width="13.42578125" bestFit="1" customWidth="1"/>
  </cols>
  <sheetData>
    <row r="1" spans="1:66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739</v>
      </c>
      <c r="G1" s="1" t="s">
        <v>707</v>
      </c>
      <c r="H1" s="1" t="s">
        <v>740</v>
      </c>
      <c r="I1" s="1" t="s">
        <v>736</v>
      </c>
      <c r="J1" s="1" t="s">
        <v>743</v>
      </c>
      <c r="K1" s="1" t="s">
        <v>744</v>
      </c>
      <c r="L1" s="1" t="s">
        <v>746</v>
      </c>
      <c r="M1" s="1" t="s">
        <v>747</v>
      </c>
      <c r="N1" s="1" t="s">
        <v>705</v>
      </c>
      <c r="O1" s="1" t="s">
        <v>753</v>
      </c>
      <c r="P1" s="1" t="s">
        <v>156</v>
      </c>
      <c r="Q1" s="1" t="s">
        <v>803</v>
      </c>
      <c r="R1" s="1" t="s">
        <v>183</v>
      </c>
      <c r="S1" s="1" t="s">
        <v>795</v>
      </c>
      <c r="T1" s="1" t="s">
        <v>208</v>
      </c>
      <c r="U1" s="1" t="s">
        <v>179</v>
      </c>
      <c r="V1" s="1" t="s">
        <v>805</v>
      </c>
      <c r="W1" s="1" t="s">
        <v>1046</v>
      </c>
      <c r="X1" s="2" t="s">
        <v>1095</v>
      </c>
      <c r="Y1" s="1" t="s">
        <v>1096</v>
      </c>
      <c r="Z1" s="1" t="s">
        <v>1100</v>
      </c>
      <c r="AA1" s="1" t="s">
        <v>1103</v>
      </c>
      <c r="AB1" s="1" t="s">
        <v>1045</v>
      </c>
      <c r="AI1" s="1" t="s">
        <v>757</v>
      </c>
      <c r="AJ1" s="1" t="s">
        <v>790</v>
      </c>
      <c r="AK1" s="1" t="s">
        <v>791</v>
      </c>
      <c r="AL1" s="1" t="s">
        <v>172</v>
      </c>
      <c r="AM1" s="1" t="s">
        <v>173</v>
      </c>
      <c r="AN1" s="1" t="s">
        <v>181</v>
      </c>
      <c r="AO1" s="1" t="s">
        <v>792</v>
      </c>
      <c r="AP1" s="1" t="s">
        <v>1291</v>
      </c>
      <c r="AR1" s="404" t="s">
        <v>183</v>
      </c>
      <c r="AS1" s="404" t="s">
        <v>795</v>
      </c>
      <c r="AT1" s="404" t="s">
        <v>208</v>
      </c>
      <c r="AU1" s="404" t="s">
        <v>179</v>
      </c>
      <c r="AV1" s="404" t="s">
        <v>1105</v>
      </c>
      <c r="AW1" s="404" t="s">
        <v>1106</v>
      </c>
      <c r="AX1" s="404" t="s">
        <v>1104</v>
      </c>
      <c r="AY1" s="404" t="s">
        <v>1096</v>
      </c>
      <c r="AZ1" s="404" t="s">
        <v>1100</v>
      </c>
      <c r="BA1" s="404" t="s">
        <v>181</v>
      </c>
      <c r="BB1" s="404" t="s">
        <v>792</v>
      </c>
      <c r="BD1" s="427" t="s">
        <v>1111</v>
      </c>
      <c r="BE1" s="428" t="s">
        <v>5</v>
      </c>
      <c r="BF1" s="427" t="s">
        <v>170</v>
      </c>
      <c r="BG1" s="427" t="s">
        <v>183</v>
      </c>
      <c r="BH1" s="429" t="s">
        <v>876</v>
      </c>
      <c r="BI1" s="429" t="s">
        <v>820</v>
      </c>
      <c r="BK1" t="s">
        <v>494</v>
      </c>
      <c r="BL1" t="s">
        <v>876</v>
      </c>
      <c r="BM1" t="s">
        <v>820</v>
      </c>
      <c r="BN1" t="s">
        <v>183</v>
      </c>
    </row>
    <row r="2" spans="1:66" x14ac:dyDescent="0.25">
      <c r="A2" s="1" t="s">
        <v>3</v>
      </c>
      <c r="B2" s="1">
        <v>960</v>
      </c>
      <c r="C2" s="1">
        <v>600</v>
      </c>
      <c r="D2" s="1">
        <v>560</v>
      </c>
      <c r="E2" s="1">
        <v>1</v>
      </c>
      <c r="F2" s="1">
        <v>4011.38</v>
      </c>
      <c r="G2" s="1">
        <v>0</v>
      </c>
      <c r="H2" s="1">
        <v>1</v>
      </c>
      <c r="I2" s="1">
        <v>0.30334499999999998</v>
      </c>
      <c r="J2" s="1">
        <v>0</v>
      </c>
      <c r="K2" s="1">
        <v>567.86183999999992</v>
      </c>
      <c r="L2" s="1"/>
      <c r="M2" s="1">
        <v>2931.38</v>
      </c>
      <c r="N2" s="1">
        <v>300</v>
      </c>
      <c r="O2" s="1" t="s">
        <v>754</v>
      </c>
      <c r="P2" s="1" t="s">
        <v>358</v>
      </c>
      <c r="Q2" s="1"/>
      <c r="R2" s="1"/>
      <c r="S2" s="1"/>
      <c r="T2" s="1"/>
      <c r="U2" s="1"/>
      <c r="V2" s="1" t="s">
        <v>1184</v>
      </c>
      <c r="W2" s="1">
        <v>1080</v>
      </c>
      <c r="X2" s="1">
        <v>0</v>
      </c>
      <c r="Y2" s="1" t="s">
        <v>1099</v>
      </c>
      <c r="Z2" s="1">
        <v>0</v>
      </c>
      <c r="AA2" s="1" t="s">
        <v>1185</v>
      </c>
      <c r="AB2" s="1">
        <v>4579.2418399999997</v>
      </c>
      <c r="AI2" s="1" t="s">
        <v>770</v>
      </c>
      <c r="AJ2" s="1" t="s">
        <v>758</v>
      </c>
      <c r="AK2" s="1">
        <v>38</v>
      </c>
      <c r="AL2" s="1">
        <v>3000</v>
      </c>
      <c r="AM2" s="1">
        <v>600</v>
      </c>
      <c r="AN2" s="1">
        <v>1</v>
      </c>
      <c r="AO2" s="1">
        <v>6020</v>
      </c>
      <c r="AP2" s="1" t="s">
        <v>1292</v>
      </c>
      <c r="AR2" s="1" t="s">
        <v>184</v>
      </c>
      <c r="AS2" s="1" t="s">
        <v>353</v>
      </c>
      <c r="AT2" s="1" t="s">
        <v>213</v>
      </c>
      <c r="AU2" s="1" t="s">
        <v>198</v>
      </c>
      <c r="AV2" s="1">
        <v>1000</v>
      </c>
      <c r="AW2" s="1">
        <v>1000</v>
      </c>
      <c r="AX2" s="1">
        <v>1</v>
      </c>
      <c r="AY2" s="1" t="s">
        <v>1099</v>
      </c>
      <c r="AZ2" s="1">
        <v>0</v>
      </c>
      <c r="BA2" s="1">
        <v>1</v>
      </c>
      <c r="BB2" s="1">
        <v>7620</v>
      </c>
      <c r="BD2" s="429" t="s">
        <v>1131</v>
      </c>
      <c r="BE2" s="429" t="s">
        <v>1118</v>
      </c>
      <c r="BF2" s="429" t="s">
        <v>1050</v>
      </c>
      <c r="BG2" s="429" t="s">
        <v>1181</v>
      </c>
      <c r="BH2" s="429">
        <v>1</v>
      </c>
      <c r="BI2" s="429">
        <v>257</v>
      </c>
      <c r="BK2" t="s">
        <v>1287</v>
      </c>
      <c r="BL2">
        <v>1</v>
      </c>
      <c r="BM2">
        <v>5720</v>
      </c>
    </row>
    <row r="3" spans="1:66" x14ac:dyDescent="0.25">
      <c r="A3" s="1" t="s">
        <v>3</v>
      </c>
      <c r="B3" s="1">
        <v>720</v>
      </c>
      <c r="C3" s="1">
        <v>600</v>
      </c>
      <c r="D3" s="1">
        <v>560</v>
      </c>
      <c r="E3" s="1">
        <v>1</v>
      </c>
      <c r="F3" s="1">
        <v>3541.7000000000003</v>
      </c>
      <c r="G3" s="1">
        <v>0</v>
      </c>
      <c r="H3" s="1">
        <v>1</v>
      </c>
      <c r="I3" s="1">
        <v>0.30334499999999998</v>
      </c>
      <c r="J3" s="1">
        <v>0</v>
      </c>
      <c r="K3" s="1">
        <v>567.86183999999992</v>
      </c>
      <c r="L3" s="1"/>
      <c r="M3" s="1">
        <v>2461.7000000000003</v>
      </c>
      <c r="N3" s="1">
        <v>300</v>
      </c>
      <c r="O3" s="1" t="s">
        <v>754</v>
      </c>
      <c r="P3" s="1" t="s">
        <v>358</v>
      </c>
      <c r="Q3" s="1"/>
      <c r="R3" s="1"/>
      <c r="S3" s="1"/>
      <c r="T3" s="1"/>
      <c r="U3" s="1"/>
      <c r="V3" s="1" t="s">
        <v>1184</v>
      </c>
      <c r="W3" s="1">
        <v>1080</v>
      </c>
      <c r="X3" s="1">
        <v>0</v>
      </c>
      <c r="Y3" s="1" t="s">
        <v>1099</v>
      </c>
      <c r="Z3" s="1">
        <v>0</v>
      </c>
      <c r="AA3" s="1" t="s">
        <v>1185</v>
      </c>
      <c r="AB3" s="1">
        <v>4109.5618400000003</v>
      </c>
      <c r="AD3" s="1" t="s">
        <v>1299</v>
      </c>
      <c r="AI3" s="1" t="s">
        <v>770</v>
      </c>
      <c r="AJ3" s="1" t="s">
        <v>758</v>
      </c>
      <c r="AK3" s="1">
        <v>38</v>
      </c>
      <c r="AL3" s="1">
        <v>3000</v>
      </c>
      <c r="AM3" s="1">
        <v>600</v>
      </c>
      <c r="AN3" s="1">
        <v>1</v>
      </c>
      <c r="AO3" s="1">
        <v>6020</v>
      </c>
      <c r="AP3" s="1" t="s">
        <v>1293</v>
      </c>
      <c r="AR3" s="1" t="s">
        <v>184</v>
      </c>
      <c r="AS3" s="1" t="s">
        <v>353</v>
      </c>
      <c r="AT3" s="1" t="s">
        <v>218</v>
      </c>
      <c r="AU3" s="1" t="s">
        <v>198</v>
      </c>
      <c r="AV3" s="1">
        <v>1000</v>
      </c>
      <c r="AW3" s="1">
        <v>1000</v>
      </c>
      <c r="AX3" s="1">
        <v>1</v>
      </c>
      <c r="AY3" s="1" t="s">
        <v>1099</v>
      </c>
      <c r="AZ3" s="1">
        <v>0</v>
      </c>
      <c r="BA3" s="1">
        <v>1</v>
      </c>
      <c r="BB3" s="1">
        <v>6096</v>
      </c>
      <c r="BD3" s="429" t="s">
        <v>1182</v>
      </c>
      <c r="BE3" s="429" t="s">
        <v>1113</v>
      </c>
      <c r="BF3" s="429" t="s">
        <v>1114</v>
      </c>
      <c r="BG3" s="429" t="s">
        <v>1183</v>
      </c>
      <c r="BH3" s="429">
        <v>1</v>
      </c>
      <c r="BI3" s="429">
        <v>50</v>
      </c>
      <c r="BK3" t="s">
        <v>1287</v>
      </c>
      <c r="BL3">
        <v>1</v>
      </c>
      <c r="BM3">
        <v>4576</v>
      </c>
    </row>
    <row r="4" spans="1:66" x14ac:dyDescent="0.25">
      <c r="A4" s="1" t="s">
        <v>3</v>
      </c>
      <c r="B4" s="1">
        <v>720</v>
      </c>
      <c r="C4" s="1">
        <v>600</v>
      </c>
      <c r="D4" s="1">
        <v>640</v>
      </c>
      <c r="E4" s="1">
        <v>1</v>
      </c>
      <c r="F4" s="1">
        <v>4036.1000000000004</v>
      </c>
      <c r="G4" s="1">
        <v>0</v>
      </c>
      <c r="H4" s="1">
        <v>1</v>
      </c>
      <c r="I4" s="1">
        <v>0.34870499999999999</v>
      </c>
      <c r="J4" s="1">
        <v>0</v>
      </c>
      <c r="K4" s="1">
        <v>652.77575999999999</v>
      </c>
      <c r="L4" s="1"/>
      <c r="M4" s="1">
        <v>2956.1000000000004</v>
      </c>
      <c r="N4" s="1">
        <v>300</v>
      </c>
      <c r="O4" s="1" t="s">
        <v>754</v>
      </c>
      <c r="P4" s="1" t="s">
        <v>358</v>
      </c>
      <c r="Q4" s="1"/>
      <c r="R4" s="1"/>
      <c r="S4" s="1"/>
      <c r="T4" s="1"/>
      <c r="U4" s="1"/>
      <c r="V4" s="1" t="s">
        <v>1184</v>
      </c>
      <c r="W4" s="1">
        <v>1080</v>
      </c>
      <c r="X4" s="1">
        <v>0</v>
      </c>
      <c r="Y4" s="1" t="s">
        <v>1099</v>
      </c>
      <c r="Z4" s="1">
        <v>0</v>
      </c>
      <c r="AA4" s="1" t="s">
        <v>1185</v>
      </c>
      <c r="AB4" s="28">
        <v>4688.8757600000008</v>
      </c>
      <c r="AI4" s="1" t="s">
        <v>770</v>
      </c>
      <c r="AJ4" s="1" t="s">
        <v>758</v>
      </c>
      <c r="AK4" s="1">
        <v>38</v>
      </c>
      <c r="AL4" s="1">
        <v>3000</v>
      </c>
      <c r="AM4" s="1">
        <v>600</v>
      </c>
      <c r="AN4" s="1">
        <v>1</v>
      </c>
      <c r="AO4" s="1">
        <v>6020</v>
      </c>
      <c r="AP4" s="1" t="s">
        <v>1292</v>
      </c>
      <c r="AR4" s="1" t="s">
        <v>184</v>
      </c>
      <c r="AS4" s="1" t="s">
        <v>353</v>
      </c>
      <c r="AT4" s="1" t="s">
        <v>213</v>
      </c>
      <c r="AU4" s="1" t="s">
        <v>198</v>
      </c>
      <c r="AV4" s="1">
        <v>1000</v>
      </c>
      <c r="AW4" s="1">
        <v>1000</v>
      </c>
      <c r="AX4" s="1">
        <v>1</v>
      </c>
      <c r="AY4" s="1" t="s">
        <v>1099</v>
      </c>
      <c r="AZ4" s="1">
        <v>0</v>
      </c>
      <c r="BA4" s="1">
        <v>1</v>
      </c>
      <c r="BB4" s="1">
        <v>7620</v>
      </c>
      <c r="BD4" s="429" t="s">
        <v>1182</v>
      </c>
      <c r="BE4" s="429" t="s">
        <v>1113</v>
      </c>
      <c r="BF4" s="429" t="s">
        <v>1114</v>
      </c>
      <c r="BG4" s="429" t="s">
        <v>1183</v>
      </c>
      <c r="BH4" s="429">
        <v>1</v>
      </c>
      <c r="BI4" s="429">
        <v>50</v>
      </c>
      <c r="BK4" t="s">
        <v>1288</v>
      </c>
      <c r="BL4">
        <v>1</v>
      </c>
      <c r="BM4">
        <v>2392</v>
      </c>
    </row>
    <row r="5" spans="1:66" x14ac:dyDescent="0.25">
      <c r="A5" s="1" t="s">
        <v>3</v>
      </c>
      <c r="B5" s="1">
        <v>1280</v>
      </c>
      <c r="C5" s="1">
        <v>550</v>
      </c>
      <c r="D5" s="1">
        <v>640</v>
      </c>
      <c r="E5" s="1">
        <v>1</v>
      </c>
      <c r="F5" s="1">
        <v>5065.07</v>
      </c>
      <c r="G5" s="1">
        <v>0</v>
      </c>
      <c r="H5" s="1">
        <v>1</v>
      </c>
      <c r="I5" s="1">
        <v>0.31795499999999999</v>
      </c>
      <c r="J5" s="1">
        <v>0</v>
      </c>
      <c r="K5" s="1">
        <v>595.21176000000003</v>
      </c>
      <c r="L5" s="1"/>
      <c r="M5" s="1">
        <v>3985.0699999999993</v>
      </c>
      <c r="N5" s="1">
        <v>300</v>
      </c>
      <c r="O5" s="1" t="s">
        <v>754</v>
      </c>
      <c r="P5" s="1" t="s">
        <v>358</v>
      </c>
      <c r="Q5" s="1"/>
      <c r="R5" s="1"/>
      <c r="S5" s="1"/>
      <c r="T5" s="1"/>
      <c r="U5" s="1"/>
      <c r="V5" s="1" t="s">
        <v>1184</v>
      </c>
      <c r="W5" s="1">
        <v>1080</v>
      </c>
      <c r="X5" s="1">
        <v>0</v>
      </c>
      <c r="Y5" s="1" t="s">
        <v>1099</v>
      </c>
      <c r="Z5" s="1">
        <v>0</v>
      </c>
      <c r="AA5" s="1" t="s">
        <v>1185</v>
      </c>
      <c r="AB5" s="28">
        <v>5660.2817599999998</v>
      </c>
      <c r="AI5" s="1" t="s">
        <v>770</v>
      </c>
      <c r="AJ5" s="1" t="s">
        <v>758</v>
      </c>
      <c r="AK5" s="1">
        <v>38</v>
      </c>
      <c r="AL5" s="1">
        <v>1000</v>
      </c>
      <c r="AM5" s="1">
        <v>600</v>
      </c>
      <c r="AN5" s="1">
        <v>1</v>
      </c>
      <c r="AO5" s="1">
        <v>1014.4000000000001</v>
      </c>
      <c r="AP5" s="1"/>
      <c r="AR5" s="1" t="s">
        <v>184</v>
      </c>
      <c r="AS5" s="1" t="s">
        <v>353</v>
      </c>
      <c r="AT5" s="1" t="s">
        <v>213</v>
      </c>
      <c r="AU5" s="1" t="s">
        <v>198</v>
      </c>
      <c r="AV5" s="1">
        <v>1000</v>
      </c>
      <c r="AW5" s="1">
        <v>1000</v>
      </c>
      <c r="AX5" s="1">
        <v>1</v>
      </c>
      <c r="AY5" s="1" t="s">
        <v>1099</v>
      </c>
      <c r="AZ5" s="1">
        <v>0</v>
      </c>
      <c r="BA5" s="1">
        <v>1</v>
      </c>
      <c r="BB5" s="1">
        <v>7620</v>
      </c>
      <c r="BD5" s="429" t="s">
        <v>1182</v>
      </c>
      <c r="BE5" s="429" t="s">
        <v>1113</v>
      </c>
      <c r="BF5" s="429" t="s">
        <v>1114</v>
      </c>
      <c r="BG5" s="429" t="s">
        <v>1183</v>
      </c>
      <c r="BH5" s="429">
        <v>2</v>
      </c>
      <c r="BI5" s="429">
        <v>100</v>
      </c>
      <c r="BK5" t="s">
        <v>1199</v>
      </c>
      <c r="BL5">
        <v>1</v>
      </c>
      <c r="BM5">
        <v>809</v>
      </c>
    </row>
    <row r="6" spans="1:66" x14ac:dyDescent="0.25">
      <c r="A6" s="1" t="s">
        <v>3</v>
      </c>
      <c r="B6" s="1">
        <v>1800</v>
      </c>
      <c r="C6" s="1">
        <v>550</v>
      </c>
      <c r="D6" s="1">
        <v>640</v>
      </c>
      <c r="E6" s="1">
        <v>1</v>
      </c>
      <c r="F6" s="1">
        <v>6082.7099999999991</v>
      </c>
      <c r="G6" s="1">
        <v>0</v>
      </c>
      <c r="H6" s="1">
        <v>1</v>
      </c>
      <c r="I6" s="1">
        <v>0.31795499999999999</v>
      </c>
      <c r="J6" s="1">
        <v>0</v>
      </c>
      <c r="K6" s="1">
        <v>595.21176000000003</v>
      </c>
      <c r="L6" s="1"/>
      <c r="M6" s="1">
        <v>5002.7099999999991</v>
      </c>
      <c r="N6" s="1">
        <v>300</v>
      </c>
      <c r="O6" s="1" t="s">
        <v>754</v>
      </c>
      <c r="P6" s="1" t="s">
        <v>358</v>
      </c>
      <c r="Q6" s="1"/>
      <c r="R6" s="1"/>
      <c r="S6" s="1"/>
      <c r="T6" s="1"/>
      <c r="U6" s="1"/>
      <c r="V6" s="1" t="s">
        <v>1184</v>
      </c>
      <c r="W6" s="1">
        <v>1080</v>
      </c>
      <c r="X6" s="1">
        <v>0</v>
      </c>
      <c r="Y6" s="1" t="s">
        <v>1099</v>
      </c>
      <c r="Z6" s="1">
        <v>0</v>
      </c>
      <c r="AA6" s="1" t="s">
        <v>1185</v>
      </c>
      <c r="AB6" s="28">
        <v>6677.9217599999993</v>
      </c>
      <c r="AI6" s="1" t="s">
        <v>770</v>
      </c>
      <c r="AJ6" s="1" t="s">
        <v>758</v>
      </c>
      <c r="AK6" s="1">
        <v>38</v>
      </c>
      <c r="AL6" s="1">
        <v>1000</v>
      </c>
      <c r="AM6" s="1">
        <v>600</v>
      </c>
      <c r="AN6" s="1">
        <v>1</v>
      </c>
      <c r="AO6" s="1">
        <v>1014.4000000000001</v>
      </c>
      <c r="AP6" s="1"/>
      <c r="AR6" s="1" t="s">
        <v>185</v>
      </c>
      <c r="AS6" s="1" t="s">
        <v>1072</v>
      </c>
      <c r="AT6" s="1" t="s">
        <v>261</v>
      </c>
      <c r="AU6" s="1" t="s">
        <v>198</v>
      </c>
      <c r="AV6" s="1">
        <v>1000</v>
      </c>
      <c r="AW6" s="1">
        <v>1000</v>
      </c>
      <c r="AX6" s="1">
        <v>1</v>
      </c>
      <c r="AY6" s="1" t="s">
        <v>1099</v>
      </c>
      <c r="AZ6" s="1">
        <v>0</v>
      </c>
      <c r="BA6" s="1">
        <v>1</v>
      </c>
      <c r="BB6" s="1">
        <v>7745</v>
      </c>
      <c r="BK6" t="s">
        <v>1205</v>
      </c>
      <c r="BL6">
        <v>2</v>
      </c>
      <c r="BM6">
        <v>4184</v>
      </c>
      <c r="BN6" t="s">
        <v>184</v>
      </c>
    </row>
    <row r="7" spans="1:66" x14ac:dyDescent="0.25">
      <c r="A7" s="1" t="s">
        <v>0</v>
      </c>
      <c r="B7" s="1">
        <v>960</v>
      </c>
      <c r="C7" s="1">
        <v>600</v>
      </c>
      <c r="D7" s="1">
        <v>560</v>
      </c>
      <c r="E7" s="1">
        <v>1</v>
      </c>
      <c r="F7" s="1">
        <v>4937.2200000000012</v>
      </c>
      <c r="G7" s="1">
        <v>0.56977599999999995</v>
      </c>
      <c r="H7" s="1">
        <v>2</v>
      </c>
      <c r="I7" s="1">
        <v>0.30334499999999998</v>
      </c>
      <c r="J7" s="1">
        <v>0</v>
      </c>
      <c r="K7" s="1">
        <v>1135.7236799999998</v>
      </c>
      <c r="L7" s="1"/>
      <c r="M7" s="1">
        <v>2857.2200000000007</v>
      </c>
      <c r="N7" s="1">
        <v>300</v>
      </c>
      <c r="O7" s="1" t="s">
        <v>754</v>
      </c>
      <c r="P7" s="1" t="s">
        <v>358</v>
      </c>
      <c r="Q7" s="1"/>
      <c r="R7" s="1"/>
      <c r="S7" s="1"/>
      <c r="T7" s="1"/>
      <c r="U7" s="1"/>
      <c r="V7" s="1" t="s">
        <v>1184</v>
      </c>
      <c r="W7" s="1">
        <v>1080</v>
      </c>
      <c r="X7" s="1">
        <v>1000</v>
      </c>
      <c r="Y7" s="1" t="s">
        <v>1099</v>
      </c>
      <c r="Z7" s="1">
        <v>0</v>
      </c>
      <c r="AA7" s="1" t="s">
        <v>1185</v>
      </c>
      <c r="AB7" s="28">
        <v>6072.9436800000012</v>
      </c>
      <c r="AI7" s="1" t="s">
        <v>770</v>
      </c>
      <c r="AJ7" s="1" t="s">
        <v>758</v>
      </c>
      <c r="AK7" s="1">
        <v>38</v>
      </c>
      <c r="AL7" s="1">
        <v>1000</v>
      </c>
      <c r="AM7" s="1">
        <v>600</v>
      </c>
      <c r="AN7" s="1">
        <v>1</v>
      </c>
      <c r="AO7" s="1">
        <v>2536</v>
      </c>
      <c r="AP7" s="1"/>
      <c r="AR7" s="1" t="s">
        <v>1252</v>
      </c>
      <c r="AS7" s="1" t="s">
        <v>1241</v>
      </c>
      <c r="AT7" s="1" t="s">
        <v>1234</v>
      </c>
      <c r="AU7" s="1" t="s">
        <v>1253</v>
      </c>
      <c r="AV7" s="1">
        <v>1000</v>
      </c>
      <c r="AW7" s="1">
        <v>1000</v>
      </c>
      <c r="AX7" s="1">
        <v>1</v>
      </c>
      <c r="AY7" s="1" t="s">
        <v>1099</v>
      </c>
      <c r="AZ7" s="1">
        <v>0</v>
      </c>
      <c r="BA7" s="1">
        <v>1</v>
      </c>
      <c r="BB7" s="1">
        <v>4218</v>
      </c>
    </row>
    <row r="8" spans="1:66" x14ac:dyDescent="0.25">
      <c r="A8" s="1" t="s">
        <v>0</v>
      </c>
      <c r="B8" s="1">
        <v>960</v>
      </c>
      <c r="C8" s="1">
        <v>550</v>
      </c>
      <c r="D8" s="1">
        <v>640</v>
      </c>
      <c r="E8" s="1">
        <v>1</v>
      </c>
      <c r="F8" s="1">
        <v>5364.67</v>
      </c>
      <c r="G8" s="1">
        <v>0.521976</v>
      </c>
      <c r="H8" s="1">
        <v>2</v>
      </c>
      <c r="I8" s="1">
        <v>0.31795499999999999</v>
      </c>
      <c r="J8" s="1">
        <v>0</v>
      </c>
      <c r="K8" s="1">
        <v>1190.4235200000001</v>
      </c>
      <c r="L8" s="1"/>
      <c r="M8" s="1">
        <v>3284.6700000000005</v>
      </c>
      <c r="N8" s="1">
        <v>300</v>
      </c>
      <c r="O8" s="1" t="s">
        <v>754</v>
      </c>
      <c r="P8" s="1" t="s">
        <v>358</v>
      </c>
      <c r="Q8" s="1"/>
      <c r="R8" s="1"/>
      <c r="S8" s="1"/>
      <c r="T8" s="1"/>
      <c r="U8" s="1"/>
      <c r="V8" s="1" t="s">
        <v>1184</v>
      </c>
      <c r="W8" s="1">
        <v>1080</v>
      </c>
      <c r="X8" s="1">
        <v>1000</v>
      </c>
      <c r="Y8" s="1" t="s">
        <v>1099</v>
      </c>
      <c r="Z8" s="1">
        <v>0</v>
      </c>
      <c r="AA8" s="1" t="s">
        <v>1185</v>
      </c>
      <c r="AB8" s="28">
        <v>6555.0935200000004</v>
      </c>
      <c r="AI8" s="1" t="s">
        <v>770</v>
      </c>
      <c r="AJ8" s="1" t="s">
        <v>758</v>
      </c>
      <c r="AK8" s="1">
        <v>38</v>
      </c>
      <c r="AL8" s="1">
        <v>500</v>
      </c>
      <c r="AM8" s="1">
        <v>500</v>
      </c>
      <c r="AN8" s="1">
        <v>1</v>
      </c>
      <c r="AO8" s="1">
        <v>2536</v>
      </c>
      <c r="AP8" s="1" t="s">
        <v>1292</v>
      </c>
      <c r="AR8" s="1" t="s">
        <v>184</v>
      </c>
      <c r="AS8" s="1" t="s">
        <v>253</v>
      </c>
      <c r="AT8" s="1" t="s">
        <v>222</v>
      </c>
      <c r="AU8" s="1" t="s">
        <v>198</v>
      </c>
      <c r="AV8" s="1">
        <v>1000</v>
      </c>
      <c r="AW8" s="1">
        <v>1000</v>
      </c>
      <c r="AX8" s="1">
        <v>1</v>
      </c>
      <c r="AY8" s="1" t="s">
        <v>1099</v>
      </c>
      <c r="AZ8" s="1">
        <v>0</v>
      </c>
      <c r="BA8" s="1">
        <v>1</v>
      </c>
      <c r="BB8" s="1">
        <v>5556.25</v>
      </c>
    </row>
    <row r="9" spans="1:66" x14ac:dyDescent="0.25">
      <c r="A9" s="1" t="s">
        <v>690</v>
      </c>
      <c r="B9" s="1">
        <v>720</v>
      </c>
      <c r="C9" s="1">
        <v>150</v>
      </c>
      <c r="D9" s="1">
        <v>560</v>
      </c>
      <c r="E9" s="1">
        <v>1</v>
      </c>
      <c r="F9" s="1">
        <v>14499.15</v>
      </c>
      <c r="G9" s="1">
        <v>0.104536</v>
      </c>
      <c r="H9" s="1">
        <v>0</v>
      </c>
      <c r="I9" s="1">
        <v>0</v>
      </c>
      <c r="J9" s="1">
        <v>0</v>
      </c>
      <c r="K9" s="1">
        <v>0</v>
      </c>
      <c r="L9" s="1"/>
      <c r="M9" s="1">
        <v>1859.1499999999999</v>
      </c>
      <c r="N9" s="1">
        <v>300</v>
      </c>
      <c r="O9" s="1" t="s">
        <v>754</v>
      </c>
      <c r="P9" s="1" t="s">
        <v>358</v>
      </c>
      <c r="Q9" s="1"/>
      <c r="R9" s="1"/>
      <c r="S9" s="1"/>
      <c r="T9" s="1"/>
      <c r="U9" s="1"/>
      <c r="V9" s="1" t="s">
        <v>1184</v>
      </c>
      <c r="W9" s="1">
        <v>1080</v>
      </c>
      <c r="X9" s="1">
        <v>11560</v>
      </c>
      <c r="Y9" s="1" t="s">
        <v>1099</v>
      </c>
      <c r="Z9" s="1">
        <v>0</v>
      </c>
      <c r="AA9" s="1" t="s">
        <v>1185</v>
      </c>
      <c r="AB9" s="28">
        <v>14499.15</v>
      </c>
      <c r="AI9" s="1" t="s">
        <v>770</v>
      </c>
      <c r="AJ9" s="1" t="s">
        <v>758</v>
      </c>
      <c r="AK9" s="1">
        <v>38</v>
      </c>
      <c r="AL9" s="1">
        <v>500</v>
      </c>
      <c r="AM9" s="1">
        <v>500</v>
      </c>
      <c r="AN9" s="1">
        <v>1</v>
      </c>
      <c r="AO9" s="1">
        <v>1014.4000000000001</v>
      </c>
      <c r="AP9" s="1" t="s">
        <v>1293</v>
      </c>
      <c r="AR9" s="1" t="s">
        <v>1252</v>
      </c>
      <c r="AS9" s="1" t="s">
        <v>1241</v>
      </c>
      <c r="AT9" s="1" t="s">
        <v>1234</v>
      </c>
      <c r="AU9" s="1" t="s">
        <v>1253</v>
      </c>
      <c r="AV9" s="1">
        <v>1</v>
      </c>
      <c r="AW9" s="1">
        <v>1</v>
      </c>
      <c r="AX9" s="1">
        <v>9.9999999999999995E-7</v>
      </c>
      <c r="AY9" s="1" t="s">
        <v>1099</v>
      </c>
      <c r="AZ9" s="1">
        <v>0</v>
      </c>
      <c r="BA9" s="1">
        <v>1</v>
      </c>
      <c r="BB9" s="1">
        <v>4.2179999999999995E-3</v>
      </c>
    </row>
    <row r="10" spans="1:66" x14ac:dyDescent="0.25">
      <c r="A10" s="1" t="s">
        <v>691</v>
      </c>
      <c r="B10" s="1">
        <v>720</v>
      </c>
      <c r="C10" s="1">
        <v>450</v>
      </c>
      <c r="D10" s="1">
        <v>560</v>
      </c>
      <c r="E10" s="1">
        <v>1</v>
      </c>
      <c r="F10" s="1">
        <v>14730.85</v>
      </c>
      <c r="G10" s="1">
        <v>0.31933600000000001</v>
      </c>
      <c r="H10" s="1">
        <v>0</v>
      </c>
      <c r="I10" s="1">
        <v>0</v>
      </c>
      <c r="J10" s="1">
        <v>0</v>
      </c>
      <c r="K10" s="1">
        <v>0</v>
      </c>
      <c r="L10" s="1"/>
      <c r="M10" s="1">
        <v>2260.8500000000004</v>
      </c>
      <c r="N10" s="1">
        <v>300</v>
      </c>
      <c r="O10" s="1" t="s">
        <v>754</v>
      </c>
      <c r="P10" s="1" t="s">
        <v>358</v>
      </c>
      <c r="Q10" s="1"/>
      <c r="R10" s="1"/>
      <c r="S10" s="1"/>
      <c r="T10" s="1"/>
      <c r="U10" s="1"/>
      <c r="V10" s="1" t="s">
        <v>1184</v>
      </c>
      <c r="W10" s="1">
        <v>1080</v>
      </c>
      <c r="X10" s="1">
        <v>11390</v>
      </c>
      <c r="Y10" s="1" t="s">
        <v>1099</v>
      </c>
      <c r="Z10" s="1">
        <v>0</v>
      </c>
      <c r="AA10" s="1" t="s">
        <v>1185</v>
      </c>
      <c r="AB10" s="28">
        <v>14730.85</v>
      </c>
      <c r="AR10" s="1" t="s">
        <v>1252</v>
      </c>
      <c r="AS10" s="1" t="s">
        <v>1241</v>
      </c>
      <c r="AT10" s="1" t="s">
        <v>1235</v>
      </c>
      <c r="AU10" s="1" t="s">
        <v>1253</v>
      </c>
      <c r="AV10" s="1">
        <v>1</v>
      </c>
      <c r="AW10" s="1">
        <v>1</v>
      </c>
      <c r="AX10" s="1">
        <v>9.9999999999999995E-7</v>
      </c>
      <c r="AY10" s="1" t="s">
        <v>1099</v>
      </c>
      <c r="AZ10" s="1">
        <v>0</v>
      </c>
      <c r="BA10" s="1">
        <v>1</v>
      </c>
      <c r="BB10" s="1">
        <v>3.7859999999999999E-3</v>
      </c>
    </row>
    <row r="11" spans="1:66" x14ac:dyDescent="0.25">
      <c r="A11" s="1" t="s">
        <v>691</v>
      </c>
      <c r="B11" s="1">
        <v>720</v>
      </c>
      <c r="C11" s="1">
        <v>450</v>
      </c>
      <c r="D11" s="1">
        <v>500</v>
      </c>
      <c r="E11" s="1">
        <v>1</v>
      </c>
      <c r="F11" s="1">
        <v>14730.85</v>
      </c>
      <c r="G11" s="1">
        <v>0.31933600000000001</v>
      </c>
      <c r="H11" s="1">
        <v>0</v>
      </c>
      <c r="I11" s="1">
        <v>0</v>
      </c>
      <c r="J11" s="1">
        <v>0</v>
      </c>
      <c r="K11" s="1">
        <v>0</v>
      </c>
      <c r="L11" s="1"/>
      <c r="M11" s="1">
        <v>2260.8500000000004</v>
      </c>
      <c r="N11" s="1">
        <v>300</v>
      </c>
      <c r="O11" s="1" t="s">
        <v>754</v>
      </c>
      <c r="P11" s="1" t="s">
        <v>358</v>
      </c>
      <c r="Q11" s="1"/>
      <c r="R11" s="1"/>
      <c r="S11" s="1"/>
      <c r="T11" s="1"/>
      <c r="U11" s="1"/>
      <c r="V11" s="1" t="s">
        <v>1184</v>
      </c>
      <c r="W11" s="1">
        <v>1080</v>
      </c>
      <c r="X11" s="1">
        <v>11390</v>
      </c>
      <c r="Y11" s="1" t="s">
        <v>1099</v>
      </c>
      <c r="Z11" s="1">
        <v>0</v>
      </c>
      <c r="AA11" s="1" t="s">
        <v>1185</v>
      </c>
      <c r="AB11" s="28">
        <v>14730.85</v>
      </c>
      <c r="AR11" s="1" t="s">
        <v>1252</v>
      </c>
      <c r="AS11" s="1" t="s">
        <v>1241</v>
      </c>
      <c r="AT11" s="1" t="s">
        <v>1235</v>
      </c>
      <c r="AU11" s="1" t="s">
        <v>1253</v>
      </c>
      <c r="AV11" s="1">
        <v>1</v>
      </c>
      <c r="AW11" s="1">
        <v>1</v>
      </c>
      <c r="AX11" s="1">
        <v>9.9999999999999995E-7</v>
      </c>
      <c r="AY11" s="1" t="s">
        <v>1099</v>
      </c>
      <c r="AZ11" s="1">
        <v>0</v>
      </c>
      <c r="BA11" s="1">
        <v>1</v>
      </c>
      <c r="BB11" s="1">
        <v>3.7859999999999999E-3</v>
      </c>
    </row>
    <row r="12" spans="1:66" x14ac:dyDescent="0.25">
      <c r="A12" s="1" t="s">
        <v>13</v>
      </c>
      <c r="B12" s="1">
        <v>720</v>
      </c>
      <c r="C12" s="1">
        <v>600</v>
      </c>
      <c r="D12" s="1">
        <v>560</v>
      </c>
      <c r="E12" s="1">
        <v>1</v>
      </c>
      <c r="F12" s="1">
        <v>4304.75</v>
      </c>
      <c r="G12" s="1">
        <v>0.426736</v>
      </c>
      <c r="H12" s="1">
        <v>0</v>
      </c>
      <c r="I12" s="1">
        <v>0.30334499999999998</v>
      </c>
      <c r="J12" s="1">
        <v>0</v>
      </c>
      <c r="K12" s="1">
        <v>0</v>
      </c>
      <c r="L12" s="1"/>
      <c r="M12" s="1">
        <v>2304.75</v>
      </c>
      <c r="N12" s="1">
        <v>450</v>
      </c>
      <c r="O12" s="1" t="s">
        <v>754</v>
      </c>
      <c r="P12" s="1" t="s">
        <v>358</v>
      </c>
      <c r="Q12" s="1"/>
      <c r="R12" s="1"/>
      <c r="S12" s="1"/>
      <c r="T12" s="1"/>
      <c r="U12" s="1"/>
      <c r="V12" s="1" t="s">
        <v>1184</v>
      </c>
      <c r="W12" s="1">
        <v>1000</v>
      </c>
      <c r="X12" s="1">
        <v>1000</v>
      </c>
      <c r="Y12" s="1" t="s">
        <v>1099</v>
      </c>
      <c r="Z12" s="1">
        <v>0</v>
      </c>
      <c r="AA12" s="1" t="s">
        <v>1185</v>
      </c>
      <c r="AB12" s="28">
        <v>4304.75</v>
      </c>
      <c r="AR12" s="1" t="s">
        <v>1252</v>
      </c>
      <c r="AS12" s="1" t="s">
        <v>1241</v>
      </c>
      <c r="AT12" s="1" t="s">
        <v>1235</v>
      </c>
      <c r="AU12" s="1" t="s">
        <v>1253</v>
      </c>
      <c r="AV12" s="1">
        <v>1</v>
      </c>
      <c r="AW12" s="1">
        <v>1</v>
      </c>
      <c r="AX12" s="1">
        <v>9.9999999999999995E-7</v>
      </c>
      <c r="AY12" s="1" t="s">
        <v>807</v>
      </c>
      <c r="AZ12" s="1">
        <v>1179</v>
      </c>
      <c r="BA12" s="1">
        <v>1</v>
      </c>
      <c r="BB12" s="1">
        <v>1.1789999999999999E-3</v>
      </c>
    </row>
    <row r="13" spans="1:66" x14ac:dyDescent="0.25">
      <c r="A13" s="1" t="s">
        <v>13</v>
      </c>
      <c r="B13" s="1">
        <v>720</v>
      </c>
      <c r="C13" s="1">
        <v>600</v>
      </c>
      <c r="D13" s="1">
        <v>560</v>
      </c>
      <c r="E13" s="1">
        <v>1</v>
      </c>
      <c r="F13" s="1">
        <v>4304.75</v>
      </c>
      <c r="G13" s="1">
        <v>0.426736</v>
      </c>
      <c r="H13" s="1">
        <v>0</v>
      </c>
      <c r="I13" s="1">
        <v>0.30334499999999998</v>
      </c>
      <c r="J13" s="1">
        <v>0</v>
      </c>
      <c r="K13" s="1">
        <v>0</v>
      </c>
      <c r="L13" s="1"/>
      <c r="M13" s="1">
        <v>2304.75</v>
      </c>
      <c r="N13" s="1">
        <v>450</v>
      </c>
      <c r="O13" s="1" t="s">
        <v>754</v>
      </c>
      <c r="P13" s="1" t="s">
        <v>358</v>
      </c>
      <c r="Q13" s="1"/>
      <c r="R13" s="1"/>
      <c r="S13" s="1"/>
      <c r="T13" s="1"/>
      <c r="U13" s="1"/>
      <c r="V13" s="1" t="s">
        <v>1184</v>
      </c>
      <c r="W13" s="1">
        <v>1000</v>
      </c>
      <c r="X13" s="1">
        <v>1000</v>
      </c>
      <c r="Y13" s="1" t="s">
        <v>1099</v>
      </c>
      <c r="Z13" s="1">
        <v>0</v>
      </c>
      <c r="AA13" s="1" t="s">
        <v>1185</v>
      </c>
      <c r="AB13" s="28">
        <v>4304.75</v>
      </c>
      <c r="AR13" s="1" t="s">
        <v>185</v>
      </c>
      <c r="AS13" s="1" t="s">
        <v>1072</v>
      </c>
      <c r="AT13" s="1" t="s">
        <v>261</v>
      </c>
      <c r="AU13" s="1" t="s">
        <v>198</v>
      </c>
      <c r="AV13" s="1">
        <v>1</v>
      </c>
      <c r="AW13" s="1">
        <v>1</v>
      </c>
      <c r="AX13" s="1">
        <v>9.9999999999999995E-7</v>
      </c>
      <c r="AY13" s="1" t="s">
        <v>807</v>
      </c>
      <c r="AZ13" s="1">
        <v>1179</v>
      </c>
      <c r="BA13" s="1">
        <v>1</v>
      </c>
      <c r="BB13" s="1">
        <v>1.3453E-2</v>
      </c>
    </row>
    <row r="14" spans="1:66" x14ac:dyDescent="0.25">
      <c r="A14" s="1" t="s">
        <v>187</v>
      </c>
      <c r="B14" s="1">
        <v>720</v>
      </c>
      <c r="C14" s="1">
        <v>850</v>
      </c>
      <c r="D14" s="1">
        <v>560</v>
      </c>
      <c r="E14" s="1">
        <v>1</v>
      </c>
      <c r="F14" s="1">
        <v>7269.5499999999993</v>
      </c>
      <c r="G14" s="1">
        <v>0.35513600000000001</v>
      </c>
      <c r="H14" s="1">
        <v>1</v>
      </c>
      <c r="I14" s="1">
        <v>0.43709500000000001</v>
      </c>
      <c r="J14" s="1">
        <v>0</v>
      </c>
      <c r="K14" s="1">
        <v>818.24184000000002</v>
      </c>
      <c r="L14" s="1"/>
      <c r="M14" s="1">
        <v>3269.5499999999997</v>
      </c>
      <c r="N14" s="1">
        <v>750</v>
      </c>
      <c r="O14" s="1" t="s">
        <v>754</v>
      </c>
      <c r="P14" s="1" t="s">
        <v>358</v>
      </c>
      <c r="Q14" s="1"/>
      <c r="R14" s="1"/>
      <c r="S14" s="1"/>
      <c r="T14" s="1"/>
      <c r="U14" s="1"/>
      <c r="V14" s="1" t="s">
        <v>1184</v>
      </c>
      <c r="W14" s="1">
        <v>1350</v>
      </c>
      <c r="X14" s="1">
        <v>2650</v>
      </c>
      <c r="Y14" s="1" t="s">
        <v>1099</v>
      </c>
      <c r="Z14" s="1">
        <v>0</v>
      </c>
      <c r="AA14" s="1" t="s">
        <v>1185</v>
      </c>
      <c r="AB14" s="28">
        <v>8087.791839999999</v>
      </c>
      <c r="AR14" s="1" t="s">
        <v>185</v>
      </c>
      <c r="AS14" s="1" t="s">
        <v>1072</v>
      </c>
      <c r="AT14" s="1" t="s">
        <v>261</v>
      </c>
      <c r="AU14" s="1" t="s">
        <v>198</v>
      </c>
      <c r="AV14" s="1">
        <v>1000</v>
      </c>
      <c r="AW14" s="1">
        <v>1000</v>
      </c>
      <c r="AX14" s="1">
        <v>1</v>
      </c>
      <c r="AY14" s="1" t="s">
        <v>807</v>
      </c>
      <c r="AZ14" s="1">
        <v>1179</v>
      </c>
      <c r="BA14" s="1">
        <v>1</v>
      </c>
      <c r="BB14" s="1">
        <v>13453</v>
      </c>
    </row>
    <row r="15" spans="1:66" x14ac:dyDescent="0.25">
      <c r="A15" s="1" t="s">
        <v>187</v>
      </c>
      <c r="B15" s="1">
        <v>720</v>
      </c>
      <c r="C15" s="1">
        <v>850</v>
      </c>
      <c r="D15" s="1">
        <v>560</v>
      </c>
      <c r="E15" s="1">
        <v>1</v>
      </c>
      <c r="F15" s="1">
        <v>5609.5499999999993</v>
      </c>
      <c r="G15" s="1">
        <v>0.35513600000000001</v>
      </c>
      <c r="H15" s="1">
        <v>1</v>
      </c>
      <c r="I15" s="1">
        <v>0.43709500000000001</v>
      </c>
      <c r="J15" s="1">
        <v>0</v>
      </c>
      <c r="K15" s="1">
        <v>818.24184000000002</v>
      </c>
      <c r="L15" s="1"/>
      <c r="M15" s="1">
        <v>3269.5499999999997</v>
      </c>
      <c r="N15" s="1">
        <v>750</v>
      </c>
      <c r="O15" s="1" t="s">
        <v>754</v>
      </c>
      <c r="P15" s="1" t="s">
        <v>360</v>
      </c>
      <c r="Q15" s="1"/>
      <c r="R15" s="1"/>
      <c r="S15" s="1"/>
      <c r="T15" s="1"/>
      <c r="U15" s="1"/>
      <c r="V15" s="1" t="s">
        <v>1184</v>
      </c>
      <c r="W15" s="1">
        <v>1350</v>
      </c>
      <c r="X15" s="1">
        <v>990</v>
      </c>
      <c r="Y15" s="1" t="s">
        <v>1099</v>
      </c>
      <c r="Z15" s="1">
        <v>0</v>
      </c>
      <c r="AA15" s="1" t="s">
        <v>1185</v>
      </c>
      <c r="AB15" s="28">
        <v>6427.791839999999</v>
      </c>
      <c r="AR15" s="1" t="s">
        <v>1252</v>
      </c>
      <c r="AS15" s="1" t="s">
        <v>1242</v>
      </c>
      <c r="AT15" s="1" t="s">
        <v>1235</v>
      </c>
      <c r="AU15" s="1" t="s">
        <v>1253</v>
      </c>
      <c r="AV15" s="1">
        <v>1000</v>
      </c>
      <c r="AW15" s="1">
        <v>1000</v>
      </c>
      <c r="AX15" s="1">
        <v>1</v>
      </c>
      <c r="AY15" s="1" t="s">
        <v>807</v>
      </c>
      <c r="AZ15" s="1">
        <v>1179</v>
      </c>
      <c r="BA15" s="1">
        <v>1</v>
      </c>
      <c r="BB15" s="1">
        <v>1179</v>
      </c>
    </row>
    <row r="16" spans="1:66" x14ac:dyDescent="0.25">
      <c r="A16" s="1" t="s">
        <v>186</v>
      </c>
      <c r="B16" s="1">
        <v>720</v>
      </c>
      <c r="C16" s="1">
        <v>850</v>
      </c>
      <c r="D16" s="1">
        <v>560</v>
      </c>
      <c r="E16" s="1">
        <v>1</v>
      </c>
      <c r="F16" s="1">
        <v>7269.5499999999993</v>
      </c>
      <c r="G16" s="1">
        <v>0.28353600000000001</v>
      </c>
      <c r="H16" s="1">
        <v>1</v>
      </c>
      <c r="I16" s="1">
        <v>0.43709500000000001</v>
      </c>
      <c r="J16" s="1">
        <v>0</v>
      </c>
      <c r="K16" s="1">
        <v>818.24184000000002</v>
      </c>
      <c r="L16" s="1"/>
      <c r="M16" s="1">
        <v>3269.5499999999997</v>
      </c>
      <c r="N16" s="1">
        <v>750</v>
      </c>
      <c r="O16" s="1" t="s">
        <v>754</v>
      </c>
      <c r="P16" s="1" t="s">
        <v>358</v>
      </c>
      <c r="Q16" s="1"/>
      <c r="R16" s="1"/>
      <c r="S16" s="1"/>
      <c r="T16" s="1"/>
      <c r="U16" s="1"/>
      <c r="V16" s="1" t="s">
        <v>1184</v>
      </c>
      <c r="W16" s="1">
        <v>1350</v>
      </c>
      <c r="X16" s="1">
        <v>2650</v>
      </c>
      <c r="Y16" s="1" t="s">
        <v>1099</v>
      </c>
      <c r="Z16" s="1">
        <v>0</v>
      </c>
      <c r="AA16" s="1" t="s">
        <v>1185</v>
      </c>
      <c r="AB16" s="28">
        <v>8087.791839999999</v>
      </c>
      <c r="AR16" s="1" t="s">
        <v>1252</v>
      </c>
      <c r="AS16" s="1" t="s">
        <v>1241</v>
      </c>
      <c r="AT16" s="1" t="s">
        <v>1235</v>
      </c>
      <c r="AU16" s="1" t="s">
        <v>1253</v>
      </c>
      <c r="AV16" s="1">
        <v>1</v>
      </c>
      <c r="AW16" s="1">
        <v>1</v>
      </c>
      <c r="AX16" s="1">
        <v>9.9999999999999995E-7</v>
      </c>
      <c r="AY16" s="1" t="s">
        <v>1099</v>
      </c>
      <c r="AZ16" s="1">
        <v>0</v>
      </c>
      <c r="BA16" s="1">
        <v>1</v>
      </c>
      <c r="BB16" s="1">
        <v>3.7859999999999999E-3</v>
      </c>
    </row>
    <row r="17" spans="1:54" x14ac:dyDescent="0.25">
      <c r="A17" s="1" t="s">
        <v>17</v>
      </c>
      <c r="B17" s="1">
        <v>720</v>
      </c>
      <c r="C17" s="1">
        <v>600</v>
      </c>
      <c r="D17" s="1">
        <v>560</v>
      </c>
      <c r="E17" s="1">
        <v>1</v>
      </c>
      <c r="F17" s="1">
        <v>9578.5</v>
      </c>
      <c r="G17" s="1">
        <v>0.42435200000000001</v>
      </c>
      <c r="H17" s="1">
        <v>1</v>
      </c>
      <c r="I17" s="1">
        <v>0.30334499999999998</v>
      </c>
      <c r="J17" s="1">
        <v>0</v>
      </c>
      <c r="K17" s="1">
        <v>567.86183999999992</v>
      </c>
      <c r="L17" s="1"/>
      <c r="M17" s="1">
        <v>2748.5</v>
      </c>
      <c r="N17" s="1">
        <v>300</v>
      </c>
      <c r="O17" s="1" t="s">
        <v>754</v>
      </c>
      <c r="P17" s="1" t="s">
        <v>358</v>
      </c>
      <c r="Q17" s="1"/>
      <c r="R17" s="1"/>
      <c r="S17" s="1"/>
      <c r="T17" s="1"/>
      <c r="U17" s="1"/>
      <c r="V17" s="1" t="s">
        <v>1184</v>
      </c>
      <c r="W17" s="1">
        <v>1080</v>
      </c>
      <c r="X17" s="1">
        <v>5750</v>
      </c>
      <c r="Y17" s="1" t="s">
        <v>1099</v>
      </c>
      <c r="Z17" s="1">
        <v>0</v>
      </c>
      <c r="AA17" s="1" t="s">
        <v>1185</v>
      </c>
      <c r="AB17" s="28">
        <v>10146.36184</v>
      </c>
      <c r="AR17" s="1" t="s">
        <v>1252</v>
      </c>
      <c r="AS17" s="1" t="s">
        <v>1243</v>
      </c>
      <c r="AT17" s="1" t="s">
        <v>1235</v>
      </c>
      <c r="AU17" s="1" t="s">
        <v>1253</v>
      </c>
      <c r="AV17" s="1">
        <v>1000</v>
      </c>
      <c r="AW17" s="1">
        <v>1000</v>
      </c>
      <c r="AX17" s="1">
        <v>1</v>
      </c>
      <c r="AY17" s="1" t="s">
        <v>1099</v>
      </c>
      <c r="AZ17" s="1">
        <v>0</v>
      </c>
      <c r="BA17" s="1">
        <v>1</v>
      </c>
      <c r="BB17" s="1">
        <v>3786</v>
      </c>
    </row>
    <row r="18" spans="1:54" x14ac:dyDescent="0.25">
      <c r="A18" s="1" t="s">
        <v>140</v>
      </c>
      <c r="B18" s="1">
        <v>720</v>
      </c>
      <c r="C18" s="1">
        <v>600</v>
      </c>
      <c r="D18" s="1">
        <v>560</v>
      </c>
      <c r="E18" s="1">
        <v>1</v>
      </c>
      <c r="F18" s="1">
        <v>10578.5</v>
      </c>
      <c r="G18" s="1">
        <v>0.42150399999999999</v>
      </c>
      <c r="H18" s="1">
        <v>1</v>
      </c>
      <c r="I18" s="1">
        <v>0.30334499999999998</v>
      </c>
      <c r="J18" s="1">
        <v>0</v>
      </c>
      <c r="K18" s="1">
        <v>567.86183999999992</v>
      </c>
      <c r="L18" s="1"/>
      <c r="M18" s="1">
        <v>2748.5</v>
      </c>
      <c r="N18" s="1">
        <v>300</v>
      </c>
      <c r="O18" s="1" t="s">
        <v>754</v>
      </c>
      <c r="P18" s="1" t="s">
        <v>358</v>
      </c>
      <c r="Q18" s="1"/>
      <c r="R18" s="1"/>
      <c r="S18" s="1"/>
      <c r="T18" s="1"/>
      <c r="U18" s="1"/>
      <c r="V18" s="1" t="s">
        <v>1184</v>
      </c>
      <c r="W18" s="1">
        <v>1080</v>
      </c>
      <c r="X18" s="1">
        <v>6750</v>
      </c>
      <c r="Y18" s="1" t="s">
        <v>1099</v>
      </c>
      <c r="Z18" s="1">
        <v>0</v>
      </c>
      <c r="AA18" s="1" t="s">
        <v>1185</v>
      </c>
      <c r="AB18" s="28">
        <v>11146.36184</v>
      </c>
      <c r="AR18" s="1" t="s">
        <v>1252</v>
      </c>
      <c r="AS18" s="1" t="s">
        <v>1248</v>
      </c>
      <c r="AT18" s="1" t="s">
        <v>1235</v>
      </c>
      <c r="AU18" s="1" t="s">
        <v>1253</v>
      </c>
      <c r="AV18" s="1">
        <v>1000</v>
      </c>
      <c r="AW18" s="1">
        <v>1000</v>
      </c>
      <c r="AX18" s="1">
        <v>1</v>
      </c>
      <c r="AY18" s="1" t="s">
        <v>1099</v>
      </c>
      <c r="AZ18" s="1">
        <v>0</v>
      </c>
      <c r="BA18" s="1">
        <v>1</v>
      </c>
      <c r="BB18" s="1">
        <v>3786</v>
      </c>
    </row>
    <row r="19" spans="1:54" x14ac:dyDescent="0.25">
      <c r="A19" s="1" t="s">
        <v>140</v>
      </c>
      <c r="B19" s="1">
        <v>720</v>
      </c>
      <c r="C19" s="1">
        <v>600</v>
      </c>
      <c r="D19" s="1">
        <v>560</v>
      </c>
      <c r="E19" s="1">
        <v>1</v>
      </c>
      <c r="F19" s="1">
        <v>4888.5</v>
      </c>
      <c r="G19" s="1">
        <v>0.42150399999999999</v>
      </c>
      <c r="H19" s="1">
        <v>1</v>
      </c>
      <c r="I19" s="1">
        <v>0.30334499999999998</v>
      </c>
      <c r="J19" s="1">
        <v>0</v>
      </c>
      <c r="K19" s="1">
        <v>567.86183999999992</v>
      </c>
      <c r="L19" s="1"/>
      <c r="M19" s="1">
        <v>2748.5</v>
      </c>
      <c r="N19" s="1">
        <v>300</v>
      </c>
      <c r="O19" s="1" t="s">
        <v>754</v>
      </c>
      <c r="P19" s="1" t="s">
        <v>359</v>
      </c>
      <c r="Q19" s="1"/>
      <c r="R19" s="1"/>
      <c r="S19" s="1"/>
      <c r="T19" s="1"/>
      <c r="U19" s="1"/>
      <c r="V19" s="1" t="s">
        <v>1184</v>
      </c>
      <c r="W19" s="1">
        <v>1080</v>
      </c>
      <c r="X19" s="1">
        <v>1060</v>
      </c>
      <c r="Y19" s="1" t="s">
        <v>1099</v>
      </c>
      <c r="Z19" s="1">
        <v>0</v>
      </c>
      <c r="AA19" s="1" t="s">
        <v>1185</v>
      </c>
      <c r="AB19" s="28">
        <v>5456.3618399999996</v>
      </c>
      <c r="AR19" s="1" t="s">
        <v>1252</v>
      </c>
      <c r="AS19" s="1" t="s">
        <v>1241</v>
      </c>
      <c r="AT19" s="1" t="s">
        <v>1235</v>
      </c>
      <c r="AU19" s="1" t="s">
        <v>1253</v>
      </c>
      <c r="AV19" s="1">
        <v>1000</v>
      </c>
      <c r="AW19" s="1">
        <v>1000</v>
      </c>
      <c r="AX19" s="1">
        <v>1</v>
      </c>
      <c r="AY19" s="1" t="s">
        <v>1099</v>
      </c>
      <c r="AZ19" s="1">
        <v>0</v>
      </c>
      <c r="BA19" s="1">
        <v>1</v>
      </c>
      <c r="BB19" s="1">
        <v>4411</v>
      </c>
    </row>
    <row r="20" spans="1:54" x14ac:dyDescent="0.25">
      <c r="A20" s="1" t="s">
        <v>18</v>
      </c>
      <c r="B20" s="1">
        <v>720</v>
      </c>
      <c r="C20" s="1">
        <v>600</v>
      </c>
      <c r="D20" s="1">
        <v>560</v>
      </c>
      <c r="E20" s="1">
        <v>1</v>
      </c>
      <c r="F20" s="1">
        <v>23700.85</v>
      </c>
      <c r="G20" s="1">
        <v>0.41958400000000001</v>
      </c>
      <c r="H20" s="1">
        <v>0</v>
      </c>
      <c r="I20" s="1">
        <v>0</v>
      </c>
      <c r="J20" s="1">
        <v>0</v>
      </c>
      <c r="K20" s="1">
        <v>0</v>
      </c>
      <c r="L20" s="1"/>
      <c r="M20" s="1">
        <v>3620.8499999999995</v>
      </c>
      <c r="N20" s="1">
        <v>300</v>
      </c>
      <c r="O20" s="1" t="s">
        <v>754</v>
      </c>
      <c r="P20" s="1" t="s">
        <v>358</v>
      </c>
      <c r="Q20" s="1"/>
      <c r="R20" s="1"/>
      <c r="S20" s="1"/>
      <c r="T20" s="1"/>
      <c r="U20" s="1"/>
      <c r="V20" s="1" t="s">
        <v>1184</v>
      </c>
      <c r="W20" s="1">
        <v>1080</v>
      </c>
      <c r="X20" s="1">
        <v>19000</v>
      </c>
      <c r="Y20" s="1" t="s">
        <v>1099</v>
      </c>
      <c r="Z20" s="1">
        <v>0</v>
      </c>
      <c r="AA20" s="1" t="s">
        <v>1185</v>
      </c>
      <c r="AB20" s="28">
        <v>23700.85</v>
      </c>
      <c r="AR20" s="1" t="s">
        <v>184</v>
      </c>
      <c r="AS20" s="1" t="s">
        <v>353</v>
      </c>
      <c r="AT20" s="1" t="s">
        <v>213</v>
      </c>
      <c r="AU20" s="1" t="s">
        <v>198</v>
      </c>
      <c r="AV20" s="1">
        <v>1000</v>
      </c>
      <c r="AW20" s="1">
        <v>1000</v>
      </c>
      <c r="AX20" s="1">
        <v>1</v>
      </c>
      <c r="AY20" s="1" t="s">
        <v>1099</v>
      </c>
      <c r="AZ20" s="1">
        <v>0</v>
      </c>
      <c r="BA20" s="1">
        <v>1</v>
      </c>
      <c r="BB20" s="1">
        <v>7620</v>
      </c>
    </row>
    <row r="21" spans="1:54" x14ac:dyDescent="0.25">
      <c r="A21" s="1" t="s">
        <v>1</v>
      </c>
      <c r="B21" s="1">
        <v>720</v>
      </c>
      <c r="C21" s="1">
        <v>600</v>
      </c>
      <c r="D21" s="1">
        <v>560</v>
      </c>
      <c r="E21" s="1">
        <v>1</v>
      </c>
      <c r="F21" s="1">
        <v>19616.5</v>
      </c>
      <c r="G21" s="1">
        <v>0.42196800000000001</v>
      </c>
      <c r="H21" s="1">
        <v>0</v>
      </c>
      <c r="I21" s="1">
        <v>0</v>
      </c>
      <c r="J21" s="1">
        <v>0</v>
      </c>
      <c r="K21" s="1">
        <v>0</v>
      </c>
      <c r="L21" s="1"/>
      <c r="M21" s="1">
        <v>3226.5</v>
      </c>
      <c r="N21" s="1">
        <v>300</v>
      </c>
      <c r="O21" s="1" t="s">
        <v>754</v>
      </c>
      <c r="P21" s="1" t="s">
        <v>358</v>
      </c>
      <c r="Q21" s="1"/>
      <c r="R21" s="1"/>
      <c r="S21" s="1"/>
      <c r="T21" s="1"/>
      <c r="U21" s="1"/>
      <c r="V21" s="1" t="s">
        <v>1184</v>
      </c>
      <c r="W21" s="1">
        <v>1080</v>
      </c>
      <c r="X21" s="1">
        <v>15310</v>
      </c>
      <c r="Y21" s="1" t="s">
        <v>1099</v>
      </c>
      <c r="Z21" s="1">
        <v>0</v>
      </c>
      <c r="AA21" s="1" t="s">
        <v>1185</v>
      </c>
      <c r="AB21" s="28">
        <v>19616.5</v>
      </c>
      <c r="AR21" s="1" t="s">
        <v>1252</v>
      </c>
      <c r="AS21" s="1" t="s">
        <v>1241</v>
      </c>
      <c r="AT21" s="1" t="s">
        <v>1234</v>
      </c>
      <c r="AU21" s="1" t="s">
        <v>1253</v>
      </c>
      <c r="AV21" s="1">
        <v>1000</v>
      </c>
      <c r="AW21" s="1">
        <v>1000</v>
      </c>
      <c r="AX21" s="1">
        <v>1</v>
      </c>
      <c r="AY21" s="1" t="s">
        <v>1099</v>
      </c>
      <c r="AZ21" s="1">
        <v>0</v>
      </c>
      <c r="BA21" s="1">
        <v>1</v>
      </c>
      <c r="BB21" s="1">
        <v>4218</v>
      </c>
    </row>
    <row r="22" spans="1:54" x14ac:dyDescent="0.25">
      <c r="A22" s="1" t="s">
        <v>1</v>
      </c>
      <c r="B22" s="1">
        <v>720</v>
      </c>
      <c r="C22" s="1">
        <v>600</v>
      </c>
      <c r="D22" s="1">
        <v>560</v>
      </c>
      <c r="E22" s="1">
        <v>1</v>
      </c>
      <c r="F22" s="1">
        <v>6496.5</v>
      </c>
      <c r="G22" s="1">
        <v>0.42196800000000001</v>
      </c>
      <c r="H22" s="1">
        <v>0</v>
      </c>
      <c r="I22" s="1">
        <v>0</v>
      </c>
      <c r="J22" s="1">
        <v>0</v>
      </c>
      <c r="K22" s="1">
        <v>0</v>
      </c>
      <c r="L22" s="1"/>
      <c r="M22" s="1">
        <v>3226.5</v>
      </c>
      <c r="N22" s="1">
        <v>300</v>
      </c>
      <c r="O22" s="1" t="s">
        <v>754</v>
      </c>
      <c r="P22" s="1" t="s">
        <v>359</v>
      </c>
      <c r="Q22" s="1"/>
      <c r="R22" s="1"/>
      <c r="S22" s="1"/>
      <c r="T22" s="1"/>
      <c r="U22" s="1"/>
      <c r="V22" s="1" t="s">
        <v>1184</v>
      </c>
      <c r="W22" s="1">
        <v>1080</v>
      </c>
      <c r="X22" s="1">
        <v>2190</v>
      </c>
      <c r="Y22" s="1" t="s">
        <v>1099</v>
      </c>
      <c r="Z22" s="1">
        <v>0</v>
      </c>
      <c r="AA22" s="1" t="s">
        <v>1185</v>
      </c>
      <c r="AB22" s="28">
        <v>6496.5</v>
      </c>
      <c r="AR22" s="1" t="s">
        <v>184</v>
      </c>
      <c r="AS22" s="1" t="s">
        <v>301</v>
      </c>
      <c r="AT22" s="1" t="s">
        <v>213</v>
      </c>
      <c r="AU22" s="1" t="s">
        <v>198</v>
      </c>
      <c r="AV22" s="1">
        <v>4333</v>
      </c>
      <c r="AW22" s="1">
        <v>3323</v>
      </c>
      <c r="AX22" s="1">
        <v>14.398559000000001</v>
      </c>
      <c r="AY22" s="1" t="s">
        <v>1099</v>
      </c>
      <c r="AZ22" s="1">
        <v>0</v>
      </c>
      <c r="BA22" s="1">
        <v>1</v>
      </c>
      <c r="BB22" s="1">
        <v>96956.296666249997</v>
      </c>
    </row>
    <row r="23" spans="1:54" x14ac:dyDescent="0.25">
      <c r="A23" s="1" t="s">
        <v>20</v>
      </c>
      <c r="B23" s="1">
        <v>720</v>
      </c>
      <c r="C23" s="1">
        <v>600</v>
      </c>
      <c r="D23" s="1">
        <v>560</v>
      </c>
      <c r="E23" s="1">
        <v>1</v>
      </c>
      <c r="F23" s="1">
        <v>4404.7250000000004</v>
      </c>
      <c r="G23" s="1">
        <v>6.9136000000000003E-2</v>
      </c>
      <c r="H23" s="1">
        <v>0</v>
      </c>
      <c r="I23" s="1">
        <v>0</v>
      </c>
      <c r="J23" s="1">
        <v>0</v>
      </c>
      <c r="K23" s="1">
        <v>0</v>
      </c>
      <c r="L23" s="1"/>
      <c r="M23" s="1">
        <v>2754.7250000000004</v>
      </c>
      <c r="N23" s="1">
        <v>450</v>
      </c>
      <c r="O23" s="1" t="s">
        <v>754</v>
      </c>
      <c r="P23" s="1" t="s">
        <v>359</v>
      </c>
      <c r="Q23" s="1"/>
      <c r="R23" s="1"/>
      <c r="S23" s="1"/>
      <c r="T23" s="1"/>
      <c r="U23" s="1"/>
      <c r="V23" s="1" t="s">
        <v>1184</v>
      </c>
      <c r="W23" s="1">
        <v>1000</v>
      </c>
      <c r="X23" s="1">
        <v>650</v>
      </c>
      <c r="Y23" s="1" t="s">
        <v>1099</v>
      </c>
      <c r="Z23" s="1">
        <v>0</v>
      </c>
      <c r="AA23" s="1" t="s">
        <v>1185</v>
      </c>
      <c r="AB23" s="28">
        <v>4404.7250000000004</v>
      </c>
      <c r="AR23" s="1" t="s">
        <v>184</v>
      </c>
      <c r="AS23" s="1" t="s">
        <v>353</v>
      </c>
      <c r="AT23" s="1" t="s">
        <v>213</v>
      </c>
      <c r="AU23" s="1" t="s">
        <v>198</v>
      </c>
      <c r="AV23" s="1">
        <v>796</v>
      </c>
      <c r="AW23" s="1">
        <v>596</v>
      </c>
      <c r="AX23" s="1">
        <v>0.474416</v>
      </c>
      <c r="AY23" s="1" t="s">
        <v>1099</v>
      </c>
      <c r="AZ23" s="1">
        <v>0</v>
      </c>
      <c r="BA23" s="1">
        <v>1</v>
      </c>
      <c r="BB23" s="1">
        <v>3615.0499199999999</v>
      </c>
    </row>
    <row r="24" spans="1:54" x14ac:dyDescent="0.25">
      <c r="A24" s="1" t="s">
        <v>21</v>
      </c>
      <c r="B24" s="1">
        <v>720</v>
      </c>
      <c r="C24" s="1">
        <v>230</v>
      </c>
      <c r="D24" s="1">
        <v>600</v>
      </c>
      <c r="E24" s="1">
        <v>1</v>
      </c>
      <c r="F24" s="1">
        <v>7291</v>
      </c>
      <c r="G24" s="1">
        <v>0.21193600000000001</v>
      </c>
      <c r="H24" s="1">
        <v>0</v>
      </c>
      <c r="I24" s="1">
        <v>0</v>
      </c>
      <c r="J24" s="1">
        <v>0</v>
      </c>
      <c r="K24" s="1">
        <v>0</v>
      </c>
      <c r="L24" s="1"/>
      <c r="M24" s="1">
        <v>2891</v>
      </c>
      <c r="N24" s="1">
        <v>230</v>
      </c>
      <c r="O24" s="1" t="s">
        <v>754</v>
      </c>
      <c r="P24" s="1" t="s">
        <v>358</v>
      </c>
      <c r="Q24" s="1"/>
      <c r="R24" s="1"/>
      <c r="S24" s="1"/>
      <c r="T24" s="1"/>
      <c r="U24" s="1"/>
      <c r="V24" s="1" t="s">
        <v>1184</v>
      </c>
      <c r="W24" s="1">
        <v>1280</v>
      </c>
      <c r="X24" s="1">
        <v>3120</v>
      </c>
      <c r="Y24" s="1" t="s">
        <v>1099</v>
      </c>
      <c r="Z24" s="1">
        <v>0</v>
      </c>
      <c r="AA24" s="1" t="s">
        <v>1185</v>
      </c>
      <c r="AB24" s="28">
        <v>7291</v>
      </c>
    </row>
    <row r="25" spans="1:54" x14ac:dyDescent="0.25">
      <c r="A25" s="1" t="s">
        <v>21</v>
      </c>
      <c r="B25" s="1">
        <v>720</v>
      </c>
      <c r="C25" s="1">
        <v>230</v>
      </c>
      <c r="D25" s="1">
        <v>600</v>
      </c>
      <c r="E25" s="1">
        <v>1</v>
      </c>
      <c r="F25" s="1">
        <v>4551</v>
      </c>
      <c r="G25" s="1">
        <v>0.21193600000000001</v>
      </c>
      <c r="H25" s="1">
        <v>0</v>
      </c>
      <c r="I25" s="1">
        <v>0</v>
      </c>
      <c r="J25" s="1">
        <v>0</v>
      </c>
      <c r="K25" s="1">
        <v>0</v>
      </c>
      <c r="L25" s="1"/>
      <c r="M25" s="1">
        <v>2891</v>
      </c>
      <c r="N25" s="1">
        <v>230</v>
      </c>
      <c r="O25" s="1" t="s">
        <v>754</v>
      </c>
      <c r="P25" s="1" t="s">
        <v>360</v>
      </c>
      <c r="Q25" s="1"/>
      <c r="R25" s="1"/>
      <c r="S25" s="1"/>
      <c r="T25" s="1"/>
      <c r="U25" s="1"/>
      <c r="V25" s="1" t="s">
        <v>1184</v>
      </c>
      <c r="W25" s="1">
        <v>1280</v>
      </c>
      <c r="X25" s="1">
        <v>380</v>
      </c>
      <c r="Y25" s="1" t="s">
        <v>1099</v>
      </c>
      <c r="Z25" s="1">
        <v>0</v>
      </c>
      <c r="AA25" s="1" t="s">
        <v>1185</v>
      </c>
      <c r="AB25" s="28">
        <v>4551</v>
      </c>
    </row>
    <row r="26" spans="1:54" x14ac:dyDescent="0.25">
      <c r="A26" s="1" t="s">
        <v>22</v>
      </c>
      <c r="B26" s="1">
        <v>720</v>
      </c>
      <c r="C26" s="1">
        <v>315</v>
      </c>
      <c r="D26" s="1">
        <v>600</v>
      </c>
      <c r="E26" s="1">
        <v>1</v>
      </c>
      <c r="F26" s="1">
        <v>3430</v>
      </c>
      <c r="G26" s="1">
        <v>0</v>
      </c>
      <c r="H26" s="1">
        <v>1</v>
      </c>
      <c r="I26" s="1">
        <v>0</v>
      </c>
      <c r="J26" s="1">
        <v>0</v>
      </c>
      <c r="K26" s="1">
        <v>0</v>
      </c>
      <c r="L26" s="1"/>
      <c r="M26" s="1">
        <v>2240</v>
      </c>
      <c r="N26" s="1">
        <v>315</v>
      </c>
      <c r="O26" s="1" t="s">
        <v>1300</v>
      </c>
      <c r="P26" s="1" t="s">
        <v>358</v>
      </c>
      <c r="Q26" s="1"/>
      <c r="R26" s="1"/>
      <c r="S26" s="1"/>
      <c r="T26" s="1"/>
      <c r="U26" s="1"/>
      <c r="V26" s="1" t="s">
        <v>1184</v>
      </c>
      <c r="W26" s="1">
        <v>1190</v>
      </c>
      <c r="X26" s="1">
        <v>0</v>
      </c>
      <c r="Y26" s="1" t="s">
        <v>1099</v>
      </c>
      <c r="Z26" s="1">
        <v>0</v>
      </c>
      <c r="AA26" s="1" t="s">
        <v>1185</v>
      </c>
      <c r="AB26" s="28">
        <v>3430</v>
      </c>
    </row>
    <row r="27" spans="1:54" x14ac:dyDescent="0.25">
      <c r="A27" s="1" t="s">
        <v>23</v>
      </c>
      <c r="B27" s="1">
        <v>720</v>
      </c>
      <c r="C27" s="1">
        <v>315</v>
      </c>
      <c r="D27" s="1">
        <v>600</v>
      </c>
      <c r="E27" s="1">
        <v>1</v>
      </c>
      <c r="F27" s="1">
        <v>6320</v>
      </c>
      <c r="G27" s="1">
        <v>0.31718800000000003</v>
      </c>
      <c r="H27" s="1">
        <v>1</v>
      </c>
      <c r="I27" s="1">
        <v>0</v>
      </c>
      <c r="J27" s="1">
        <v>0</v>
      </c>
      <c r="K27" s="1">
        <v>0</v>
      </c>
      <c r="L27" s="1"/>
      <c r="M27" s="1">
        <v>2240</v>
      </c>
      <c r="N27" s="1">
        <v>315</v>
      </c>
      <c r="O27" s="1" t="s">
        <v>1300</v>
      </c>
      <c r="P27" s="1" t="s">
        <v>358</v>
      </c>
      <c r="Q27" s="1"/>
      <c r="R27" s="1"/>
      <c r="S27" s="1"/>
      <c r="T27" s="1"/>
      <c r="U27" s="1"/>
      <c r="V27" s="1" t="s">
        <v>1184</v>
      </c>
      <c r="W27" s="1">
        <v>1480</v>
      </c>
      <c r="X27" s="1">
        <v>2600</v>
      </c>
      <c r="Y27" s="1" t="s">
        <v>1099</v>
      </c>
      <c r="Z27" s="1">
        <v>0</v>
      </c>
      <c r="AA27" s="1" t="s">
        <v>1185</v>
      </c>
      <c r="AB27" s="28">
        <v>6320</v>
      </c>
    </row>
    <row r="28" spans="1:54" x14ac:dyDescent="0.25">
      <c r="A28" s="1" t="s">
        <v>24</v>
      </c>
      <c r="B28" s="1">
        <v>720</v>
      </c>
      <c r="C28" s="1">
        <v>600</v>
      </c>
      <c r="D28" s="1">
        <v>560</v>
      </c>
      <c r="E28" s="1">
        <v>1</v>
      </c>
      <c r="F28" s="1">
        <v>5546.8860000000004</v>
      </c>
      <c r="G28" s="1">
        <v>0.404088</v>
      </c>
      <c r="H28" s="1">
        <v>1</v>
      </c>
      <c r="I28" s="1">
        <v>0.30334499999999998</v>
      </c>
      <c r="J28" s="1">
        <v>0</v>
      </c>
      <c r="K28" s="1">
        <v>567.86183999999992</v>
      </c>
      <c r="L28" s="1"/>
      <c r="M28" s="1">
        <v>3076.8860000000004</v>
      </c>
      <c r="N28" s="1">
        <v>300</v>
      </c>
      <c r="O28" s="1" t="s">
        <v>754</v>
      </c>
      <c r="P28" s="1" t="s">
        <v>358</v>
      </c>
      <c r="Q28" s="1"/>
      <c r="R28" s="1"/>
      <c r="S28" s="1"/>
      <c r="T28" s="1"/>
      <c r="U28" s="1"/>
      <c r="V28" s="1" t="s">
        <v>1184</v>
      </c>
      <c r="W28" s="1">
        <v>1080</v>
      </c>
      <c r="X28" s="1">
        <v>1390</v>
      </c>
      <c r="Y28" s="1" t="s">
        <v>1099</v>
      </c>
      <c r="Z28" s="1">
        <v>0</v>
      </c>
      <c r="AA28" s="1" t="s">
        <v>1185</v>
      </c>
      <c r="AB28" s="28">
        <v>6114.74784</v>
      </c>
    </row>
    <row r="29" spans="1:54" x14ac:dyDescent="0.25">
      <c r="A29" s="1" t="s">
        <v>25</v>
      </c>
      <c r="B29" s="1">
        <v>720</v>
      </c>
      <c r="C29" s="1">
        <v>600</v>
      </c>
      <c r="D29" s="1">
        <v>560</v>
      </c>
      <c r="E29" s="1">
        <v>1</v>
      </c>
      <c r="F29" s="1">
        <v>6128.6360000000004</v>
      </c>
      <c r="G29" s="1">
        <v>0.40137600000000001</v>
      </c>
      <c r="H29" s="1">
        <v>1</v>
      </c>
      <c r="I29" s="1">
        <v>0.30334499999999998</v>
      </c>
      <c r="J29" s="1">
        <v>0</v>
      </c>
      <c r="K29" s="1">
        <v>567.86183999999992</v>
      </c>
      <c r="L29" s="1"/>
      <c r="M29" s="1">
        <v>2658.6360000000004</v>
      </c>
      <c r="N29" s="1">
        <v>300</v>
      </c>
      <c r="O29" s="1" t="s">
        <v>754</v>
      </c>
      <c r="P29" s="1" t="s">
        <v>358</v>
      </c>
      <c r="Q29" s="1"/>
      <c r="R29" s="1"/>
      <c r="S29" s="1"/>
      <c r="T29" s="1"/>
      <c r="U29" s="1"/>
      <c r="V29" s="1" t="s">
        <v>1184</v>
      </c>
      <c r="W29" s="1">
        <v>1080</v>
      </c>
      <c r="X29" s="1">
        <v>2390</v>
      </c>
      <c r="Y29" s="1" t="s">
        <v>1099</v>
      </c>
      <c r="Z29" s="1">
        <v>0</v>
      </c>
      <c r="AA29" s="1" t="s">
        <v>1185</v>
      </c>
      <c r="AB29" s="28">
        <v>6696.49784</v>
      </c>
    </row>
    <row r="30" spans="1:54" x14ac:dyDescent="0.25">
      <c r="A30" s="1" t="s">
        <v>26</v>
      </c>
      <c r="B30" s="1">
        <v>720</v>
      </c>
      <c r="C30" s="1">
        <v>600</v>
      </c>
      <c r="D30" s="1">
        <v>560</v>
      </c>
      <c r="E30" s="1">
        <v>1</v>
      </c>
      <c r="F30" s="1">
        <v>17825.498</v>
      </c>
      <c r="G30" s="1">
        <v>0.38024799999999997</v>
      </c>
      <c r="H30" s="1">
        <v>0</v>
      </c>
      <c r="I30" s="1">
        <v>0</v>
      </c>
      <c r="J30" s="1">
        <v>0</v>
      </c>
      <c r="K30" s="1">
        <v>0</v>
      </c>
      <c r="L30" s="1"/>
      <c r="M30" s="1">
        <v>4345.4979999999996</v>
      </c>
      <c r="N30" s="1">
        <v>300</v>
      </c>
      <c r="O30" s="1" t="s">
        <v>754</v>
      </c>
      <c r="P30" s="1" t="s">
        <v>358</v>
      </c>
      <c r="Q30" s="1"/>
      <c r="R30" s="1"/>
      <c r="S30" s="1"/>
      <c r="T30" s="1"/>
      <c r="U30" s="1"/>
      <c r="V30" s="1" t="s">
        <v>1184</v>
      </c>
      <c r="W30" s="1">
        <v>1080</v>
      </c>
      <c r="X30" s="1">
        <v>12400</v>
      </c>
      <c r="Y30" s="1" t="s">
        <v>1099</v>
      </c>
      <c r="Z30" s="1">
        <v>0</v>
      </c>
      <c r="AA30" s="1" t="s">
        <v>1185</v>
      </c>
      <c r="AB30" s="28">
        <v>17825.498</v>
      </c>
    </row>
    <row r="31" spans="1:54" x14ac:dyDescent="0.25">
      <c r="A31" s="1" t="s">
        <v>27</v>
      </c>
      <c r="B31" s="1">
        <v>720</v>
      </c>
      <c r="C31" s="1">
        <v>600</v>
      </c>
      <c r="D31" s="1">
        <v>560</v>
      </c>
      <c r="E31" s="1">
        <v>1</v>
      </c>
      <c r="F31" s="1">
        <v>20654.62</v>
      </c>
      <c r="G31" s="1">
        <v>0.37846000000000002</v>
      </c>
      <c r="H31" s="1">
        <v>0</v>
      </c>
      <c r="I31" s="1">
        <v>0</v>
      </c>
      <c r="J31" s="1">
        <v>0</v>
      </c>
      <c r="K31" s="1">
        <v>0</v>
      </c>
      <c r="L31" s="1"/>
      <c r="M31" s="1">
        <v>3484.62</v>
      </c>
      <c r="N31" s="1">
        <v>300</v>
      </c>
      <c r="O31" s="1" t="s">
        <v>754</v>
      </c>
      <c r="P31" s="1" t="s">
        <v>358</v>
      </c>
      <c r="Q31" s="1"/>
      <c r="R31" s="1"/>
      <c r="S31" s="1"/>
      <c r="T31" s="1"/>
      <c r="U31" s="1"/>
      <c r="V31" s="1" t="s">
        <v>1184</v>
      </c>
      <c r="W31" s="1">
        <v>1080</v>
      </c>
      <c r="X31" s="1">
        <v>16090</v>
      </c>
      <c r="Y31" s="1" t="s">
        <v>1099</v>
      </c>
      <c r="Z31" s="1">
        <v>0</v>
      </c>
      <c r="AA31" s="1" t="s">
        <v>1185</v>
      </c>
      <c r="AB31" s="28">
        <v>20654.62</v>
      </c>
    </row>
    <row r="32" spans="1:54" x14ac:dyDescent="0.25">
      <c r="A32" s="1" t="s">
        <v>695</v>
      </c>
      <c r="B32" s="1">
        <v>720</v>
      </c>
      <c r="C32" s="1">
        <v>450</v>
      </c>
      <c r="D32" s="1">
        <v>560</v>
      </c>
      <c r="E32" s="1">
        <v>1</v>
      </c>
      <c r="F32" s="1">
        <v>15301.718000000001</v>
      </c>
      <c r="G32" s="1">
        <v>0.30238799999999999</v>
      </c>
      <c r="H32" s="1">
        <v>0</v>
      </c>
      <c r="I32" s="1">
        <v>0</v>
      </c>
      <c r="J32" s="1">
        <v>0</v>
      </c>
      <c r="K32" s="1">
        <v>0</v>
      </c>
      <c r="L32" s="1"/>
      <c r="M32" s="1">
        <v>2441.7180000000003</v>
      </c>
      <c r="N32" s="1">
        <v>300</v>
      </c>
      <c r="O32" s="1" t="s">
        <v>754</v>
      </c>
      <c r="P32" s="1" t="s">
        <v>358</v>
      </c>
      <c r="Q32" s="1"/>
      <c r="R32" s="1"/>
      <c r="S32" s="1"/>
      <c r="T32" s="1"/>
      <c r="U32" s="1"/>
      <c r="V32" s="1" t="s">
        <v>1184</v>
      </c>
      <c r="W32" s="1">
        <v>1080</v>
      </c>
      <c r="X32" s="1">
        <v>11780</v>
      </c>
      <c r="Y32" s="1" t="s">
        <v>1099</v>
      </c>
      <c r="Z32" s="1">
        <v>0</v>
      </c>
      <c r="AA32" s="1" t="s">
        <v>1185</v>
      </c>
      <c r="AB32" s="28">
        <v>15301.718000000001</v>
      </c>
    </row>
    <row r="33" spans="1:28" x14ac:dyDescent="0.25">
      <c r="A33" s="1" t="s">
        <v>29</v>
      </c>
      <c r="B33" s="1">
        <v>720</v>
      </c>
      <c r="C33" s="1">
        <v>600</v>
      </c>
      <c r="D33" s="1">
        <v>560</v>
      </c>
      <c r="E33" s="1">
        <v>1</v>
      </c>
      <c r="F33" s="1">
        <v>5128.6360000000004</v>
      </c>
      <c r="G33" s="1">
        <v>0.404088</v>
      </c>
      <c r="H33" s="1">
        <v>0</v>
      </c>
      <c r="I33" s="1">
        <v>0</v>
      </c>
      <c r="J33" s="1">
        <v>0</v>
      </c>
      <c r="K33" s="1">
        <v>0</v>
      </c>
      <c r="L33" s="1"/>
      <c r="M33" s="1">
        <v>2658.6360000000004</v>
      </c>
      <c r="N33" s="1">
        <v>300</v>
      </c>
      <c r="O33" s="1" t="s">
        <v>754</v>
      </c>
      <c r="P33" s="1" t="s">
        <v>358</v>
      </c>
      <c r="Q33" s="1"/>
      <c r="R33" s="1"/>
      <c r="S33" s="1"/>
      <c r="T33" s="1"/>
      <c r="U33" s="1"/>
      <c r="V33" s="1" t="s">
        <v>1184</v>
      </c>
      <c r="W33" s="1">
        <v>1080</v>
      </c>
      <c r="X33" s="1">
        <v>1390</v>
      </c>
      <c r="Y33" s="1" t="s">
        <v>1099</v>
      </c>
      <c r="Z33" s="1">
        <v>0</v>
      </c>
      <c r="AA33" s="1" t="s">
        <v>1185</v>
      </c>
      <c r="AB33" s="28">
        <v>5128.6360000000004</v>
      </c>
    </row>
    <row r="34" spans="1:28" x14ac:dyDescent="0.25">
      <c r="A34" s="1" t="s">
        <v>30</v>
      </c>
      <c r="B34" s="1">
        <v>720</v>
      </c>
      <c r="C34" s="1">
        <v>600</v>
      </c>
      <c r="D34" s="1">
        <v>560</v>
      </c>
      <c r="E34" s="1">
        <v>1</v>
      </c>
      <c r="F34" s="1">
        <v>6128.6360000000004</v>
      </c>
      <c r="G34" s="1">
        <v>0.40137600000000001</v>
      </c>
      <c r="H34" s="1">
        <v>0</v>
      </c>
      <c r="I34" s="1">
        <v>0</v>
      </c>
      <c r="J34" s="1">
        <v>0</v>
      </c>
      <c r="K34" s="1">
        <v>0</v>
      </c>
      <c r="L34" s="1"/>
      <c r="M34" s="1">
        <v>2658.6360000000004</v>
      </c>
      <c r="N34" s="1">
        <v>300</v>
      </c>
      <c r="O34" s="1" t="s">
        <v>754</v>
      </c>
      <c r="P34" s="1" t="s">
        <v>358</v>
      </c>
      <c r="Q34" s="1"/>
      <c r="R34" s="1"/>
      <c r="S34" s="1"/>
      <c r="T34" s="1"/>
      <c r="U34" s="1"/>
      <c r="V34" s="1" t="s">
        <v>1184</v>
      </c>
      <c r="W34" s="1">
        <v>1080</v>
      </c>
      <c r="X34" s="1">
        <v>2390</v>
      </c>
      <c r="Y34" s="1" t="s">
        <v>1099</v>
      </c>
      <c r="Z34" s="1">
        <v>0</v>
      </c>
      <c r="AA34" s="1" t="s">
        <v>1185</v>
      </c>
      <c r="AB34" s="28">
        <v>6128.6360000000004</v>
      </c>
    </row>
    <row r="35" spans="1:28" x14ac:dyDescent="0.25">
      <c r="A35" s="1" t="s">
        <v>192</v>
      </c>
      <c r="B35" s="1">
        <v>720</v>
      </c>
      <c r="C35" s="1">
        <v>850</v>
      </c>
      <c r="D35" s="1">
        <v>560</v>
      </c>
      <c r="E35" s="1">
        <v>1</v>
      </c>
      <c r="F35" s="1">
        <v>11307.892999999998</v>
      </c>
      <c r="G35" s="1">
        <v>0.33628799999999998</v>
      </c>
      <c r="H35" s="1">
        <v>1</v>
      </c>
      <c r="I35" s="1">
        <v>0.43709500000000001</v>
      </c>
      <c r="J35" s="1">
        <v>0</v>
      </c>
      <c r="K35" s="1">
        <v>818.24184000000002</v>
      </c>
      <c r="L35" s="1"/>
      <c r="M35" s="1">
        <v>6937.8929999999982</v>
      </c>
      <c r="N35" s="1">
        <v>300</v>
      </c>
      <c r="O35" s="1" t="s">
        <v>754</v>
      </c>
      <c r="P35" s="1" t="s">
        <v>358</v>
      </c>
      <c r="Q35" s="1"/>
      <c r="R35" s="1"/>
      <c r="S35" s="1"/>
      <c r="T35" s="1"/>
      <c r="U35" s="1"/>
      <c r="V35" s="1" t="s">
        <v>1184</v>
      </c>
      <c r="W35" s="1">
        <v>1350</v>
      </c>
      <c r="X35" s="1">
        <v>3020</v>
      </c>
      <c r="Y35" s="1" t="s">
        <v>1099</v>
      </c>
      <c r="Z35" s="1">
        <v>0</v>
      </c>
      <c r="AA35" s="1" t="s">
        <v>1185</v>
      </c>
      <c r="AB35" s="28">
        <v>12126.134839999999</v>
      </c>
    </row>
    <row r="36" spans="1:28" x14ac:dyDescent="0.25">
      <c r="A36" s="1" t="s">
        <v>191</v>
      </c>
      <c r="B36" s="1">
        <v>720</v>
      </c>
      <c r="C36" s="1">
        <v>850</v>
      </c>
      <c r="D36" s="1">
        <v>560</v>
      </c>
      <c r="E36" s="1">
        <v>1</v>
      </c>
      <c r="F36" s="1">
        <v>11307.892999999998</v>
      </c>
      <c r="G36" s="1">
        <v>0.268488</v>
      </c>
      <c r="H36" s="1">
        <v>1</v>
      </c>
      <c r="I36" s="1">
        <v>0.43709500000000001</v>
      </c>
      <c r="J36" s="1">
        <v>0</v>
      </c>
      <c r="K36" s="1">
        <v>818.24184000000002</v>
      </c>
      <c r="L36" s="1"/>
      <c r="M36" s="1">
        <v>6937.8929999999982</v>
      </c>
      <c r="N36" s="1">
        <v>300</v>
      </c>
      <c r="O36" s="1" t="s">
        <v>754</v>
      </c>
      <c r="P36" s="1" t="s">
        <v>358</v>
      </c>
      <c r="Q36" s="1"/>
      <c r="R36" s="1"/>
      <c r="S36" s="1"/>
      <c r="T36" s="1"/>
      <c r="U36" s="1"/>
      <c r="V36" s="1" t="s">
        <v>1184</v>
      </c>
      <c r="W36" s="1">
        <v>1350</v>
      </c>
      <c r="X36" s="1">
        <v>3020</v>
      </c>
      <c r="Y36" s="1" t="s">
        <v>1099</v>
      </c>
      <c r="Z36" s="1">
        <v>0</v>
      </c>
      <c r="AA36" s="1" t="s">
        <v>1185</v>
      </c>
      <c r="AB36" s="28">
        <v>12126.134839999999</v>
      </c>
    </row>
    <row r="37" spans="1:28" x14ac:dyDescent="0.25">
      <c r="A37" s="1" t="s">
        <v>11</v>
      </c>
      <c r="B37" s="1">
        <v>720</v>
      </c>
      <c r="C37" s="1">
        <v>600</v>
      </c>
      <c r="D37" s="1">
        <v>560</v>
      </c>
      <c r="E37" s="1">
        <v>1</v>
      </c>
      <c r="F37" s="1">
        <v>5541.7000000000007</v>
      </c>
      <c r="G37" s="1">
        <v>0.42387200000000003</v>
      </c>
      <c r="H37" s="1">
        <v>1</v>
      </c>
      <c r="I37" s="1">
        <v>0.30334499999999998</v>
      </c>
      <c r="J37" s="1">
        <v>0</v>
      </c>
      <c r="K37" s="1">
        <v>567.86183999999992</v>
      </c>
      <c r="L37" s="1"/>
      <c r="M37" s="1">
        <v>2461.7000000000003</v>
      </c>
      <c r="N37" s="1">
        <v>300</v>
      </c>
      <c r="O37" s="1" t="s">
        <v>754</v>
      </c>
      <c r="P37" s="1" t="s">
        <v>358</v>
      </c>
      <c r="Q37" s="1"/>
      <c r="R37" s="1"/>
      <c r="S37" s="1"/>
      <c r="T37" s="1"/>
      <c r="U37" s="1"/>
      <c r="V37" s="1" t="s">
        <v>1184</v>
      </c>
      <c r="W37" s="1">
        <v>1080</v>
      </c>
      <c r="X37" s="1">
        <v>2000</v>
      </c>
      <c r="Y37" s="1" t="s">
        <v>1099</v>
      </c>
      <c r="Z37" s="1">
        <v>0</v>
      </c>
      <c r="AA37" s="1" t="s">
        <v>1185</v>
      </c>
      <c r="AB37" s="28">
        <v>6109.5618400000003</v>
      </c>
    </row>
    <row r="38" spans="1:28" x14ac:dyDescent="0.25">
      <c r="A38" s="1" t="s">
        <v>14</v>
      </c>
      <c r="B38" s="1">
        <v>720</v>
      </c>
      <c r="C38" s="1">
        <v>600</v>
      </c>
      <c r="D38" s="1">
        <v>315</v>
      </c>
      <c r="E38" s="1">
        <v>1</v>
      </c>
      <c r="F38" s="1">
        <v>5304.75</v>
      </c>
      <c r="G38" s="1">
        <v>0.42387200000000003</v>
      </c>
      <c r="H38" s="1">
        <v>0</v>
      </c>
      <c r="I38" s="1">
        <v>0.16442999999999999</v>
      </c>
      <c r="J38" s="1">
        <v>0</v>
      </c>
      <c r="K38" s="1">
        <v>0</v>
      </c>
      <c r="L38" s="1"/>
      <c r="M38" s="1">
        <v>2304.75</v>
      </c>
      <c r="N38" s="1">
        <v>450</v>
      </c>
      <c r="O38" s="1" t="s">
        <v>754</v>
      </c>
      <c r="P38" s="1" t="s">
        <v>358</v>
      </c>
      <c r="Q38" s="1"/>
      <c r="R38" s="1"/>
      <c r="S38" s="1"/>
      <c r="T38" s="1"/>
      <c r="U38" s="1"/>
      <c r="V38" s="1" t="s">
        <v>1184</v>
      </c>
      <c r="W38" s="1">
        <v>1000</v>
      </c>
      <c r="X38" s="1">
        <v>2000</v>
      </c>
      <c r="Y38" s="1" t="s">
        <v>1099</v>
      </c>
      <c r="Z38" s="1">
        <v>0</v>
      </c>
      <c r="AA38" s="1" t="s">
        <v>1185</v>
      </c>
      <c r="AB38" s="28">
        <v>5304.75</v>
      </c>
    </row>
    <row r="39" spans="1:28" x14ac:dyDescent="0.25">
      <c r="A39" s="1" t="s">
        <v>19</v>
      </c>
      <c r="B39" s="1">
        <v>720</v>
      </c>
      <c r="C39" s="1">
        <v>950</v>
      </c>
      <c r="D39" s="1">
        <v>525</v>
      </c>
      <c r="E39" s="1">
        <v>1</v>
      </c>
      <c r="F39" s="1">
        <v>16370.05</v>
      </c>
      <c r="G39" s="1">
        <v>0.67355200000000004</v>
      </c>
      <c r="H39" s="1">
        <v>0</v>
      </c>
      <c r="I39" s="1">
        <v>0</v>
      </c>
      <c r="J39" s="1">
        <v>0</v>
      </c>
      <c r="K39" s="1">
        <v>0</v>
      </c>
      <c r="L39" s="1"/>
      <c r="M39" s="1">
        <v>3670.0499999999988</v>
      </c>
      <c r="N39" s="1">
        <v>300</v>
      </c>
      <c r="O39" s="1" t="s">
        <v>754</v>
      </c>
      <c r="P39" s="1" t="s">
        <v>358</v>
      </c>
      <c r="Q39" s="1"/>
      <c r="R39" s="1"/>
      <c r="S39" s="1"/>
      <c r="T39" s="1"/>
      <c r="U39" s="1"/>
      <c r="V39" s="1" t="s">
        <v>1184</v>
      </c>
      <c r="W39" s="1">
        <v>1080</v>
      </c>
      <c r="X39" s="1">
        <v>11620</v>
      </c>
      <c r="Y39" s="1" t="s">
        <v>1099</v>
      </c>
      <c r="Z39" s="1">
        <v>0</v>
      </c>
      <c r="AA39" s="1" t="s">
        <v>1185</v>
      </c>
      <c r="AB39" s="28">
        <v>16370.05</v>
      </c>
    </row>
    <row r="40" spans="1:28" x14ac:dyDescent="0.25">
      <c r="A40" s="1" t="s">
        <v>188</v>
      </c>
      <c r="B40" s="1">
        <v>720</v>
      </c>
      <c r="C40" s="1">
        <v>850</v>
      </c>
      <c r="D40" s="1">
        <v>560</v>
      </c>
      <c r="E40" s="1">
        <v>1</v>
      </c>
      <c r="F40" s="1">
        <v>6945.25</v>
      </c>
      <c r="G40" s="1">
        <v>0.28353600000000001</v>
      </c>
      <c r="H40" s="1">
        <v>0</v>
      </c>
      <c r="I40" s="1">
        <v>0</v>
      </c>
      <c r="J40" s="1">
        <v>0</v>
      </c>
      <c r="K40" s="1">
        <v>0</v>
      </c>
      <c r="L40" s="1"/>
      <c r="M40" s="1">
        <v>3035.25</v>
      </c>
      <c r="N40" s="1">
        <v>750</v>
      </c>
      <c r="O40" s="1" t="s">
        <v>754</v>
      </c>
      <c r="P40" s="1" t="s">
        <v>358</v>
      </c>
      <c r="Q40" s="1"/>
      <c r="R40" s="1"/>
      <c r="S40" s="1"/>
      <c r="T40" s="1"/>
      <c r="U40" s="1"/>
      <c r="V40" s="1" t="s">
        <v>1184</v>
      </c>
      <c r="W40" s="1">
        <v>1280</v>
      </c>
      <c r="X40" s="1">
        <v>2630</v>
      </c>
      <c r="Y40" s="1" t="s">
        <v>1099</v>
      </c>
      <c r="Z40" s="1">
        <v>0</v>
      </c>
      <c r="AA40" s="1" t="s">
        <v>1185</v>
      </c>
      <c r="AB40" s="28">
        <v>6945.25</v>
      </c>
    </row>
    <row r="41" spans="1:28" x14ac:dyDescent="0.25">
      <c r="A41" s="1" t="s">
        <v>189</v>
      </c>
      <c r="B41" s="1">
        <v>720</v>
      </c>
      <c r="C41" s="1">
        <v>850</v>
      </c>
      <c r="D41" s="1">
        <v>560</v>
      </c>
      <c r="E41" s="1">
        <v>1</v>
      </c>
      <c r="F41" s="1">
        <v>6945.25</v>
      </c>
      <c r="G41" s="1">
        <v>0.35513600000000001</v>
      </c>
      <c r="H41" s="1">
        <v>0</v>
      </c>
      <c r="I41" s="1">
        <v>0</v>
      </c>
      <c r="J41" s="1">
        <v>0</v>
      </c>
      <c r="K41" s="1">
        <v>0</v>
      </c>
      <c r="L41" s="1"/>
      <c r="M41" s="1">
        <v>3035.25</v>
      </c>
      <c r="N41" s="1">
        <v>750</v>
      </c>
      <c r="O41" s="1" t="s">
        <v>754</v>
      </c>
      <c r="P41" s="1" t="s">
        <v>358</v>
      </c>
      <c r="Q41" s="1"/>
      <c r="R41" s="1"/>
      <c r="S41" s="1"/>
      <c r="T41" s="1"/>
      <c r="U41" s="1"/>
      <c r="V41" s="1" t="s">
        <v>1184</v>
      </c>
      <c r="W41" s="1">
        <v>1280</v>
      </c>
      <c r="X41" s="1">
        <v>2630</v>
      </c>
      <c r="Y41" s="1" t="s">
        <v>1099</v>
      </c>
      <c r="Z41" s="1">
        <v>0</v>
      </c>
      <c r="AA41" s="1" t="s">
        <v>1185</v>
      </c>
      <c r="AB41" s="28">
        <v>6945.25</v>
      </c>
    </row>
    <row r="42" spans="1:28" x14ac:dyDescent="0.25">
      <c r="A42" s="1" t="s">
        <v>2</v>
      </c>
      <c r="B42" s="1">
        <v>720</v>
      </c>
      <c r="C42" s="1">
        <v>600</v>
      </c>
      <c r="D42" s="1">
        <v>315</v>
      </c>
      <c r="E42" s="1">
        <v>1</v>
      </c>
      <c r="F42" s="1">
        <v>2574.4499999999998</v>
      </c>
      <c r="G42" s="1">
        <v>0</v>
      </c>
      <c r="H42" s="1">
        <v>0</v>
      </c>
      <c r="I42" s="1">
        <v>0.16442999999999999</v>
      </c>
      <c r="J42" s="1">
        <v>0</v>
      </c>
      <c r="K42" s="1">
        <v>0</v>
      </c>
      <c r="L42" s="1"/>
      <c r="M42" s="1">
        <v>1804.4499999999996</v>
      </c>
      <c r="N42" s="1">
        <v>300</v>
      </c>
      <c r="O42" s="1" t="s">
        <v>1304</v>
      </c>
      <c r="P42" s="1" t="s">
        <v>358</v>
      </c>
      <c r="Q42" s="1"/>
      <c r="R42" s="1"/>
      <c r="S42" s="1"/>
      <c r="T42" s="1"/>
      <c r="U42" s="1"/>
      <c r="V42" s="1" t="s">
        <v>1305</v>
      </c>
      <c r="W42" s="1">
        <v>770</v>
      </c>
      <c r="X42" s="1">
        <v>0</v>
      </c>
      <c r="Y42" s="1" t="s">
        <v>1099</v>
      </c>
      <c r="Z42" s="1">
        <v>0</v>
      </c>
      <c r="AA42" s="1" t="s">
        <v>1185</v>
      </c>
      <c r="AB42" s="1">
        <v>2574.4499999999998</v>
      </c>
    </row>
    <row r="43" spans="1:28" x14ac:dyDescent="0.25">
      <c r="A43" s="1" t="s">
        <v>2</v>
      </c>
      <c r="B43" s="1">
        <v>720</v>
      </c>
      <c r="C43" s="1">
        <v>600</v>
      </c>
      <c r="D43" s="1">
        <v>315</v>
      </c>
      <c r="E43" s="1">
        <v>1</v>
      </c>
      <c r="F43" s="1">
        <v>2574.4499999999998</v>
      </c>
      <c r="G43" s="1">
        <v>0</v>
      </c>
      <c r="H43" s="1">
        <v>1</v>
      </c>
      <c r="I43" s="1">
        <v>0.16442999999999999</v>
      </c>
      <c r="J43" s="1">
        <v>0</v>
      </c>
      <c r="K43" s="1">
        <v>307.81295999999998</v>
      </c>
      <c r="L43" s="1"/>
      <c r="M43" s="1">
        <v>1804.4499999999996</v>
      </c>
      <c r="N43" s="1">
        <v>300</v>
      </c>
      <c r="O43" s="1" t="s">
        <v>1304</v>
      </c>
      <c r="P43" s="1" t="s">
        <v>358</v>
      </c>
      <c r="Q43" s="1"/>
      <c r="R43" s="1"/>
      <c r="S43" s="1"/>
      <c r="T43" s="1"/>
      <c r="U43" s="1"/>
      <c r="V43" s="1" t="s">
        <v>1305</v>
      </c>
      <c r="W43" s="1">
        <v>770</v>
      </c>
      <c r="X43" s="1">
        <v>0</v>
      </c>
      <c r="Y43" s="1" t="s">
        <v>1099</v>
      </c>
      <c r="Z43" s="1">
        <v>0</v>
      </c>
      <c r="AA43" s="1" t="s">
        <v>1185</v>
      </c>
      <c r="AB43" s="1">
        <v>2882.26296</v>
      </c>
    </row>
    <row r="44" spans="1:28" x14ac:dyDescent="0.25">
      <c r="A44" s="1" t="s">
        <v>2</v>
      </c>
      <c r="B44" s="1">
        <v>960</v>
      </c>
      <c r="C44" s="1">
        <v>600</v>
      </c>
      <c r="D44" s="1">
        <v>315</v>
      </c>
      <c r="E44" s="1">
        <v>1</v>
      </c>
      <c r="F44" s="1">
        <v>2864.37</v>
      </c>
      <c r="G44" s="1">
        <v>0</v>
      </c>
      <c r="H44" s="1">
        <v>1</v>
      </c>
      <c r="I44" s="1">
        <v>0.16442999999999999</v>
      </c>
      <c r="J44" s="1">
        <v>0</v>
      </c>
      <c r="K44" s="1">
        <v>307.81295999999998</v>
      </c>
      <c r="L44" s="1"/>
      <c r="M44" s="1">
        <v>2094.37</v>
      </c>
      <c r="N44" s="1">
        <v>300</v>
      </c>
      <c r="O44" s="1" t="s">
        <v>1304</v>
      </c>
      <c r="P44" s="1" t="s">
        <v>358</v>
      </c>
      <c r="Q44" s="1"/>
      <c r="R44" s="1"/>
      <c r="S44" s="1"/>
      <c r="T44" s="1"/>
      <c r="U44" s="1"/>
      <c r="V44" s="1" t="s">
        <v>1305</v>
      </c>
      <c r="W44" s="1">
        <v>770</v>
      </c>
      <c r="X44" s="1">
        <v>0</v>
      </c>
      <c r="Y44" s="1" t="s">
        <v>1099</v>
      </c>
      <c r="Z44" s="1">
        <v>0</v>
      </c>
      <c r="AA44" s="1" t="s">
        <v>1185</v>
      </c>
      <c r="AB44" s="1">
        <v>3172.1829600000001</v>
      </c>
    </row>
    <row r="45" spans="1:28" x14ac:dyDescent="0.25">
      <c r="A45" s="1" t="s">
        <v>131</v>
      </c>
      <c r="B45" s="1">
        <v>720</v>
      </c>
      <c r="C45" s="1">
        <v>600</v>
      </c>
      <c r="D45" s="1">
        <v>315</v>
      </c>
      <c r="E45" s="1">
        <v>1</v>
      </c>
      <c r="F45" s="1">
        <v>3574.45</v>
      </c>
      <c r="G45" s="1">
        <v>0.426736</v>
      </c>
      <c r="H45" s="1">
        <v>1</v>
      </c>
      <c r="I45" s="1">
        <v>0.16442999999999999</v>
      </c>
      <c r="J45" s="1">
        <v>0</v>
      </c>
      <c r="K45" s="1">
        <v>307.81295999999998</v>
      </c>
      <c r="L45" s="1"/>
      <c r="M45" s="1">
        <v>1804.4499999999996</v>
      </c>
      <c r="N45" s="1">
        <v>300</v>
      </c>
      <c r="O45" s="1" t="s">
        <v>754</v>
      </c>
      <c r="P45" s="1" t="s">
        <v>358</v>
      </c>
      <c r="Q45" s="1"/>
      <c r="R45" s="1"/>
      <c r="S45" s="1"/>
      <c r="T45" s="1"/>
      <c r="U45" s="1"/>
      <c r="V45" s="1" t="s">
        <v>1305</v>
      </c>
      <c r="W45" s="1">
        <v>770</v>
      </c>
      <c r="X45" s="1">
        <v>1000</v>
      </c>
      <c r="Y45" s="1" t="s">
        <v>1099</v>
      </c>
      <c r="Z45" s="1">
        <v>0</v>
      </c>
      <c r="AA45" s="1" t="s">
        <v>1185</v>
      </c>
      <c r="AB45" s="1">
        <v>3882.26296</v>
      </c>
    </row>
    <row r="46" spans="1:28" x14ac:dyDescent="0.25">
      <c r="A46" s="1" t="s">
        <v>131</v>
      </c>
      <c r="B46" s="1">
        <v>720</v>
      </c>
      <c r="C46" s="1">
        <v>150</v>
      </c>
      <c r="D46" s="1">
        <v>315</v>
      </c>
      <c r="E46" s="1">
        <v>1</v>
      </c>
      <c r="F46" s="1">
        <v>3132.7750000000001</v>
      </c>
      <c r="G46" s="1">
        <v>0.104536</v>
      </c>
      <c r="H46" s="1">
        <v>1</v>
      </c>
      <c r="I46" s="1">
        <v>3.3930000000000002E-2</v>
      </c>
      <c r="J46" s="1">
        <v>0</v>
      </c>
      <c r="K46" s="1">
        <v>63.516960000000005</v>
      </c>
      <c r="L46" s="1"/>
      <c r="M46" s="1">
        <v>1362.7750000000001</v>
      </c>
      <c r="N46" s="1">
        <v>300</v>
      </c>
      <c r="O46" s="1" t="s">
        <v>754</v>
      </c>
      <c r="P46" s="1" t="s">
        <v>358</v>
      </c>
      <c r="Q46" s="1"/>
      <c r="R46" s="1"/>
      <c r="S46" s="1"/>
      <c r="T46" s="1"/>
      <c r="U46" s="1"/>
      <c r="V46" s="1" t="s">
        <v>1305</v>
      </c>
      <c r="W46" s="1">
        <v>770</v>
      </c>
      <c r="X46" s="1">
        <v>1000</v>
      </c>
      <c r="Y46" s="1" t="s">
        <v>1099</v>
      </c>
      <c r="Z46" s="1">
        <v>0</v>
      </c>
      <c r="AA46" s="1" t="s">
        <v>1185</v>
      </c>
      <c r="AB46" s="1">
        <v>3196.29196</v>
      </c>
    </row>
    <row r="47" spans="1:28" x14ac:dyDescent="0.25">
      <c r="A47" s="1" t="s">
        <v>0</v>
      </c>
      <c r="B47" s="1">
        <v>720</v>
      </c>
      <c r="C47" s="1">
        <v>150</v>
      </c>
      <c r="D47" s="1">
        <v>315</v>
      </c>
      <c r="E47" s="1">
        <v>1</v>
      </c>
      <c r="F47" s="1">
        <v>3199.1499999999996</v>
      </c>
      <c r="G47" s="1">
        <v>0.104536</v>
      </c>
      <c r="H47" s="1">
        <v>1</v>
      </c>
      <c r="I47" s="1">
        <v>3.3930000000000002E-2</v>
      </c>
      <c r="J47" s="1">
        <v>0</v>
      </c>
      <c r="K47" s="1">
        <v>63.516960000000005</v>
      </c>
      <c r="L47" s="1"/>
      <c r="M47" s="1">
        <v>1859.1499999999999</v>
      </c>
      <c r="N47" s="1">
        <v>300</v>
      </c>
      <c r="O47" s="1" t="s">
        <v>754</v>
      </c>
      <c r="P47" s="1" t="s">
        <v>360</v>
      </c>
      <c r="Q47" s="1"/>
      <c r="R47" s="1"/>
      <c r="S47" s="1"/>
      <c r="T47" s="1"/>
      <c r="U47" s="1"/>
      <c r="V47" s="1" t="s">
        <v>1184</v>
      </c>
      <c r="W47" s="1">
        <v>1080</v>
      </c>
      <c r="X47" s="1">
        <v>260</v>
      </c>
      <c r="Y47" s="1" t="s">
        <v>1099</v>
      </c>
      <c r="Z47" s="1">
        <v>0</v>
      </c>
      <c r="AA47" s="1" t="s">
        <v>1185</v>
      </c>
      <c r="AB47" s="1">
        <v>3262.6669599999996</v>
      </c>
    </row>
    <row r="48" spans="1:28" x14ac:dyDescent="0.25">
      <c r="A48" s="1" t="s">
        <v>132</v>
      </c>
      <c r="B48" s="1">
        <v>800</v>
      </c>
      <c r="C48" s="1">
        <v>600</v>
      </c>
      <c r="D48" s="1">
        <v>350</v>
      </c>
      <c r="E48" s="1">
        <v>1</v>
      </c>
      <c r="F48" s="1">
        <v>3886.9449999999997</v>
      </c>
      <c r="G48" s="1">
        <v>0.25985599999999998</v>
      </c>
      <c r="H48" s="1">
        <v>1</v>
      </c>
      <c r="I48" s="1">
        <v>0.18427499999999999</v>
      </c>
      <c r="J48" s="1">
        <v>0</v>
      </c>
      <c r="K48" s="1">
        <v>344.96280000000002</v>
      </c>
      <c r="L48" s="1"/>
      <c r="M48" s="1">
        <v>1916.9449999999997</v>
      </c>
      <c r="N48" s="1">
        <v>300</v>
      </c>
      <c r="O48" s="1" t="s">
        <v>754</v>
      </c>
      <c r="P48" s="1" t="s">
        <v>358</v>
      </c>
      <c r="Q48" s="1"/>
      <c r="R48" s="1"/>
      <c r="S48" s="1"/>
      <c r="T48" s="1"/>
      <c r="U48" s="1"/>
      <c r="V48" s="1" t="s">
        <v>1305</v>
      </c>
      <c r="W48" s="1">
        <v>970</v>
      </c>
      <c r="X48" s="1">
        <v>1000</v>
      </c>
      <c r="Y48" s="1" t="s">
        <v>1099</v>
      </c>
      <c r="Z48" s="1">
        <v>0</v>
      </c>
      <c r="AA48" s="1" t="s">
        <v>1185</v>
      </c>
      <c r="AB48" s="1">
        <v>4231.9078</v>
      </c>
    </row>
    <row r="49" spans="1:28" x14ac:dyDescent="0.25">
      <c r="A49" s="1" t="s">
        <v>133</v>
      </c>
      <c r="B49" s="1">
        <v>600</v>
      </c>
      <c r="C49" s="1">
        <v>600</v>
      </c>
      <c r="D49" s="1">
        <v>315</v>
      </c>
      <c r="E49" s="1">
        <v>1</v>
      </c>
      <c r="F49" s="1">
        <v>9369.49</v>
      </c>
      <c r="G49" s="1">
        <v>0.35521599999999998</v>
      </c>
      <c r="H49" s="1">
        <v>0</v>
      </c>
      <c r="I49" s="1">
        <v>0.16442999999999999</v>
      </c>
      <c r="J49" s="1">
        <v>0</v>
      </c>
      <c r="K49" s="1">
        <v>0</v>
      </c>
      <c r="L49" s="1"/>
      <c r="M49" s="1">
        <v>1659.4899999999993</v>
      </c>
      <c r="N49" s="1">
        <v>300</v>
      </c>
      <c r="O49" s="1" t="s">
        <v>754</v>
      </c>
      <c r="P49" s="1" t="s">
        <v>358</v>
      </c>
      <c r="Q49" s="1"/>
      <c r="R49" s="1"/>
      <c r="S49" s="1"/>
      <c r="T49" s="1"/>
      <c r="U49" s="1"/>
      <c r="V49" s="1" t="s">
        <v>1305</v>
      </c>
      <c r="W49" s="1">
        <v>770</v>
      </c>
      <c r="X49" s="1">
        <v>6940</v>
      </c>
      <c r="Y49" s="1" t="s">
        <v>1099</v>
      </c>
      <c r="Z49" s="1">
        <v>0</v>
      </c>
      <c r="AA49" s="1" t="s">
        <v>1185</v>
      </c>
      <c r="AB49" s="1">
        <v>9369.49</v>
      </c>
    </row>
    <row r="50" spans="1:28" x14ac:dyDescent="0.25">
      <c r="A50" s="1" t="s">
        <v>133</v>
      </c>
      <c r="B50" s="1">
        <v>360</v>
      </c>
      <c r="C50" s="1">
        <v>600</v>
      </c>
      <c r="D50" s="1">
        <v>315</v>
      </c>
      <c r="E50" s="1">
        <v>1</v>
      </c>
      <c r="F50" s="1">
        <v>8219.57</v>
      </c>
      <c r="G50" s="1">
        <v>0.212176</v>
      </c>
      <c r="H50" s="1">
        <v>0</v>
      </c>
      <c r="I50" s="1">
        <v>0.16442999999999999</v>
      </c>
      <c r="J50" s="1">
        <v>0</v>
      </c>
      <c r="K50" s="1">
        <v>0</v>
      </c>
      <c r="L50" s="1"/>
      <c r="M50" s="1">
        <v>1369.569999999999</v>
      </c>
      <c r="N50" s="1">
        <v>300</v>
      </c>
      <c r="O50" s="1" t="s">
        <v>754</v>
      </c>
      <c r="P50" s="1" t="s">
        <v>358</v>
      </c>
      <c r="Q50" s="1"/>
      <c r="R50" s="1"/>
      <c r="S50" s="1"/>
      <c r="T50" s="1"/>
      <c r="U50" s="1"/>
      <c r="V50" s="1" t="s">
        <v>1305</v>
      </c>
      <c r="W50" s="1">
        <v>770</v>
      </c>
      <c r="X50" s="1">
        <v>6080</v>
      </c>
      <c r="Y50" s="1" t="s">
        <v>1099</v>
      </c>
      <c r="Z50" s="1">
        <v>0</v>
      </c>
      <c r="AA50" s="1" t="s">
        <v>1185</v>
      </c>
      <c r="AB50" s="1">
        <v>8219.57</v>
      </c>
    </row>
    <row r="51" spans="1:28" x14ac:dyDescent="0.25">
      <c r="A51" s="1" t="s">
        <v>32</v>
      </c>
      <c r="B51" s="1">
        <v>720</v>
      </c>
      <c r="C51" s="1">
        <v>600</v>
      </c>
      <c r="D51" s="1">
        <v>315</v>
      </c>
      <c r="E51" s="1">
        <v>1</v>
      </c>
      <c r="F51" s="1">
        <v>16564.45</v>
      </c>
      <c r="G51" s="1">
        <v>0.42435200000000001</v>
      </c>
      <c r="H51" s="1">
        <v>1</v>
      </c>
      <c r="I51" s="1">
        <v>0.149121</v>
      </c>
      <c r="J51" s="1">
        <v>0</v>
      </c>
      <c r="K51" s="1">
        <v>279.15451200000001</v>
      </c>
      <c r="L51" s="1"/>
      <c r="M51" s="1">
        <v>1804.4499999999996</v>
      </c>
      <c r="N51" s="1">
        <v>300</v>
      </c>
      <c r="O51" s="1" t="s">
        <v>754</v>
      </c>
      <c r="P51" s="1" t="s">
        <v>358</v>
      </c>
      <c r="Q51" s="1"/>
      <c r="R51" s="1"/>
      <c r="S51" s="1"/>
      <c r="T51" s="1"/>
      <c r="U51" s="1"/>
      <c r="V51" s="1" t="s">
        <v>1305</v>
      </c>
      <c r="W51" s="1">
        <v>770</v>
      </c>
      <c r="X51" s="1">
        <v>13990</v>
      </c>
      <c r="Y51" s="1" t="s">
        <v>1099</v>
      </c>
      <c r="Z51" s="1">
        <v>0</v>
      </c>
      <c r="AA51" s="1" t="s">
        <v>1185</v>
      </c>
      <c r="AB51" s="1">
        <v>16843.604512000002</v>
      </c>
    </row>
    <row r="52" spans="1:28" x14ac:dyDescent="0.25">
      <c r="A52" s="1" t="s">
        <v>134</v>
      </c>
      <c r="B52" s="1">
        <v>600</v>
      </c>
      <c r="C52" s="1">
        <v>600</v>
      </c>
      <c r="D52" s="1">
        <v>350</v>
      </c>
      <c r="E52" s="1">
        <v>1</v>
      </c>
      <c r="F52" s="1">
        <v>8966.48</v>
      </c>
      <c r="G52" s="1">
        <v>0.140656</v>
      </c>
      <c r="H52" s="1">
        <v>0</v>
      </c>
      <c r="I52" s="1">
        <v>0</v>
      </c>
      <c r="J52" s="1">
        <v>0</v>
      </c>
      <c r="K52" s="1">
        <v>0</v>
      </c>
      <c r="L52" s="1"/>
      <c r="M52" s="1">
        <v>1916.4799999999996</v>
      </c>
      <c r="N52" s="1">
        <v>600</v>
      </c>
      <c r="O52" s="1" t="s">
        <v>754</v>
      </c>
      <c r="P52" s="1" t="s">
        <v>358</v>
      </c>
      <c r="Q52" s="1"/>
      <c r="R52" s="1"/>
      <c r="S52" s="1"/>
      <c r="T52" s="1"/>
      <c r="U52" s="1"/>
      <c r="V52" s="1" t="s">
        <v>1305</v>
      </c>
      <c r="W52" s="1">
        <v>970</v>
      </c>
      <c r="X52" s="1">
        <v>6080</v>
      </c>
      <c r="Y52" s="1" t="s">
        <v>1099</v>
      </c>
      <c r="Z52" s="1">
        <v>0</v>
      </c>
      <c r="AA52" s="1" t="s">
        <v>1185</v>
      </c>
      <c r="AB52" s="1">
        <v>8966.48</v>
      </c>
    </row>
    <row r="53" spans="1:28" x14ac:dyDescent="0.25">
      <c r="A53" s="1" t="s">
        <v>134</v>
      </c>
      <c r="B53" s="1">
        <v>800</v>
      </c>
      <c r="C53" s="1">
        <v>600</v>
      </c>
      <c r="D53" s="1">
        <v>350</v>
      </c>
      <c r="E53" s="1">
        <v>1</v>
      </c>
      <c r="F53" s="1">
        <v>9305.68</v>
      </c>
      <c r="G53" s="1">
        <v>0.25985599999999998</v>
      </c>
      <c r="H53" s="1">
        <v>0</v>
      </c>
      <c r="I53" s="1">
        <v>0</v>
      </c>
      <c r="J53" s="1">
        <v>0</v>
      </c>
      <c r="K53" s="1">
        <v>0</v>
      </c>
      <c r="L53" s="1"/>
      <c r="M53" s="1">
        <v>2255.6800000000003</v>
      </c>
      <c r="N53" s="1">
        <v>600</v>
      </c>
      <c r="O53" s="1" t="s">
        <v>754</v>
      </c>
      <c r="P53" s="1" t="s">
        <v>358</v>
      </c>
      <c r="Q53" s="1"/>
      <c r="R53" s="1"/>
      <c r="S53" s="1"/>
      <c r="T53" s="1"/>
      <c r="U53" s="1"/>
      <c r="V53" s="1" t="s">
        <v>1305</v>
      </c>
      <c r="W53" s="1">
        <v>970</v>
      </c>
      <c r="X53" s="1">
        <v>6080</v>
      </c>
      <c r="Y53" s="1" t="s">
        <v>1099</v>
      </c>
      <c r="Z53" s="1">
        <v>0</v>
      </c>
      <c r="AA53" s="1" t="s">
        <v>1185</v>
      </c>
      <c r="AB53" s="1">
        <v>9305.68</v>
      </c>
    </row>
    <row r="54" spans="1:28" x14ac:dyDescent="0.25">
      <c r="A54" s="1" t="s">
        <v>135</v>
      </c>
      <c r="B54" s="1">
        <v>720</v>
      </c>
      <c r="C54" s="1">
        <v>600</v>
      </c>
      <c r="D54" s="1">
        <v>315</v>
      </c>
      <c r="E54" s="1">
        <v>1</v>
      </c>
      <c r="F54" s="1">
        <v>4574.45</v>
      </c>
      <c r="G54" s="1">
        <v>0.42387200000000003</v>
      </c>
      <c r="H54" s="1">
        <v>1</v>
      </c>
      <c r="I54" s="1">
        <v>0.16442999999999999</v>
      </c>
      <c r="J54" s="1">
        <v>0</v>
      </c>
      <c r="K54" s="1">
        <v>307.81295999999998</v>
      </c>
      <c r="L54" s="1"/>
      <c r="M54" s="1">
        <v>1804.4499999999996</v>
      </c>
      <c r="N54" s="1">
        <v>300</v>
      </c>
      <c r="O54" s="1" t="s">
        <v>754</v>
      </c>
      <c r="P54" s="1" t="s">
        <v>358</v>
      </c>
      <c r="Q54" s="1"/>
      <c r="R54" s="1"/>
      <c r="S54" s="1"/>
      <c r="T54" s="1"/>
      <c r="U54" s="1"/>
      <c r="V54" s="1" t="s">
        <v>1305</v>
      </c>
      <c r="W54" s="1">
        <v>770</v>
      </c>
      <c r="X54" s="1">
        <v>2000</v>
      </c>
      <c r="Y54" s="1" t="s">
        <v>1099</v>
      </c>
      <c r="Z54" s="1">
        <v>0</v>
      </c>
      <c r="AA54" s="1" t="s">
        <v>1185</v>
      </c>
      <c r="AB54" s="1">
        <v>4882.26296</v>
      </c>
    </row>
    <row r="55" spans="1:28" x14ac:dyDescent="0.25">
      <c r="A55" s="1" t="s">
        <v>135</v>
      </c>
      <c r="B55" s="1">
        <v>960</v>
      </c>
      <c r="C55" s="1">
        <v>600</v>
      </c>
      <c r="D55" s="1">
        <v>315</v>
      </c>
      <c r="E55" s="1">
        <v>1</v>
      </c>
      <c r="F55" s="1">
        <v>4864.37</v>
      </c>
      <c r="G55" s="1">
        <v>0.56595200000000001</v>
      </c>
      <c r="H55" s="1">
        <v>1</v>
      </c>
      <c r="I55" s="1">
        <v>0.16442999999999999</v>
      </c>
      <c r="J55" s="1">
        <v>0</v>
      </c>
      <c r="K55" s="1">
        <v>307.81295999999998</v>
      </c>
      <c r="L55" s="1"/>
      <c r="M55" s="1">
        <v>2094.37</v>
      </c>
      <c r="N55" s="1">
        <v>300</v>
      </c>
      <c r="O55" s="1" t="s">
        <v>754</v>
      </c>
      <c r="P55" s="1" t="s">
        <v>358</v>
      </c>
      <c r="Q55" s="1"/>
      <c r="R55" s="1"/>
      <c r="S55" s="1"/>
      <c r="T55" s="1"/>
      <c r="U55" s="1"/>
      <c r="V55" s="1" t="s">
        <v>1305</v>
      </c>
      <c r="W55" s="1">
        <v>770</v>
      </c>
      <c r="X55" s="1">
        <v>2000</v>
      </c>
      <c r="Y55" s="1" t="s">
        <v>1099</v>
      </c>
      <c r="Z55" s="1">
        <v>0</v>
      </c>
      <c r="AA55" s="1" t="s">
        <v>1185</v>
      </c>
      <c r="AB55" s="1">
        <v>5172.1829600000001</v>
      </c>
    </row>
    <row r="56" spans="1:28" x14ac:dyDescent="0.25">
      <c r="A56" s="1" t="s">
        <v>797</v>
      </c>
      <c r="B56" s="1">
        <v>720</v>
      </c>
      <c r="C56" s="1">
        <v>850</v>
      </c>
      <c r="D56" s="1">
        <v>560</v>
      </c>
      <c r="E56" s="1">
        <v>1</v>
      </c>
      <c r="F56" s="1">
        <v>7009.25</v>
      </c>
      <c r="G56" s="1">
        <v>0.35513600000000001</v>
      </c>
      <c r="H56" s="1">
        <v>0</v>
      </c>
      <c r="I56" s="1">
        <v>0.43709500000000001</v>
      </c>
      <c r="J56" s="1">
        <v>0</v>
      </c>
      <c r="K56" s="1">
        <v>0</v>
      </c>
      <c r="L56" s="1"/>
      <c r="M56" s="1">
        <v>2999.2499999999995</v>
      </c>
      <c r="N56" s="1">
        <v>600</v>
      </c>
      <c r="O56" s="1" t="s">
        <v>754</v>
      </c>
      <c r="P56" s="1" t="s">
        <v>358</v>
      </c>
      <c r="Q56" s="1"/>
      <c r="R56" s="1"/>
      <c r="S56" s="1"/>
      <c r="T56" s="1"/>
      <c r="U56" s="1"/>
      <c r="V56" s="1" t="s">
        <v>1305</v>
      </c>
      <c r="W56" s="1">
        <v>1360</v>
      </c>
      <c r="X56" s="1">
        <v>2650</v>
      </c>
      <c r="Y56" s="1" t="s">
        <v>1099</v>
      </c>
      <c r="Z56" s="1">
        <v>0</v>
      </c>
      <c r="AA56" s="1" t="s">
        <v>1185</v>
      </c>
      <c r="AB56" s="1">
        <v>7009.25</v>
      </c>
    </row>
    <row r="57" spans="1:28" x14ac:dyDescent="0.25">
      <c r="A57" s="1" t="s">
        <v>797</v>
      </c>
      <c r="B57" s="1">
        <v>720</v>
      </c>
      <c r="C57" s="1">
        <v>850</v>
      </c>
      <c r="D57" s="1">
        <v>315</v>
      </c>
      <c r="E57" s="1">
        <v>1</v>
      </c>
      <c r="F57" s="1">
        <v>7009.25</v>
      </c>
      <c r="G57" s="1">
        <v>0.35513600000000001</v>
      </c>
      <c r="H57" s="1">
        <v>0</v>
      </c>
      <c r="I57" s="1">
        <v>0.23693</v>
      </c>
      <c r="J57" s="1">
        <v>0</v>
      </c>
      <c r="K57" s="1">
        <v>0</v>
      </c>
      <c r="L57" s="1"/>
      <c r="M57" s="1">
        <v>2999.2499999999995</v>
      </c>
      <c r="N57" s="1">
        <v>600</v>
      </c>
      <c r="O57" s="1" t="s">
        <v>754</v>
      </c>
      <c r="P57" s="1" t="s">
        <v>358</v>
      </c>
      <c r="Q57" s="1"/>
      <c r="R57" s="1"/>
      <c r="S57" s="1"/>
      <c r="T57" s="1"/>
      <c r="U57" s="1"/>
      <c r="V57" s="1" t="s">
        <v>1305</v>
      </c>
      <c r="W57" s="1">
        <v>1360</v>
      </c>
      <c r="X57" s="1">
        <v>2650</v>
      </c>
      <c r="Y57" s="1" t="s">
        <v>1099</v>
      </c>
      <c r="Z57" s="1">
        <v>0</v>
      </c>
      <c r="AA57" s="1" t="s">
        <v>1185</v>
      </c>
      <c r="AB57" s="1">
        <v>7009.25</v>
      </c>
    </row>
    <row r="58" spans="1:28" x14ac:dyDescent="0.25">
      <c r="A58" s="1" t="s">
        <v>34</v>
      </c>
      <c r="B58" s="1">
        <v>720</v>
      </c>
      <c r="C58" s="1">
        <v>600</v>
      </c>
      <c r="D58" s="1">
        <v>315</v>
      </c>
      <c r="E58" s="1">
        <v>1</v>
      </c>
      <c r="F58" s="1">
        <v>4781.62</v>
      </c>
      <c r="G58" s="1">
        <v>0.426736</v>
      </c>
      <c r="H58" s="1">
        <v>1</v>
      </c>
      <c r="I58" s="1">
        <v>9.8208000000000004E-2</v>
      </c>
      <c r="J58" s="1">
        <v>0</v>
      </c>
      <c r="K58" s="1">
        <v>183.84537600000002</v>
      </c>
      <c r="L58" s="1"/>
      <c r="M58" s="1">
        <v>2801.62</v>
      </c>
      <c r="N58" s="1">
        <v>500</v>
      </c>
      <c r="O58" s="1" t="s">
        <v>754</v>
      </c>
      <c r="P58" s="1" t="s">
        <v>358</v>
      </c>
      <c r="Q58" s="1"/>
      <c r="R58" s="1"/>
      <c r="S58" s="1"/>
      <c r="T58" s="1"/>
      <c r="U58" s="1"/>
      <c r="V58" s="1" t="s">
        <v>1305</v>
      </c>
      <c r="W58" s="1">
        <v>980</v>
      </c>
      <c r="X58" s="1">
        <v>1000</v>
      </c>
      <c r="Y58" s="1" t="s">
        <v>1099</v>
      </c>
      <c r="Z58" s="1">
        <v>0</v>
      </c>
      <c r="AA58" s="1" t="s">
        <v>1185</v>
      </c>
      <c r="AB58" s="1">
        <v>4965.4653760000001</v>
      </c>
    </row>
    <row r="59" spans="1:28" x14ac:dyDescent="0.25">
      <c r="A59" s="1" t="s">
        <v>34</v>
      </c>
      <c r="B59" s="1">
        <v>960</v>
      </c>
      <c r="C59" s="1">
        <v>600</v>
      </c>
      <c r="D59" s="1">
        <v>315</v>
      </c>
      <c r="E59" s="1">
        <v>1</v>
      </c>
      <c r="F59" s="1">
        <v>5860.7399999999989</v>
      </c>
      <c r="G59" s="1">
        <v>0.56977599999999995</v>
      </c>
      <c r="H59" s="1">
        <v>2</v>
      </c>
      <c r="I59" s="1">
        <v>9.8208000000000004E-2</v>
      </c>
      <c r="J59" s="1">
        <v>0</v>
      </c>
      <c r="K59" s="1">
        <v>367.69075200000003</v>
      </c>
      <c r="L59" s="1"/>
      <c r="M59" s="1">
        <v>3380.7399999999989</v>
      </c>
      <c r="N59" s="1">
        <v>500</v>
      </c>
      <c r="O59" s="1" t="s">
        <v>754</v>
      </c>
      <c r="P59" s="1" t="s">
        <v>358</v>
      </c>
      <c r="Q59" s="1"/>
      <c r="R59" s="1"/>
      <c r="S59" s="1"/>
      <c r="T59" s="1"/>
      <c r="U59" s="1"/>
      <c r="V59" s="1" t="s">
        <v>1305</v>
      </c>
      <c r="W59" s="1">
        <v>980</v>
      </c>
      <c r="X59" s="1">
        <v>1500</v>
      </c>
      <c r="Y59" s="1" t="s">
        <v>1099</v>
      </c>
      <c r="Z59" s="1">
        <v>0</v>
      </c>
      <c r="AA59" s="1" t="s">
        <v>1185</v>
      </c>
      <c r="AB59" s="1">
        <v>6228.4307519999993</v>
      </c>
    </row>
    <row r="60" spans="1:28" x14ac:dyDescent="0.25">
      <c r="A60" s="1" t="s">
        <v>34</v>
      </c>
      <c r="B60" s="1">
        <v>720</v>
      </c>
      <c r="C60" s="1">
        <v>600</v>
      </c>
      <c r="D60" s="1">
        <v>315</v>
      </c>
      <c r="E60" s="1">
        <v>1</v>
      </c>
      <c r="F60" s="1">
        <v>4781.62</v>
      </c>
      <c r="G60" s="1">
        <v>0.426736</v>
      </c>
      <c r="H60" s="1">
        <v>1</v>
      </c>
      <c r="I60" s="1">
        <v>9.8208000000000004E-2</v>
      </c>
      <c r="J60" s="1">
        <v>0</v>
      </c>
      <c r="K60" s="1">
        <v>183.84537600000002</v>
      </c>
      <c r="L60" s="1"/>
      <c r="M60" s="1">
        <v>2801.62</v>
      </c>
      <c r="N60" s="1">
        <v>500</v>
      </c>
      <c r="O60" s="1" t="s">
        <v>754</v>
      </c>
      <c r="P60" s="1" t="s">
        <v>358</v>
      </c>
      <c r="Q60" s="1"/>
      <c r="R60" s="1"/>
      <c r="S60" s="1"/>
      <c r="T60" s="1"/>
      <c r="U60" s="1"/>
      <c r="V60" s="1" t="s">
        <v>1305</v>
      </c>
      <c r="W60" s="1">
        <v>980</v>
      </c>
      <c r="X60" s="1">
        <v>1000</v>
      </c>
      <c r="Y60" s="1" t="s">
        <v>1099</v>
      </c>
      <c r="Z60" s="1">
        <v>0</v>
      </c>
      <c r="AA60" s="1" t="s">
        <v>1185</v>
      </c>
      <c r="AB60" s="1">
        <v>4965.4653760000001</v>
      </c>
    </row>
    <row r="61" spans="1:28" x14ac:dyDescent="0.25">
      <c r="A61" s="1" t="s">
        <v>35</v>
      </c>
      <c r="B61" s="1">
        <v>720</v>
      </c>
      <c r="C61" s="1">
        <v>600</v>
      </c>
      <c r="D61" s="1">
        <v>315</v>
      </c>
      <c r="E61" s="1">
        <v>1</v>
      </c>
      <c r="F61" s="1">
        <v>5781.62</v>
      </c>
      <c r="G61" s="1">
        <v>0.42387200000000003</v>
      </c>
      <c r="H61" s="1">
        <v>1</v>
      </c>
      <c r="I61" s="1">
        <v>9.8208000000000004E-2</v>
      </c>
      <c r="J61" s="1">
        <v>0</v>
      </c>
      <c r="K61" s="1">
        <v>183.84537600000002</v>
      </c>
      <c r="L61" s="1"/>
      <c r="M61" s="1">
        <v>2801.62</v>
      </c>
      <c r="N61" s="1">
        <v>500</v>
      </c>
      <c r="O61" s="1" t="s">
        <v>754</v>
      </c>
      <c r="P61" s="1" t="s">
        <v>358</v>
      </c>
      <c r="Q61" s="1"/>
      <c r="R61" s="1"/>
      <c r="S61" s="1"/>
      <c r="T61" s="1"/>
      <c r="U61" s="1"/>
      <c r="V61" s="1" t="s">
        <v>1305</v>
      </c>
      <c r="W61" s="1">
        <v>980</v>
      </c>
      <c r="X61" s="1">
        <v>2000</v>
      </c>
      <c r="Y61" s="1" t="s">
        <v>1099</v>
      </c>
      <c r="Z61" s="1">
        <v>0</v>
      </c>
      <c r="AA61" s="1" t="s">
        <v>1185</v>
      </c>
      <c r="AB61" s="1">
        <v>5965.4653760000001</v>
      </c>
    </row>
    <row r="62" spans="1:28" x14ac:dyDescent="0.25">
      <c r="A62" s="1" t="s">
        <v>35</v>
      </c>
      <c r="B62" s="1">
        <v>960</v>
      </c>
      <c r="C62" s="1">
        <v>600</v>
      </c>
      <c r="D62" s="1">
        <v>315</v>
      </c>
      <c r="E62" s="1">
        <v>1</v>
      </c>
      <c r="F62" s="1">
        <v>7360.7399999999989</v>
      </c>
      <c r="G62" s="1">
        <v>0.56595200000000001</v>
      </c>
      <c r="H62" s="1">
        <v>2</v>
      </c>
      <c r="I62" s="1">
        <v>9.8208000000000004E-2</v>
      </c>
      <c r="J62" s="1">
        <v>0</v>
      </c>
      <c r="K62" s="1">
        <v>367.69075200000003</v>
      </c>
      <c r="L62" s="1"/>
      <c r="M62" s="1">
        <v>3380.7399999999989</v>
      </c>
      <c r="N62" s="1">
        <v>500</v>
      </c>
      <c r="O62" s="1" t="s">
        <v>754</v>
      </c>
      <c r="P62" s="1" t="s">
        <v>358</v>
      </c>
      <c r="Q62" s="1"/>
      <c r="R62" s="1"/>
      <c r="S62" s="1"/>
      <c r="T62" s="1"/>
      <c r="U62" s="1"/>
      <c r="V62" s="1" t="s">
        <v>1305</v>
      </c>
      <c r="W62" s="1">
        <v>980</v>
      </c>
      <c r="X62" s="1">
        <v>3000</v>
      </c>
      <c r="Y62" s="1" t="s">
        <v>1099</v>
      </c>
      <c r="Z62" s="1">
        <v>0</v>
      </c>
      <c r="AA62" s="1" t="s">
        <v>1185</v>
      </c>
      <c r="AB62" s="1">
        <v>7728.4307519999993</v>
      </c>
    </row>
    <row r="63" spans="1:28" x14ac:dyDescent="0.25">
      <c r="A63" s="1" t="s">
        <v>36</v>
      </c>
      <c r="B63" s="1">
        <v>960</v>
      </c>
      <c r="C63" s="1">
        <v>600</v>
      </c>
      <c r="D63" s="1">
        <v>600</v>
      </c>
      <c r="E63" s="1">
        <v>1</v>
      </c>
      <c r="F63" s="1">
        <v>4365.76</v>
      </c>
      <c r="G63" s="1">
        <v>0.36136800000000002</v>
      </c>
      <c r="H63" s="1">
        <v>3</v>
      </c>
      <c r="I63" s="1">
        <v>0.31584400000000001</v>
      </c>
      <c r="J63" s="1">
        <v>0</v>
      </c>
      <c r="K63" s="1">
        <v>1773.779904</v>
      </c>
      <c r="L63" s="1"/>
      <c r="M63" s="1">
        <v>3015.76</v>
      </c>
      <c r="N63" s="1">
        <v>600</v>
      </c>
      <c r="O63" s="1" t="s">
        <v>754</v>
      </c>
      <c r="P63" s="1" t="s">
        <v>359</v>
      </c>
      <c r="Q63" s="1"/>
      <c r="R63" s="1"/>
      <c r="S63" s="1"/>
      <c r="T63" s="1"/>
      <c r="U63" s="1"/>
      <c r="V63" s="1" t="s">
        <v>1305</v>
      </c>
      <c r="W63" s="1">
        <v>970</v>
      </c>
      <c r="X63" s="1">
        <v>380</v>
      </c>
      <c r="Y63" s="1" t="s">
        <v>1099</v>
      </c>
      <c r="Z63" s="1">
        <v>0</v>
      </c>
      <c r="AA63" s="1" t="s">
        <v>1185</v>
      </c>
      <c r="AB63" s="1">
        <v>6139.5399040000002</v>
      </c>
    </row>
    <row r="64" spans="1:28" x14ac:dyDescent="0.25">
      <c r="A64" s="1" t="s">
        <v>696</v>
      </c>
      <c r="B64" s="1">
        <v>720</v>
      </c>
      <c r="C64" s="1">
        <v>450</v>
      </c>
      <c r="D64" s="1">
        <v>315</v>
      </c>
      <c r="E64" s="1">
        <v>1</v>
      </c>
      <c r="F64" s="1">
        <v>4620</v>
      </c>
      <c r="G64" s="1">
        <v>0.31933600000000001</v>
      </c>
      <c r="H64" s="1">
        <v>0</v>
      </c>
      <c r="I64" s="1">
        <v>0.12093</v>
      </c>
      <c r="J64" s="1">
        <v>0</v>
      </c>
      <c r="K64" s="1">
        <v>0</v>
      </c>
      <c r="L64" s="1"/>
      <c r="M64" s="1">
        <v>1460</v>
      </c>
      <c r="N64" s="1">
        <v>450</v>
      </c>
      <c r="O64" s="1" t="s">
        <v>754</v>
      </c>
      <c r="P64" s="1" t="s">
        <v>358</v>
      </c>
      <c r="Q64" s="1"/>
      <c r="R64" s="1"/>
      <c r="S64" s="1"/>
      <c r="T64" s="1"/>
      <c r="U64" s="1"/>
      <c r="V64" s="1" t="s">
        <v>1305</v>
      </c>
      <c r="W64" s="1">
        <v>570</v>
      </c>
      <c r="X64" s="1">
        <v>2590</v>
      </c>
      <c r="Y64" s="1" t="s">
        <v>1099</v>
      </c>
      <c r="Z64" s="1">
        <v>0</v>
      </c>
      <c r="AA64" s="1" t="s">
        <v>1185</v>
      </c>
      <c r="AB64" s="1">
        <v>4620</v>
      </c>
    </row>
    <row r="65" spans="1:28" x14ac:dyDescent="0.25">
      <c r="A65" s="1" t="s">
        <v>696</v>
      </c>
      <c r="B65" s="1">
        <v>960</v>
      </c>
      <c r="C65" s="1">
        <v>450</v>
      </c>
      <c r="D65" s="1">
        <v>315</v>
      </c>
      <c r="E65" s="1">
        <v>1</v>
      </c>
      <c r="F65" s="1">
        <v>4952.88</v>
      </c>
      <c r="G65" s="1">
        <v>0.42637599999999998</v>
      </c>
      <c r="H65" s="1">
        <v>1</v>
      </c>
      <c r="I65" s="1">
        <v>0.12093</v>
      </c>
      <c r="J65" s="1">
        <v>0</v>
      </c>
      <c r="K65" s="1">
        <v>226.38095999999999</v>
      </c>
      <c r="L65" s="1"/>
      <c r="M65" s="1">
        <v>1792.88</v>
      </c>
      <c r="N65" s="1">
        <v>450</v>
      </c>
      <c r="O65" s="1" t="s">
        <v>754</v>
      </c>
      <c r="P65" s="1" t="s">
        <v>358</v>
      </c>
      <c r="Q65" s="1"/>
      <c r="R65" s="1"/>
      <c r="S65" s="1"/>
      <c r="T65" s="1"/>
      <c r="U65" s="1"/>
      <c r="V65" s="1" t="s">
        <v>1305</v>
      </c>
      <c r="W65" s="1">
        <v>570</v>
      </c>
      <c r="X65" s="1">
        <v>2590</v>
      </c>
      <c r="Y65" s="1" t="s">
        <v>1099</v>
      </c>
      <c r="Z65" s="1">
        <v>0</v>
      </c>
      <c r="AA65" s="1" t="s">
        <v>1185</v>
      </c>
      <c r="AB65" s="1">
        <v>5179.2609600000005</v>
      </c>
    </row>
    <row r="66" spans="1:28" x14ac:dyDescent="0.25">
      <c r="A66" s="1" t="s">
        <v>697</v>
      </c>
      <c r="B66" s="1">
        <v>720</v>
      </c>
      <c r="C66" s="1">
        <v>596</v>
      </c>
      <c r="D66" s="1">
        <v>315</v>
      </c>
      <c r="E66" s="1">
        <v>1</v>
      </c>
      <c r="F66" s="1">
        <v>8088.5540000000001</v>
      </c>
      <c r="G66" s="1">
        <v>0.42387200000000003</v>
      </c>
      <c r="H66" s="1">
        <v>2</v>
      </c>
      <c r="I66" s="1">
        <v>0.16327</v>
      </c>
      <c r="J66" s="1">
        <v>0</v>
      </c>
      <c r="K66" s="1">
        <v>611.28287999999998</v>
      </c>
      <c r="L66" s="1"/>
      <c r="M66" s="1">
        <v>1598.5539999999999</v>
      </c>
      <c r="N66" s="1">
        <v>450</v>
      </c>
      <c r="O66" s="1" t="s">
        <v>754</v>
      </c>
      <c r="P66" s="1" t="s">
        <v>358</v>
      </c>
      <c r="Q66" s="1"/>
      <c r="R66" s="1"/>
      <c r="S66" s="1"/>
      <c r="T66" s="1"/>
      <c r="U66" s="1"/>
      <c r="V66" s="1" t="s">
        <v>1305</v>
      </c>
      <c r="W66" s="1">
        <v>570</v>
      </c>
      <c r="X66" s="1">
        <v>5920</v>
      </c>
      <c r="Y66" s="1" t="s">
        <v>1099</v>
      </c>
      <c r="Z66" s="1">
        <v>0</v>
      </c>
      <c r="AA66" s="1" t="s">
        <v>1185</v>
      </c>
      <c r="AB66" s="1">
        <v>8699.8368800000007</v>
      </c>
    </row>
    <row r="67" spans="1:28" x14ac:dyDescent="0.25">
      <c r="A67" s="1" t="s">
        <v>698</v>
      </c>
      <c r="B67" s="1">
        <v>720</v>
      </c>
      <c r="C67" s="1">
        <v>596</v>
      </c>
      <c r="D67" s="1">
        <v>315</v>
      </c>
      <c r="E67" s="1">
        <v>1</v>
      </c>
      <c r="F67" s="1">
        <v>9088.5540000000001</v>
      </c>
      <c r="G67" s="1">
        <v>0.42100799999999999</v>
      </c>
      <c r="H67" s="1">
        <v>0</v>
      </c>
      <c r="I67" s="1">
        <v>0.16327</v>
      </c>
      <c r="J67" s="1">
        <v>0</v>
      </c>
      <c r="K67" s="1">
        <v>0</v>
      </c>
      <c r="L67" s="1"/>
      <c r="M67" s="1">
        <v>1598.5539999999999</v>
      </c>
      <c r="N67" s="1">
        <v>450</v>
      </c>
      <c r="O67" s="1" t="s">
        <v>754</v>
      </c>
      <c r="P67" s="1" t="s">
        <v>358</v>
      </c>
      <c r="Q67" s="1"/>
      <c r="R67" s="1"/>
      <c r="S67" s="1"/>
      <c r="T67" s="1"/>
      <c r="U67" s="1"/>
      <c r="V67" s="1" t="s">
        <v>1305</v>
      </c>
      <c r="W67" s="1">
        <v>570</v>
      </c>
      <c r="X67" s="1">
        <v>6920</v>
      </c>
      <c r="Y67" s="1" t="s">
        <v>1099</v>
      </c>
      <c r="Z67" s="1">
        <v>0</v>
      </c>
      <c r="AA67" s="1" t="s">
        <v>1185</v>
      </c>
      <c r="AB67" s="1">
        <v>9088.5540000000001</v>
      </c>
    </row>
    <row r="68" spans="1:28" x14ac:dyDescent="0.25">
      <c r="A68" s="1" t="s">
        <v>697</v>
      </c>
      <c r="B68" s="1">
        <v>720</v>
      </c>
      <c r="C68" s="1">
        <v>596</v>
      </c>
      <c r="D68" s="1">
        <v>315</v>
      </c>
      <c r="E68" s="1">
        <v>1</v>
      </c>
      <c r="F68" s="1">
        <v>8088.5540000000001</v>
      </c>
      <c r="G68" s="1">
        <v>0.42387200000000003</v>
      </c>
      <c r="H68" s="1">
        <v>0</v>
      </c>
      <c r="I68" s="1">
        <v>0.16327</v>
      </c>
      <c r="J68" s="1">
        <v>0</v>
      </c>
      <c r="K68" s="1">
        <v>0</v>
      </c>
      <c r="L68" s="1"/>
      <c r="M68" s="1">
        <v>1598.5539999999999</v>
      </c>
      <c r="N68" s="1">
        <v>450</v>
      </c>
      <c r="O68" s="1" t="s">
        <v>754</v>
      </c>
      <c r="P68" s="1" t="s">
        <v>358</v>
      </c>
      <c r="Q68" s="1"/>
      <c r="R68" s="1"/>
      <c r="S68" s="1"/>
      <c r="T68" s="1"/>
      <c r="U68" s="1"/>
      <c r="V68" s="1" t="s">
        <v>1305</v>
      </c>
      <c r="W68" s="1">
        <v>570</v>
      </c>
      <c r="X68" s="1">
        <v>5920</v>
      </c>
      <c r="Y68" s="1" t="s">
        <v>1099</v>
      </c>
      <c r="Z68" s="1">
        <v>0</v>
      </c>
      <c r="AA68" s="1" t="s">
        <v>1185</v>
      </c>
      <c r="AB68" s="1">
        <v>8088.5540000000001</v>
      </c>
    </row>
    <row r="69" spans="1:28" x14ac:dyDescent="0.25">
      <c r="A69" s="1" t="s">
        <v>701</v>
      </c>
      <c r="B69" s="1">
        <v>720</v>
      </c>
      <c r="C69" s="1">
        <v>450</v>
      </c>
      <c r="D69" s="1">
        <v>315</v>
      </c>
      <c r="E69" s="1">
        <v>1</v>
      </c>
      <c r="F69" s="1">
        <v>17610</v>
      </c>
      <c r="G69" s="1">
        <v>0.317552</v>
      </c>
      <c r="H69" s="1">
        <v>0</v>
      </c>
      <c r="I69" s="1">
        <v>0</v>
      </c>
      <c r="J69" s="1">
        <v>0</v>
      </c>
      <c r="K69" s="1">
        <v>0</v>
      </c>
      <c r="L69" s="1"/>
      <c r="M69" s="1">
        <v>1460</v>
      </c>
      <c r="N69" s="1">
        <v>450</v>
      </c>
      <c r="O69" s="1" t="s">
        <v>754</v>
      </c>
      <c r="P69" s="1" t="s">
        <v>358</v>
      </c>
      <c r="Q69" s="1"/>
      <c r="R69" s="1"/>
      <c r="S69" s="1"/>
      <c r="T69" s="1"/>
      <c r="U69" s="1"/>
      <c r="V69" s="1" t="s">
        <v>1305</v>
      </c>
      <c r="W69" s="1">
        <v>570</v>
      </c>
      <c r="X69" s="1">
        <v>15580</v>
      </c>
      <c r="Y69" s="1" t="s">
        <v>1099</v>
      </c>
      <c r="Z69" s="1">
        <v>0</v>
      </c>
      <c r="AA69" s="1" t="s">
        <v>1185</v>
      </c>
      <c r="AB69" s="1">
        <v>17610</v>
      </c>
    </row>
    <row r="70" spans="1:28" x14ac:dyDescent="0.25">
      <c r="A70" s="1" t="s">
        <v>702</v>
      </c>
      <c r="B70" s="1">
        <v>600</v>
      </c>
      <c r="C70" s="1">
        <v>450</v>
      </c>
      <c r="D70" s="1">
        <v>315</v>
      </c>
      <c r="E70" s="1">
        <v>1</v>
      </c>
      <c r="F70" s="1">
        <v>10022.264999999999</v>
      </c>
      <c r="G70" s="1">
        <v>0.265816</v>
      </c>
      <c r="H70" s="1">
        <v>0</v>
      </c>
      <c r="I70" s="1">
        <v>0.12093</v>
      </c>
      <c r="J70" s="1">
        <v>0</v>
      </c>
      <c r="K70" s="1">
        <v>0</v>
      </c>
      <c r="L70" s="1"/>
      <c r="M70" s="1">
        <v>1512.2649999999996</v>
      </c>
      <c r="N70" s="1">
        <v>300</v>
      </c>
      <c r="O70" s="1" t="s">
        <v>754</v>
      </c>
      <c r="P70" s="1" t="s">
        <v>358</v>
      </c>
      <c r="Q70" s="1"/>
      <c r="R70" s="1"/>
      <c r="S70" s="1"/>
      <c r="T70" s="1"/>
      <c r="U70" s="1"/>
      <c r="V70" s="1" t="s">
        <v>1305</v>
      </c>
      <c r="W70" s="1">
        <v>570</v>
      </c>
      <c r="X70" s="1">
        <v>7940</v>
      </c>
      <c r="Y70" s="1" t="s">
        <v>1099</v>
      </c>
      <c r="Z70" s="1">
        <v>0</v>
      </c>
      <c r="AA70" s="1" t="s">
        <v>1185</v>
      </c>
      <c r="AB70" s="1">
        <v>10022.264999999999</v>
      </c>
    </row>
    <row r="71" spans="1:28" x14ac:dyDescent="0.25">
      <c r="A71" s="1" t="s">
        <v>702</v>
      </c>
      <c r="B71" s="1">
        <v>480</v>
      </c>
      <c r="C71" s="1">
        <v>450</v>
      </c>
      <c r="D71" s="1">
        <v>315</v>
      </c>
      <c r="E71" s="1">
        <v>1</v>
      </c>
      <c r="F71" s="1">
        <v>9017.3050000000003</v>
      </c>
      <c r="G71" s="1">
        <v>0.21229600000000001</v>
      </c>
      <c r="H71" s="1">
        <v>0</v>
      </c>
      <c r="I71" s="1">
        <v>0.12093</v>
      </c>
      <c r="J71" s="1">
        <v>0</v>
      </c>
      <c r="K71" s="1">
        <v>0</v>
      </c>
      <c r="L71" s="1"/>
      <c r="M71" s="1">
        <v>1367.3049999999994</v>
      </c>
      <c r="N71" s="1">
        <v>300</v>
      </c>
      <c r="O71" s="1" t="s">
        <v>754</v>
      </c>
      <c r="P71" s="1" t="s">
        <v>358</v>
      </c>
      <c r="Q71" s="1"/>
      <c r="R71" s="1"/>
      <c r="S71" s="1"/>
      <c r="T71" s="1"/>
      <c r="U71" s="1"/>
      <c r="V71" s="1" t="s">
        <v>1305</v>
      </c>
      <c r="W71" s="1">
        <v>570</v>
      </c>
      <c r="X71" s="1">
        <v>7080</v>
      </c>
      <c r="Y71" s="1" t="s">
        <v>1099</v>
      </c>
      <c r="Z71" s="1">
        <v>0</v>
      </c>
      <c r="AA71" s="1" t="s">
        <v>1185</v>
      </c>
      <c r="AB71" s="1">
        <v>9017.3050000000003</v>
      </c>
    </row>
    <row r="72" spans="1:28" x14ac:dyDescent="0.25">
      <c r="A72" s="1" t="s">
        <v>850</v>
      </c>
      <c r="B72" s="1">
        <v>480</v>
      </c>
      <c r="C72" s="1">
        <v>896</v>
      </c>
      <c r="D72" s="1">
        <v>315</v>
      </c>
      <c r="E72" s="1">
        <v>1</v>
      </c>
      <c r="F72" s="1">
        <v>9455.0539999999983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/>
      <c r="M72" s="1">
        <v>1805.0539999999987</v>
      </c>
      <c r="N72" s="1">
        <v>300</v>
      </c>
      <c r="O72" s="1" t="s">
        <v>754</v>
      </c>
      <c r="P72" s="1" t="s">
        <v>358</v>
      </c>
      <c r="Q72" s="1"/>
      <c r="R72" s="1"/>
      <c r="S72" s="1"/>
      <c r="T72" s="1"/>
      <c r="U72" s="1"/>
      <c r="V72" s="1" t="s">
        <v>1305</v>
      </c>
      <c r="W72" s="1">
        <v>570</v>
      </c>
      <c r="X72" s="1">
        <v>7080</v>
      </c>
      <c r="Y72" s="1" t="s">
        <v>1099</v>
      </c>
      <c r="Z72" s="1">
        <v>0</v>
      </c>
      <c r="AA72" s="1" t="s">
        <v>1185</v>
      </c>
      <c r="AB72" s="1">
        <v>9455.0539999999983</v>
      </c>
    </row>
    <row r="73" spans="1:28" x14ac:dyDescent="0.25">
      <c r="A73" s="1" t="s">
        <v>139</v>
      </c>
      <c r="B73" s="1">
        <v>2040</v>
      </c>
      <c r="C73" s="1">
        <v>600</v>
      </c>
      <c r="D73" s="1">
        <v>560</v>
      </c>
      <c r="E73" s="1">
        <v>1</v>
      </c>
      <c r="F73" s="1">
        <v>11916.8</v>
      </c>
      <c r="G73" s="1">
        <v>1.2110719999999999</v>
      </c>
      <c r="H73" s="1">
        <v>4</v>
      </c>
      <c r="I73" s="1">
        <v>0.30334499999999998</v>
      </c>
      <c r="J73" s="1">
        <v>0</v>
      </c>
      <c r="K73" s="1">
        <v>2271.4473599999997</v>
      </c>
      <c r="L73" s="1"/>
      <c r="M73" s="1">
        <v>6976.8</v>
      </c>
      <c r="N73" s="1">
        <v>600</v>
      </c>
      <c r="O73" s="1" t="s">
        <v>754</v>
      </c>
      <c r="P73" s="1" t="s">
        <v>358</v>
      </c>
      <c r="Q73" s="1"/>
      <c r="R73" s="1"/>
      <c r="S73" s="1"/>
      <c r="T73" s="1"/>
      <c r="U73" s="1"/>
      <c r="V73" s="1" t="s">
        <v>1184</v>
      </c>
      <c r="W73" s="1">
        <v>1280</v>
      </c>
      <c r="X73" s="1">
        <v>3660</v>
      </c>
      <c r="Y73" s="1" t="s">
        <v>1099</v>
      </c>
      <c r="Z73" s="1">
        <v>0</v>
      </c>
      <c r="AA73" s="1" t="s">
        <v>1185</v>
      </c>
      <c r="AB73" s="1">
        <v>14188.247359999999</v>
      </c>
    </row>
    <row r="74" spans="1:28" x14ac:dyDescent="0.25">
      <c r="A74" s="1" t="s">
        <v>40</v>
      </c>
      <c r="B74" s="1">
        <v>720</v>
      </c>
      <c r="C74" s="1">
        <v>315</v>
      </c>
      <c r="D74" s="1">
        <v>315</v>
      </c>
      <c r="E74" s="1">
        <v>1</v>
      </c>
      <c r="F74" s="1">
        <v>3690</v>
      </c>
      <c r="G74" s="1">
        <v>0.31718800000000003</v>
      </c>
      <c r="H74" s="1">
        <v>0</v>
      </c>
      <c r="I74" s="1">
        <v>8.8803999999999994E-2</v>
      </c>
      <c r="J74" s="1">
        <v>0</v>
      </c>
      <c r="K74" s="1">
        <v>0</v>
      </c>
      <c r="L74" s="1"/>
      <c r="M74" s="1">
        <v>1770</v>
      </c>
      <c r="N74" s="1">
        <v>315</v>
      </c>
      <c r="O74" s="1" t="s">
        <v>1300</v>
      </c>
      <c r="P74" s="1" t="s">
        <v>358</v>
      </c>
      <c r="Q74" s="1"/>
      <c r="R74" s="1"/>
      <c r="S74" s="1"/>
      <c r="T74" s="1"/>
      <c r="U74" s="1"/>
      <c r="V74" s="1" t="s">
        <v>1305</v>
      </c>
      <c r="W74" s="1">
        <v>840</v>
      </c>
      <c r="X74" s="1">
        <v>1080</v>
      </c>
      <c r="Y74" s="1" t="s">
        <v>1099</v>
      </c>
      <c r="Z74" s="1">
        <v>0</v>
      </c>
      <c r="AA74" s="1" t="s">
        <v>1185</v>
      </c>
      <c r="AB74" s="1">
        <v>3690</v>
      </c>
    </row>
    <row r="75" spans="1:28" x14ac:dyDescent="0.25">
      <c r="A75" s="1" t="s">
        <v>52</v>
      </c>
      <c r="B75" s="1">
        <v>2040</v>
      </c>
      <c r="C75" s="1">
        <v>600</v>
      </c>
      <c r="D75" s="1">
        <v>560</v>
      </c>
      <c r="E75" s="1">
        <v>1</v>
      </c>
      <c r="F75" s="1">
        <v>26930</v>
      </c>
      <c r="G75" s="1">
        <v>1.206304</v>
      </c>
      <c r="H75" s="1">
        <v>2</v>
      </c>
      <c r="I75" s="1">
        <v>0.30334499999999998</v>
      </c>
      <c r="J75" s="1">
        <v>0</v>
      </c>
      <c r="K75" s="1">
        <v>1135.7236799999998</v>
      </c>
      <c r="L75" s="1"/>
      <c r="M75" s="1">
        <v>8650</v>
      </c>
      <c r="N75" s="1">
        <v>600</v>
      </c>
      <c r="O75" s="1" t="s">
        <v>754</v>
      </c>
      <c r="P75" s="1" t="s">
        <v>358</v>
      </c>
      <c r="Q75" s="1"/>
      <c r="R75" s="1"/>
      <c r="S75" s="1"/>
      <c r="T75" s="1"/>
      <c r="U75" s="1"/>
      <c r="V75" s="1" t="s">
        <v>1184</v>
      </c>
      <c r="W75" s="1">
        <v>1470</v>
      </c>
      <c r="X75" s="1">
        <v>16810</v>
      </c>
      <c r="Y75" s="1" t="s">
        <v>1099</v>
      </c>
      <c r="Z75" s="1">
        <v>0</v>
      </c>
      <c r="AA75" s="1" t="s">
        <v>1185</v>
      </c>
      <c r="AB75" s="1">
        <v>28065.723679999999</v>
      </c>
    </row>
    <row r="76" spans="1:28" x14ac:dyDescent="0.25">
      <c r="A76" s="1" t="s">
        <v>53</v>
      </c>
      <c r="B76" s="1">
        <v>2040</v>
      </c>
      <c r="C76" s="1">
        <v>600</v>
      </c>
      <c r="D76" s="1">
        <v>560</v>
      </c>
      <c r="E76" s="1">
        <v>1</v>
      </c>
      <c r="F76" s="1">
        <v>22690</v>
      </c>
      <c r="G76" s="1">
        <v>1.208688</v>
      </c>
      <c r="H76" s="1">
        <v>2</v>
      </c>
      <c r="I76" s="1">
        <v>0.30334499999999998</v>
      </c>
      <c r="J76" s="1">
        <v>0</v>
      </c>
      <c r="K76" s="1">
        <v>1135.7236799999998</v>
      </c>
      <c r="L76" s="1"/>
      <c r="M76" s="1">
        <v>8100</v>
      </c>
      <c r="N76" s="1">
        <v>600</v>
      </c>
      <c r="O76" s="1" t="s">
        <v>754</v>
      </c>
      <c r="P76" s="1" t="s">
        <v>358</v>
      </c>
      <c r="Q76" s="1"/>
      <c r="R76" s="1"/>
      <c r="S76" s="1"/>
      <c r="T76" s="1"/>
      <c r="U76" s="1"/>
      <c r="V76" s="1" t="s">
        <v>1184</v>
      </c>
      <c r="W76" s="1">
        <v>1470</v>
      </c>
      <c r="X76" s="1">
        <v>13120</v>
      </c>
      <c r="Y76" s="1" t="s">
        <v>1099</v>
      </c>
      <c r="Z76" s="1">
        <v>0</v>
      </c>
      <c r="AA76" s="1" t="s">
        <v>1185</v>
      </c>
      <c r="AB76" s="1">
        <v>23825.723679999999</v>
      </c>
    </row>
    <row r="77" spans="1:28" x14ac:dyDescent="0.25">
      <c r="A77" s="1" t="s">
        <v>53</v>
      </c>
      <c r="B77" s="1">
        <v>2280</v>
      </c>
      <c r="C77" s="1">
        <v>600</v>
      </c>
      <c r="D77" s="1">
        <v>560</v>
      </c>
      <c r="E77" s="1">
        <v>1</v>
      </c>
      <c r="F77" s="1">
        <v>24245.200000000001</v>
      </c>
      <c r="G77" s="1">
        <v>1.351728</v>
      </c>
      <c r="H77" s="1">
        <v>2</v>
      </c>
      <c r="I77" s="1">
        <v>0.30334499999999998</v>
      </c>
      <c r="J77" s="1">
        <v>0</v>
      </c>
      <c r="K77" s="1">
        <v>1135.7236799999998</v>
      </c>
      <c r="L77" s="1"/>
      <c r="M77" s="1">
        <v>9655.2000000000007</v>
      </c>
      <c r="N77" s="1">
        <v>600</v>
      </c>
      <c r="O77" s="1" t="s">
        <v>754</v>
      </c>
      <c r="P77" s="1" t="s">
        <v>358</v>
      </c>
      <c r="Q77" s="1"/>
      <c r="R77" s="1"/>
      <c r="S77" s="1"/>
      <c r="T77" s="1"/>
      <c r="U77" s="1"/>
      <c r="V77" s="1" t="s">
        <v>1184</v>
      </c>
      <c r="W77" s="1">
        <v>1470</v>
      </c>
      <c r="X77" s="1">
        <v>13120</v>
      </c>
      <c r="Y77" s="1" t="s">
        <v>1099</v>
      </c>
      <c r="Z77" s="1">
        <v>0</v>
      </c>
      <c r="AA77" s="1" t="s">
        <v>1185</v>
      </c>
      <c r="AB77" s="1">
        <v>25380.92368</v>
      </c>
    </row>
    <row r="78" spans="1:28" x14ac:dyDescent="0.25">
      <c r="A78" s="1" t="s">
        <v>725</v>
      </c>
      <c r="B78" s="1">
        <v>2040</v>
      </c>
      <c r="C78" s="1">
        <v>600</v>
      </c>
      <c r="D78" s="1">
        <v>560</v>
      </c>
      <c r="E78" s="1">
        <v>1</v>
      </c>
      <c r="F78" s="1">
        <v>10270</v>
      </c>
      <c r="G78" s="1">
        <v>0.93691199999999997</v>
      </c>
      <c r="H78" s="1">
        <v>2</v>
      </c>
      <c r="I78" s="1">
        <v>0.28349999999999997</v>
      </c>
      <c r="J78" s="1">
        <v>0</v>
      </c>
      <c r="K78" s="1">
        <v>1061.424</v>
      </c>
      <c r="L78" s="1"/>
      <c r="M78" s="1">
        <v>6800</v>
      </c>
      <c r="N78" s="1">
        <v>600</v>
      </c>
      <c r="O78" s="1" t="s">
        <v>754</v>
      </c>
      <c r="P78" s="1" t="s">
        <v>358</v>
      </c>
      <c r="Q78" s="1"/>
      <c r="R78" s="1"/>
      <c r="S78" s="1"/>
      <c r="T78" s="1"/>
      <c r="U78" s="1"/>
      <c r="V78" s="1" t="s">
        <v>1184</v>
      </c>
      <c r="W78" s="1">
        <v>1470</v>
      </c>
      <c r="X78" s="1">
        <v>2000</v>
      </c>
      <c r="Y78" s="1" t="s">
        <v>1099</v>
      </c>
      <c r="Z78" s="1">
        <v>0</v>
      </c>
      <c r="AA78" s="1" t="s">
        <v>1185</v>
      </c>
      <c r="AB78" s="1">
        <v>11331.423999999999</v>
      </c>
    </row>
    <row r="79" spans="1:28" x14ac:dyDescent="0.25">
      <c r="A79" s="1" t="s">
        <v>729</v>
      </c>
      <c r="B79" s="1">
        <v>2280</v>
      </c>
      <c r="C79" s="1">
        <v>600</v>
      </c>
      <c r="D79" s="1">
        <v>560</v>
      </c>
      <c r="E79" s="1">
        <v>1</v>
      </c>
      <c r="F79" s="1">
        <v>13884.048000000001</v>
      </c>
      <c r="G79" s="1">
        <v>1.079952</v>
      </c>
      <c r="H79" s="1">
        <v>3</v>
      </c>
      <c r="I79" s="1">
        <v>0.28349999999999997</v>
      </c>
      <c r="J79" s="1">
        <v>0</v>
      </c>
      <c r="K79" s="1">
        <v>1592.136</v>
      </c>
      <c r="L79" s="1"/>
      <c r="M79" s="1">
        <v>8754.0480000000007</v>
      </c>
      <c r="N79" s="1">
        <v>600</v>
      </c>
      <c r="O79" s="1" t="s">
        <v>754</v>
      </c>
      <c r="P79" s="1" t="s">
        <v>358</v>
      </c>
      <c r="Q79" s="1"/>
      <c r="R79" s="1"/>
      <c r="S79" s="1"/>
      <c r="T79" s="1"/>
      <c r="U79" s="1"/>
      <c r="V79" s="1" t="s">
        <v>1184</v>
      </c>
      <c r="W79" s="1">
        <v>1470</v>
      </c>
      <c r="X79" s="1">
        <v>3660</v>
      </c>
      <c r="Y79" s="1" t="s">
        <v>1099</v>
      </c>
      <c r="Z79" s="1">
        <v>0</v>
      </c>
      <c r="AA79" s="1" t="s">
        <v>1185</v>
      </c>
      <c r="AB79" s="1">
        <v>15476.184000000001</v>
      </c>
    </row>
    <row r="80" spans="1:28" x14ac:dyDescent="0.25">
      <c r="A80" s="1" t="s">
        <v>729</v>
      </c>
      <c r="B80" s="1">
        <v>2040</v>
      </c>
      <c r="C80" s="1">
        <v>600</v>
      </c>
      <c r="D80" s="1">
        <v>560</v>
      </c>
      <c r="E80" s="1">
        <v>1</v>
      </c>
      <c r="F80" s="1">
        <v>11974</v>
      </c>
      <c r="G80" s="1">
        <v>0.93691199999999997</v>
      </c>
      <c r="H80" s="1">
        <v>2</v>
      </c>
      <c r="I80" s="1">
        <v>0.28349999999999997</v>
      </c>
      <c r="J80" s="1">
        <v>0</v>
      </c>
      <c r="K80" s="1">
        <v>1061.424</v>
      </c>
      <c r="L80" s="1"/>
      <c r="M80" s="1">
        <v>7344</v>
      </c>
      <c r="N80" s="1">
        <v>600</v>
      </c>
      <c r="O80" s="1" t="s">
        <v>754</v>
      </c>
      <c r="P80" s="1" t="s">
        <v>358</v>
      </c>
      <c r="Q80" s="1"/>
      <c r="R80" s="1"/>
      <c r="S80" s="1"/>
      <c r="T80" s="1"/>
      <c r="U80" s="1"/>
      <c r="V80" s="1" t="s">
        <v>1184</v>
      </c>
      <c r="W80" s="1">
        <v>1470</v>
      </c>
      <c r="X80" s="1">
        <v>3160</v>
      </c>
      <c r="Y80" s="1" t="s">
        <v>1099</v>
      </c>
      <c r="Z80" s="1">
        <v>0</v>
      </c>
      <c r="AA80" s="1" t="s">
        <v>1185</v>
      </c>
      <c r="AB80" s="1">
        <v>13035.423999999999</v>
      </c>
    </row>
    <row r="81" spans="1:28" x14ac:dyDescent="0.25">
      <c r="A81" s="1" t="s">
        <v>0</v>
      </c>
      <c r="B81" s="1">
        <v>720</v>
      </c>
      <c r="C81" s="1">
        <v>600</v>
      </c>
      <c r="D81" s="1">
        <v>525</v>
      </c>
      <c r="E81" s="1">
        <v>1</v>
      </c>
      <c r="H81" s="1">
        <v>0</v>
      </c>
      <c r="J81" s="1"/>
      <c r="K81" s="1"/>
      <c r="L81" s="1"/>
      <c r="M81" s="1"/>
      <c r="N81" s="1"/>
      <c r="O81" s="1" t="s">
        <v>754</v>
      </c>
      <c r="P81" s="1" t="s">
        <v>358</v>
      </c>
      <c r="Q81" s="1"/>
      <c r="R81" s="1"/>
      <c r="S81" s="1"/>
      <c r="T81" s="1"/>
      <c r="U81" s="1"/>
      <c r="V81" s="1" t="s">
        <v>1184</v>
      </c>
      <c r="W81" s="1"/>
      <c r="X81" s="1"/>
      <c r="Y81" s="1" t="s">
        <v>1099</v>
      </c>
      <c r="Z81" s="1"/>
      <c r="AA81" s="1" t="s">
        <v>1185</v>
      </c>
      <c r="AB81" s="1"/>
    </row>
  </sheetData>
  <sheetProtection algorithmName="SHA-512" hashValue="9s1KX05ifvDLpLOzGYu+3kpkZdcq3z87I20XtzfCW+hWSnwG6+KxuAyeMohL0gVyPyTX1UiEgt5nxz72kYO3RQ==" saltValue="Iv8k8phCtzItu1H/pk+PdQ==" spinCount="100000" sheet="1" objects="1" scenarios="1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J9" sqref="J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nprotectSheets">
                <anchor moveWithCells="1" sizeWithCells="1">
                  <from>
                    <xdr:col>5</xdr:col>
                    <xdr:colOff>9525</xdr:colOff>
                    <xdr:row>0</xdr:row>
                    <xdr:rowOff>38100</xdr:rowOff>
                  </from>
                  <to>
                    <xdr:col>8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abSelected="1" zoomScale="115" zoomScaleNormal="115" workbookViewId="0">
      <pane xSplit="1" topLeftCell="CB1" activePane="topRight" state="frozen"/>
      <selection pane="topRight" activeCell="CC11" sqref="CC11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4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435</v>
      </c>
      <c r="Q1" s="2" t="s">
        <v>434</v>
      </c>
      <c r="R1" s="2" t="s">
        <v>382</v>
      </c>
      <c r="S1" s="2" t="s">
        <v>402</v>
      </c>
      <c r="T1" s="2" t="s">
        <v>403</v>
      </c>
      <c r="U1" s="2" t="s">
        <v>408</v>
      </c>
      <c r="V1" s="2" t="s">
        <v>410</v>
      </c>
      <c r="W1" s="2" t="s">
        <v>425</v>
      </c>
      <c r="X1" s="2" t="s">
        <v>456</v>
      </c>
      <c r="Y1" s="2" t="s">
        <v>423</v>
      </c>
      <c r="Z1" s="2" t="s">
        <v>482</v>
      </c>
      <c r="AA1" s="2" t="s">
        <v>441</v>
      </c>
      <c r="AB1" s="2" t="s">
        <v>444</v>
      </c>
      <c r="AC1" s="2" t="s">
        <v>443</v>
      </c>
      <c r="AD1" s="2" t="s">
        <v>431</v>
      </c>
      <c r="AE1" s="2" t="s">
        <v>394</v>
      </c>
      <c r="AF1" s="2" t="s">
        <v>432</v>
      </c>
      <c r="AG1" s="254" t="s">
        <v>433</v>
      </c>
      <c r="AH1" s="2" t="s">
        <v>640</v>
      </c>
      <c r="AI1" s="2" t="s">
        <v>704</v>
      </c>
      <c r="AJ1" s="2" t="s">
        <v>406</v>
      </c>
      <c r="AK1" s="2" t="s">
        <v>442</v>
      </c>
      <c r="AL1" s="2" t="s">
        <v>476</v>
      </c>
      <c r="AM1" s="2" t="s">
        <v>669</v>
      </c>
      <c r="AN1" s="2" t="s">
        <v>396</v>
      </c>
      <c r="AO1" s="2" t="s">
        <v>692</v>
      </c>
      <c r="AP1" s="2" t="s">
        <v>405</v>
      </c>
      <c r="AQ1" s="2" t="s">
        <v>693</v>
      </c>
      <c r="AR1" s="2" t="s">
        <v>412</v>
      </c>
      <c r="AS1" s="2" t="s">
        <v>652</v>
      </c>
      <c r="AT1" s="2" t="s">
        <v>448</v>
      </c>
      <c r="AU1" s="263" t="s">
        <v>450</v>
      </c>
      <c r="AV1" s="2" t="s">
        <v>451</v>
      </c>
      <c r="AW1" s="2" t="s">
        <v>488</v>
      </c>
      <c r="AX1" s="262" t="s">
        <v>437</v>
      </c>
      <c r="AY1" s="94" t="s">
        <v>438</v>
      </c>
      <c r="AZ1" s="262" t="s">
        <v>440</v>
      </c>
      <c r="BA1" s="2" t="s">
        <v>422</v>
      </c>
      <c r="BB1" s="2" t="s">
        <v>413</v>
      </c>
      <c r="BC1" s="2" t="s">
        <v>419</v>
      </c>
      <c r="BD1" s="2" t="s">
        <v>414</v>
      </c>
      <c r="BE1" s="2" t="s">
        <v>420</v>
      </c>
      <c r="BF1" s="2" t="s">
        <v>415</v>
      </c>
      <c r="BG1" s="2" t="s">
        <v>416</v>
      </c>
      <c r="BH1" s="2" t="s">
        <v>480</v>
      </c>
      <c r="BI1" s="2" t="s">
        <v>418</v>
      </c>
      <c r="BJ1" s="2" t="s">
        <v>421</v>
      </c>
      <c r="BK1" s="2" t="s">
        <v>656</v>
      </c>
      <c r="BL1" s="2" t="s">
        <v>399</v>
      </c>
      <c r="BM1" s="2" t="s">
        <v>400</v>
      </c>
      <c r="BN1" s="2" t="s">
        <v>430</v>
      </c>
      <c r="BO1" s="2" t="s">
        <v>681</v>
      </c>
      <c r="BP1" s="2" t="s">
        <v>688</v>
      </c>
      <c r="BQ1" s="2" t="s">
        <v>194</v>
      </c>
      <c r="BR1" s="2" t="s">
        <v>689</v>
      </c>
      <c r="BS1" s="2" t="s">
        <v>705</v>
      </c>
      <c r="BT1" s="2" t="s">
        <v>706</v>
      </c>
      <c r="BU1" s="2" t="s">
        <v>748</v>
      </c>
      <c r="BV1" s="2" t="s">
        <v>749</v>
      </c>
      <c r="BW1" s="2" t="s">
        <v>750</v>
      </c>
      <c r="BX1" s="2" t="s">
        <v>751</v>
      </c>
      <c r="BY1" s="2" t="s">
        <v>737</v>
      </c>
      <c r="BZ1" s="2" t="s">
        <v>738</v>
      </c>
      <c r="CA1" s="2" t="s">
        <v>804</v>
      </c>
      <c r="CB1" s="2" t="s">
        <v>798</v>
      </c>
      <c r="CC1" s="2" t="s">
        <v>806</v>
      </c>
      <c r="CD1" s="2" t="s">
        <v>826</v>
      </c>
      <c r="CE1" s="2" t="s">
        <v>1290</v>
      </c>
      <c r="CH1" s="34">
        <v>480</v>
      </c>
      <c r="CI1" s="34">
        <v>720</v>
      </c>
      <c r="CJ1" s="34">
        <v>960</v>
      </c>
      <c r="CK1" s="34">
        <v>1280</v>
      </c>
      <c r="CL1" s="34">
        <v>1800</v>
      </c>
    </row>
    <row r="2" spans="1:90" ht="15" customHeight="1" x14ac:dyDescent="0.25">
      <c r="A2" s="297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366">
        <v>420</v>
      </c>
      <c r="H2" s="366">
        <v>2500</v>
      </c>
      <c r="I2" s="366">
        <v>150</v>
      </c>
      <c r="J2" s="366">
        <v>900</v>
      </c>
      <c r="K2" s="366">
        <v>180</v>
      </c>
      <c r="L2" s="366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67">
        <v>1.095</v>
      </c>
      <c r="BW2" s="467">
        <v>1.0649999999999999</v>
      </c>
      <c r="BX2" s="28">
        <v>1.3</v>
      </c>
      <c r="BY2" s="303">
        <v>0</v>
      </c>
      <c r="BZ2" s="303">
        <v>7</v>
      </c>
      <c r="CA2" s="1" t="s">
        <v>87</v>
      </c>
      <c r="CB2" s="28" t="s">
        <v>799</v>
      </c>
      <c r="CC2" s="303">
        <v>0</v>
      </c>
      <c r="CD2" s="303" t="s">
        <v>10</v>
      </c>
      <c r="CE2" s="46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298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366">
        <v>480</v>
      </c>
      <c r="H3" s="366">
        <v>960</v>
      </c>
      <c r="I3" s="366">
        <v>150</v>
      </c>
      <c r="J3" s="366">
        <v>650</v>
      </c>
      <c r="K3" s="366">
        <v>180</v>
      </c>
      <c r="L3" s="366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67">
        <v>1.08</v>
      </c>
      <c r="BW3" s="467">
        <v>1.0649999999999999</v>
      </c>
      <c r="BX3" s="28">
        <v>1.3</v>
      </c>
      <c r="BY3" s="303">
        <v>0</v>
      </c>
      <c r="BZ3" s="303">
        <v>2</v>
      </c>
      <c r="CA3" s="1" t="s">
        <v>87</v>
      </c>
      <c r="CB3" s="28" t="s">
        <v>799</v>
      </c>
      <c r="CC3" s="303">
        <v>0</v>
      </c>
      <c r="CD3" s="303" t="s">
        <v>10</v>
      </c>
      <c r="CE3" s="46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298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366">
        <v>720</v>
      </c>
      <c r="H4" s="366">
        <v>720</v>
      </c>
      <c r="I4" s="366">
        <v>400</v>
      </c>
      <c r="J4" s="366">
        <v>900</v>
      </c>
      <c r="K4" s="366">
        <v>180</v>
      </c>
      <c r="L4" s="366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67">
        <v>1.08</v>
      </c>
      <c r="BW4" s="467">
        <v>1.0649999999999999</v>
      </c>
      <c r="BX4" s="28">
        <v>1.3</v>
      </c>
      <c r="BY4" s="303">
        <v>0</v>
      </c>
      <c r="BZ4" s="303">
        <v>2</v>
      </c>
      <c r="CA4" s="1" t="s">
        <v>87</v>
      </c>
      <c r="CB4" s="28" t="s">
        <v>799</v>
      </c>
      <c r="CC4" s="303">
        <v>0</v>
      </c>
      <c r="CD4" s="303" t="s">
        <v>10</v>
      </c>
      <c r="CE4" s="461">
        <v>2340</v>
      </c>
    </row>
    <row r="5" spans="1:90" ht="15" customHeight="1" x14ac:dyDescent="0.25">
      <c r="A5" s="298" t="s">
        <v>690</v>
      </c>
      <c r="B5" s="1" t="s">
        <v>6</v>
      </c>
      <c r="C5" s="1" t="s">
        <v>722</v>
      </c>
      <c r="D5" s="1" t="s">
        <v>89</v>
      </c>
      <c r="E5" s="1" t="s">
        <v>10</v>
      </c>
      <c r="F5" s="1" t="s">
        <v>144</v>
      </c>
      <c r="G5" s="366">
        <v>720</v>
      </c>
      <c r="H5" s="366">
        <v>720</v>
      </c>
      <c r="I5" s="366">
        <v>150</v>
      </c>
      <c r="J5" s="366">
        <v>150</v>
      </c>
      <c r="K5" s="366">
        <v>500</v>
      </c>
      <c r="L5" s="366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67">
        <v>1.08</v>
      </c>
      <c r="BW5" s="467">
        <v>1.0649999999999999</v>
      </c>
      <c r="BX5" s="28">
        <v>1.3</v>
      </c>
      <c r="BY5" s="303">
        <v>0</v>
      </c>
      <c r="BZ5" s="303">
        <v>0</v>
      </c>
      <c r="CA5" s="1" t="s">
        <v>10</v>
      </c>
      <c r="CB5" s="28" t="s">
        <v>800</v>
      </c>
      <c r="CC5" s="303">
        <v>0</v>
      </c>
      <c r="CD5" s="303" t="s">
        <v>10</v>
      </c>
      <c r="CE5" s="461">
        <v>2340</v>
      </c>
    </row>
    <row r="6" spans="1:90" ht="15" customHeight="1" x14ac:dyDescent="0.25">
      <c r="A6" s="298" t="s">
        <v>691</v>
      </c>
      <c r="B6" s="1" t="s">
        <v>6</v>
      </c>
      <c r="C6" s="1" t="s">
        <v>723</v>
      </c>
      <c r="D6" s="1" t="s">
        <v>89</v>
      </c>
      <c r="E6" s="1" t="s">
        <v>10</v>
      </c>
      <c r="F6" s="1" t="s">
        <v>144</v>
      </c>
      <c r="G6" s="366">
        <v>720</v>
      </c>
      <c r="H6" s="366">
        <v>720</v>
      </c>
      <c r="I6" s="366">
        <v>450</v>
      </c>
      <c r="J6" s="366">
        <v>450</v>
      </c>
      <c r="K6" s="366">
        <v>500</v>
      </c>
      <c r="L6" s="366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67">
        <v>1.08</v>
      </c>
      <c r="BW6" s="467">
        <v>1.0649999999999999</v>
      </c>
      <c r="BX6" s="28">
        <v>1.3</v>
      </c>
      <c r="BY6" s="303">
        <v>0</v>
      </c>
      <c r="BZ6" s="303">
        <v>0</v>
      </c>
      <c r="CA6" s="1" t="s">
        <v>10</v>
      </c>
      <c r="CB6" s="28" t="s">
        <v>800</v>
      </c>
      <c r="CC6" s="303">
        <v>0</v>
      </c>
      <c r="CD6" s="303" t="s">
        <v>10</v>
      </c>
      <c r="CE6" s="461">
        <v>2340</v>
      </c>
    </row>
    <row r="7" spans="1:90" x14ac:dyDescent="0.25">
      <c r="A7" s="29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366">
        <v>600</v>
      </c>
      <c r="H7" s="366">
        <v>750</v>
      </c>
      <c r="I7" s="366">
        <v>300</v>
      </c>
      <c r="J7" s="366">
        <v>600</v>
      </c>
      <c r="K7" s="366">
        <v>250</v>
      </c>
      <c r="L7" s="366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67">
        <v>1.08</v>
      </c>
      <c r="BW7" s="467">
        <v>1.0649999999999999</v>
      </c>
      <c r="BX7" s="28">
        <v>1.3</v>
      </c>
      <c r="BY7" s="303">
        <v>0</v>
      </c>
      <c r="BZ7" s="303">
        <v>0</v>
      </c>
      <c r="CA7" s="1" t="s">
        <v>87</v>
      </c>
      <c r="CB7" s="28" t="s">
        <v>799</v>
      </c>
      <c r="CC7" s="303">
        <v>0</v>
      </c>
      <c r="CD7" s="303" t="s">
        <v>10</v>
      </c>
      <c r="CE7" s="461">
        <v>2410</v>
      </c>
    </row>
    <row r="8" spans="1:90" ht="15" customHeight="1" x14ac:dyDescent="0.25">
      <c r="A8" s="29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366">
        <v>600</v>
      </c>
      <c r="H8" s="366">
        <v>750</v>
      </c>
      <c r="I8" s="366">
        <v>400</v>
      </c>
      <c r="J8" s="366">
        <v>900</v>
      </c>
      <c r="K8" s="366">
        <v>250</v>
      </c>
      <c r="L8" s="366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67">
        <v>1.08</v>
      </c>
      <c r="BW8" s="467">
        <v>1.0649999999999999</v>
      </c>
      <c r="BX8" s="28">
        <v>1.3</v>
      </c>
      <c r="BY8" s="303">
        <v>0</v>
      </c>
      <c r="BZ8" s="303">
        <v>0</v>
      </c>
      <c r="CA8" s="1" t="s">
        <v>87</v>
      </c>
      <c r="CB8" s="28" t="s">
        <v>799</v>
      </c>
      <c r="CC8" s="303">
        <v>0</v>
      </c>
      <c r="CD8" s="303" t="s">
        <v>10</v>
      </c>
      <c r="CE8" s="461">
        <v>2410</v>
      </c>
    </row>
    <row r="9" spans="1:90" ht="15" customHeight="1" x14ac:dyDescent="0.25">
      <c r="A9" s="298" t="s">
        <v>187</v>
      </c>
      <c r="B9" s="1" t="s">
        <v>6</v>
      </c>
      <c r="C9" s="1" t="s">
        <v>709</v>
      </c>
      <c r="D9" s="1" t="s">
        <v>85</v>
      </c>
      <c r="E9" s="1" t="s">
        <v>10</v>
      </c>
      <c r="F9" s="1" t="s">
        <v>143</v>
      </c>
      <c r="G9" s="366">
        <v>720</v>
      </c>
      <c r="H9" s="366">
        <v>720</v>
      </c>
      <c r="I9" s="366">
        <v>710</v>
      </c>
      <c r="J9" s="366">
        <v>950</v>
      </c>
      <c r="K9" s="366">
        <v>360</v>
      </c>
      <c r="L9" s="366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67">
        <v>1.08</v>
      </c>
      <c r="BW9" s="467">
        <v>1.0649999999999999</v>
      </c>
      <c r="BX9" s="28">
        <v>1.3</v>
      </c>
      <c r="BY9" s="303">
        <v>0</v>
      </c>
      <c r="BZ9" s="303">
        <v>2</v>
      </c>
      <c r="CA9" s="1" t="s">
        <v>87</v>
      </c>
      <c r="CB9" s="28" t="s">
        <v>799</v>
      </c>
      <c r="CC9" s="303">
        <v>0</v>
      </c>
      <c r="CD9" s="303" t="s">
        <v>10</v>
      </c>
      <c r="CE9" s="461">
        <v>3500</v>
      </c>
      <c r="CI9">
        <v>2</v>
      </c>
    </row>
    <row r="10" spans="1:90" ht="15" customHeight="1" x14ac:dyDescent="0.25">
      <c r="A10" s="297" t="s">
        <v>186</v>
      </c>
      <c r="B10" s="1" t="s">
        <v>6</v>
      </c>
      <c r="C10" s="1" t="s">
        <v>708</v>
      </c>
      <c r="D10" s="1" t="s">
        <v>85</v>
      </c>
      <c r="E10" s="1" t="s">
        <v>10</v>
      </c>
      <c r="F10" s="1" t="s">
        <v>143</v>
      </c>
      <c r="G10" s="366">
        <v>720</v>
      </c>
      <c r="H10" s="366">
        <v>720</v>
      </c>
      <c r="I10" s="366">
        <v>710</v>
      </c>
      <c r="J10" s="366">
        <v>950</v>
      </c>
      <c r="K10" s="366">
        <v>360</v>
      </c>
      <c r="L10" s="366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67">
        <v>1.08</v>
      </c>
      <c r="BW10" s="467">
        <v>1.0649999999999999</v>
      </c>
      <c r="BX10" s="28">
        <v>1.3</v>
      </c>
      <c r="BY10" s="303">
        <v>0</v>
      </c>
      <c r="BZ10" s="303">
        <v>2</v>
      </c>
      <c r="CA10" s="1" t="s">
        <v>87</v>
      </c>
      <c r="CB10" s="28" t="s">
        <v>799</v>
      </c>
      <c r="CC10" s="303">
        <v>0</v>
      </c>
      <c r="CD10" s="303" t="s">
        <v>10</v>
      </c>
      <c r="CE10" s="461">
        <v>3500</v>
      </c>
    </row>
    <row r="11" spans="1:90" ht="15" customHeight="1" x14ac:dyDescent="0.25">
      <c r="A11" s="298" t="s">
        <v>189</v>
      </c>
      <c r="B11" s="1" t="s">
        <v>6</v>
      </c>
      <c r="C11" s="1" t="s">
        <v>710</v>
      </c>
      <c r="D11" s="1" t="s">
        <v>85</v>
      </c>
      <c r="E11" s="1" t="s">
        <v>10</v>
      </c>
      <c r="F11" s="1" t="s">
        <v>145</v>
      </c>
      <c r="G11" s="366">
        <v>710</v>
      </c>
      <c r="H11" s="366">
        <v>950</v>
      </c>
      <c r="I11" s="366">
        <v>710</v>
      </c>
      <c r="J11" s="366">
        <v>950</v>
      </c>
      <c r="K11" s="366">
        <v>360</v>
      </c>
      <c r="L11" s="366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67">
        <v>1.08</v>
      </c>
      <c r="BW11" s="467">
        <v>1.0649999999999999</v>
      </c>
      <c r="BX11" s="28">
        <v>0</v>
      </c>
      <c r="BY11" s="303">
        <v>0</v>
      </c>
      <c r="BZ11" s="303">
        <v>0</v>
      </c>
      <c r="CA11" s="1" t="s">
        <v>87</v>
      </c>
      <c r="CB11" s="28" t="s">
        <v>799</v>
      </c>
      <c r="CC11" s="303">
        <v>0</v>
      </c>
      <c r="CD11" s="303" t="s">
        <v>10</v>
      </c>
      <c r="CE11" s="461">
        <v>3290</v>
      </c>
      <c r="CF11" t="s">
        <v>752</v>
      </c>
    </row>
    <row r="12" spans="1:90" ht="15" customHeight="1" x14ac:dyDescent="0.25">
      <c r="A12" s="297" t="s">
        <v>188</v>
      </c>
      <c r="B12" s="1" t="s">
        <v>6</v>
      </c>
      <c r="C12" s="1" t="s">
        <v>711</v>
      </c>
      <c r="D12" s="1" t="s">
        <v>85</v>
      </c>
      <c r="E12" s="1" t="s">
        <v>10</v>
      </c>
      <c r="F12" s="1" t="s">
        <v>145</v>
      </c>
      <c r="G12" s="366">
        <v>720</v>
      </c>
      <c r="H12" s="366">
        <v>720</v>
      </c>
      <c r="I12" s="366">
        <v>810</v>
      </c>
      <c r="J12" s="366">
        <v>1050</v>
      </c>
      <c r="K12" s="366">
        <v>360</v>
      </c>
      <c r="L12" s="366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67">
        <v>1.08</v>
      </c>
      <c r="BW12" s="467">
        <v>1.0649999999999999</v>
      </c>
      <c r="BX12" s="28">
        <v>0</v>
      </c>
      <c r="BY12" s="303">
        <v>0</v>
      </c>
      <c r="BZ12" s="303">
        <v>0</v>
      </c>
      <c r="CA12" s="1" t="s">
        <v>87</v>
      </c>
      <c r="CB12" s="28" t="s">
        <v>799</v>
      </c>
      <c r="CC12" s="303">
        <v>0</v>
      </c>
      <c r="CD12" s="303" t="s">
        <v>10</v>
      </c>
      <c r="CE12" s="461">
        <v>3290</v>
      </c>
      <c r="CF12" t="s">
        <v>752</v>
      </c>
    </row>
    <row r="13" spans="1:90" ht="15" customHeight="1" x14ac:dyDescent="0.25">
      <c r="A13" s="29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366">
        <v>720</v>
      </c>
      <c r="H13" s="366">
        <v>720</v>
      </c>
      <c r="I13" s="366">
        <v>300</v>
      </c>
      <c r="J13" s="366">
        <v>600</v>
      </c>
      <c r="K13" s="366">
        <v>525</v>
      </c>
      <c r="L13" s="366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67">
        <v>1.08</v>
      </c>
      <c r="BW13" s="467">
        <v>1.0649999999999999</v>
      </c>
      <c r="BX13" s="28">
        <v>0</v>
      </c>
      <c r="BY13" s="303">
        <v>0</v>
      </c>
      <c r="BZ13" s="303">
        <v>1</v>
      </c>
      <c r="CA13" s="1" t="s">
        <v>87</v>
      </c>
      <c r="CB13" s="28" t="s">
        <v>799</v>
      </c>
      <c r="CC13" s="303">
        <v>0</v>
      </c>
      <c r="CD13" s="303" t="s">
        <v>10</v>
      </c>
      <c r="CE13" s="461">
        <v>2610</v>
      </c>
      <c r="CF13" t="s">
        <v>752</v>
      </c>
    </row>
    <row r="14" spans="1:90" ht="15" customHeight="1" x14ac:dyDescent="0.25">
      <c r="A14" s="298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366">
        <v>720</v>
      </c>
      <c r="H14" s="366">
        <v>720</v>
      </c>
      <c r="I14" s="366">
        <v>500</v>
      </c>
      <c r="J14" s="366">
        <v>900</v>
      </c>
      <c r="K14" s="366">
        <v>525</v>
      </c>
      <c r="L14" s="366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67">
        <v>1.08</v>
      </c>
      <c r="BW14" s="467">
        <v>1.0649999999999999</v>
      </c>
      <c r="BX14" s="28">
        <v>0</v>
      </c>
      <c r="BY14" s="303">
        <v>0</v>
      </c>
      <c r="BZ14" s="303">
        <v>1</v>
      </c>
      <c r="CA14" s="1" t="s">
        <v>87</v>
      </c>
      <c r="CB14" s="28" t="s">
        <v>799</v>
      </c>
      <c r="CC14" s="303">
        <v>0</v>
      </c>
      <c r="CD14" s="303" t="s">
        <v>10</v>
      </c>
      <c r="CE14" s="461">
        <v>2610</v>
      </c>
      <c r="CF14" t="s">
        <v>752</v>
      </c>
    </row>
    <row r="15" spans="1:90" ht="15" customHeight="1" x14ac:dyDescent="0.25">
      <c r="A15" s="29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366">
        <v>720</v>
      </c>
      <c r="H15" s="366">
        <v>720</v>
      </c>
      <c r="I15" s="366">
        <v>300</v>
      </c>
      <c r="J15" s="366">
        <v>900</v>
      </c>
      <c r="K15" s="366">
        <v>525</v>
      </c>
      <c r="L15" s="366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67">
        <v>1.08</v>
      </c>
      <c r="BW15" s="467">
        <v>1.0649999999999999</v>
      </c>
      <c r="BX15" s="28">
        <v>0</v>
      </c>
      <c r="BY15" s="303">
        <v>0</v>
      </c>
      <c r="BZ15" s="303">
        <v>0</v>
      </c>
      <c r="CA15" s="1" t="s">
        <v>87</v>
      </c>
      <c r="CB15" s="28" t="s">
        <v>799</v>
      </c>
      <c r="CC15" s="303">
        <v>0</v>
      </c>
      <c r="CD15" s="303" t="s">
        <v>10</v>
      </c>
      <c r="CE15" s="461">
        <v>3400</v>
      </c>
      <c r="CF15" t="s">
        <v>752</v>
      </c>
    </row>
    <row r="16" spans="1:90" ht="15" customHeight="1" x14ac:dyDescent="0.25">
      <c r="A16" s="29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366">
        <v>720</v>
      </c>
      <c r="H16" s="366">
        <v>720</v>
      </c>
      <c r="I16" s="366">
        <v>300</v>
      </c>
      <c r="J16" s="366">
        <v>600</v>
      </c>
      <c r="K16" s="366">
        <v>525</v>
      </c>
      <c r="L16" s="366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67">
        <v>1.08</v>
      </c>
      <c r="BW16" s="467">
        <v>1.0649999999999999</v>
      </c>
      <c r="BX16" s="28">
        <v>0</v>
      </c>
      <c r="BY16" s="303">
        <v>0</v>
      </c>
      <c r="BZ16" s="303">
        <v>0</v>
      </c>
      <c r="CA16" s="1" t="s">
        <v>87</v>
      </c>
      <c r="CB16" s="28" t="s">
        <v>799</v>
      </c>
      <c r="CC16" s="303">
        <v>0</v>
      </c>
      <c r="CD16" s="303" t="s">
        <v>10</v>
      </c>
      <c r="CE16" s="461">
        <v>3060</v>
      </c>
      <c r="CF16" t="s">
        <v>752</v>
      </c>
    </row>
    <row r="17" spans="1:84" ht="15" customHeight="1" x14ac:dyDescent="0.25">
      <c r="A17" s="29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366">
        <v>720</v>
      </c>
      <c r="H17" s="366">
        <v>720</v>
      </c>
      <c r="I17" s="366">
        <v>300</v>
      </c>
      <c r="J17" s="366">
        <v>950</v>
      </c>
      <c r="K17" s="366">
        <v>525</v>
      </c>
      <c r="L17" s="366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67">
        <v>1.08</v>
      </c>
      <c r="BW17" s="467">
        <v>1.0649999999999999</v>
      </c>
      <c r="BX17" s="28">
        <v>0</v>
      </c>
      <c r="BY17" s="303">
        <v>0</v>
      </c>
      <c r="BZ17" s="303">
        <v>0</v>
      </c>
      <c r="CA17" s="1" t="s">
        <v>87</v>
      </c>
      <c r="CB17" s="28" t="s">
        <v>799</v>
      </c>
      <c r="CC17" s="303">
        <v>0</v>
      </c>
      <c r="CD17" s="303" t="s">
        <v>10</v>
      </c>
      <c r="CE17" s="461">
        <v>2910</v>
      </c>
      <c r="CF17" t="s">
        <v>752</v>
      </c>
    </row>
    <row r="18" spans="1:84" ht="15" customHeight="1" x14ac:dyDescent="0.25">
      <c r="A18" s="297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366">
        <v>720</v>
      </c>
      <c r="H18" s="366">
        <v>720</v>
      </c>
      <c r="I18" s="366">
        <v>450</v>
      </c>
      <c r="J18" s="366">
        <v>600</v>
      </c>
      <c r="K18" s="366">
        <v>525</v>
      </c>
      <c r="L18" s="366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67">
        <v>1.08</v>
      </c>
      <c r="BW18" s="467">
        <v>1.0649999999999999</v>
      </c>
      <c r="BX18" s="28">
        <v>0</v>
      </c>
      <c r="BY18" s="303">
        <v>0</v>
      </c>
      <c r="BZ18" s="303">
        <v>0</v>
      </c>
      <c r="CA18" s="1" t="s">
        <v>10</v>
      </c>
      <c r="CB18" s="28" t="s">
        <v>802</v>
      </c>
      <c r="CC18" s="303">
        <v>0</v>
      </c>
      <c r="CD18" s="303" t="s">
        <v>10</v>
      </c>
      <c r="CE18" s="461">
        <v>2940</v>
      </c>
    </row>
    <row r="19" spans="1:84" ht="15" customHeight="1" x14ac:dyDescent="0.25">
      <c r="A19" s="297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366">
        <v>720</v>
      </c>
      <c r="H19" s="366">
        <v>720</v>
      </c>
      <c r="I19" s="366">
        <v>230</v>
      </c>
      <c r="J19" s="366">
        <v>230</v>
      </c>
      <c r="K19" s="366">
        <v>330</v>
      </c>
      <c r="L19" s="366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67">
        <v>1.08</v>
      </c>
      <c r="BW19" s="467">
        <v>1.0649999999999999</v>
      </c>
      <c r="BX19" s="28">
        <v>1.3</v>
      </c>
      <c r="BY19" s="303">
        <v>0</v>
      </c>
      <c r="BZ19" s="303">
        <v>0</v>
      </c>
      <c r="CA19" s="1" t="s">
        <v>87</v>
      </c>
      <c r="CB19" s="28" t="s">
        <v>799</v>
      </c>
      <c r="CC19" s="303">
        <v>0</v>
      </c>
      <c r="CD19" s="303" t="s">
        <v>10</v>
      </c>
      <c r="CE19" s="461">
        <v>2780</v>
      </c>
    </row>
    <row r="20" spans="1:84" ht="15" customHeight="1" x14ac:dyDescent="0.25">
      <c r="A20" s="298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366">
        <v>720</v>
      </c>
      <c r="H20" s="366">
        <v>720</v>
      </c>
      <c r="I20" s="366">
        <v>315</v>
      </c>
      <c r="J20" s="366">
        <v>315</v>
      </c>
      <c r="K20" s="366">
        <v>315</v>
      </c>
      <c r="L20" s="366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67">
        <v>1.08</v>
      </c>
      <c r="BW20" s="467">
        <v>1.0649999999999999</v>
      </c>
      <c r="BX20" s="28">
        <v>1.3</v>
      </c>
      <c r="BY20" s="303">
        <v>1</v>
      </c>
      <c r="BZ20" s="303">
        <v>1</v>
      </c>
      <c r="CA20" s="1" t="s">
        <v>87</v>
      </c>
      <c r="CB20" s="28" t="s">
        <v>799</v>
      </c>
      <c r="CC20" s="303">
        <v>1</v>
      </c>
      <c r="CD20" s="303" t="s">
        <v>10</v>
      </c>
      <c r="CE20" s="461">
        <v>2260</v>
      </c>
    </row>
    <row r="21" spans="1:84" ht="15" customHeight="1" x14ac:dyDescent="0.25">
      <c r="A21" s="298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366">
        <v>720</v>
      </c>
      <c r="H21" s="366">
        <v>720</v>
      </c>
      <c r="I21" s="366">
        <v>315</v>
      </c>
      <c r="J21" s="366">
        <v>315</v>
      </c>
      <c r="K21" s="366">
        <v>415</v>
      </c>
      <c r="L21" s="366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67">
        <v>1.08</v>
      </c>
      <c r="BW21" s="467">
        <v>1.0649999999999999</v>
      </c>
      <c r="BX21" s="28">
        <v>1.3</v>
      </c>
      <c r="BY21" s="303">
        <v>1</v>
      </c>
      <c r="BZ21" s="303">
        <v>1</v>
      </c>
      <c r="CA21" s="1" t="s">
        <v>10</v>
      </c>
      <c r="CB21" s="28" t="s">
        <v>801</v>
      </c>
      <c r="CC21" s="303">
        <v>1</v>
      </c>
      <c r="CD21" s="303" t="s">
        <v>10</v>
      </c>
      <c r="CE21" s="461">
        <v>2260</v>
      </c>
    </row>
    <row r="22" spans="1:84" ht="15" customHeight="1" x14ac:dyDescent="0.25">
      <c r="A22" s="298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366">
        <v>720</v>
      </c>
      <c r="H22" s="366">
        <v>720</v>
      </c>
      <c r="I22" s="366">
        <v>150</v>
      </c>
      <c r="J22" s="366">
        <v>600</v>
      </c>
      <c r="K22" s="366">
        <v>300</v>
      </c>
      <c r="L22" s="366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67">
        <v>1.08</v>
      </c>
      <c r="BW22" s="467">
        <v>1.0649999999999999</v>
      </c>
      <c r="BX22" s="28">
        <v>1.3</v>
      </c>
      <c r="BY22" s="303">
        <v>0</v>
      </c>
      <c r="BZ22" s="303">
        <v>2</v>
      </c>
      <c r="CA22" s="1" t="s">
        <v>10</v>
      </c>
      <c r="CB22" s="28" t="s">
        <v>800</v>
      </c>
      <c r="CC22" s="303">
        <v>0</v>
      </c>
      <c r="CD22" s="303" t="s">
        <v>10</v>
      </c>
      <c r="CE22" s="461">
        <v>2877.2</v>
      </c>
    </row>
    <row r="23" spans="1:84" ht="15" customHeight="1" x14ac:dyDescent="0.25">
      <c r="A23" s="298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366">
        <v>720</v>
      </c>
      <c r="H23" s="366">
        <v>720</v>
      </c>
      <c r="I23" s="366">
        <v>600</v>
      </c>
      <c r="J23" s="366">
        <v>900</v>
      </c>
      <c r="K23" s="366">
        <v>300</v>
      </c>
      <c r="L23" s="366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67">
        <v>1.08</v>
      </c>
      <c r="BW23" s="467">
        <v>1.0649999999999999</v>
      </c>
      <c r="BX23" s="28">
        <v>1.3</v>
      </c>
      <c r="BY23" s="303">
        <v>0</v>
      </c>
      <c r="BZ23" s="303">
        <v>2</v>
      </c>
      <c r="CA23" s="1" t="s">
        <v>10</v>
      </c>
      <c r="CB23" s="28" t="s">
        <v>800</v>
      </c>
      <c r="CC23" s="303">
        <v>0</v>
      </c>
      <c r="CD23" s="303" t="s">
        <v>10</v>
      </c>
      <c r="CE23" s="461">
        <v>2527.1999999999998</v>
      </c>
    </row>
    <row r="24" spans="1:84" ht="15" customHeight="1" x14ac:dyDescent="0.25">
      <c r="A24" s="298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366">
        <v>720</v>
      </c>
      <c r="H24" s="366">
        <v>720</v>
      </c>
      <c r="I24" s="366">
        <v>300</v>
      </c>
      <c r="J24" s="366">
        <v>900</v>
      </c>
      <c r="K24" s="366">
        <v>525</v>
      </c>
      <c r="L24" s="366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67">
        <v>1.08</v>
      </c>
      <c r="BW24" s="467">
        <v>1.0649999999999999</v>
      </c>
      <c r="BX24" s="28">
        <v>0</v>
      </c>
      <c r="BY24" s="303">
        <v>0</v>
      </c>
      <c r="BZ24" s="303">
        <v>0</v>
      </c>
      <c r="CA24" s="1" t="s">
        <v>10</v>
      </c>
      <c r="CB24" s="28" t="s">
        <v>800</v>
      </c>
      <c r="CC24" s="303">
        <v>0</v>
      </c>
      <c r="CD24" s="303" t="s">
        <v>10</v>
      </c>
      <c r="CE24" s="461">
        <v>3992.8</v>
      </c>
    </row>
    <row r="25" spans="1:84" ht="15" customHeight="1" x14ac:dyDescent="0.25">
      <c r="A25" s="298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366">
        <v>720</v>
      </c>
      <c r="H25" s="366">
        <v>720</v>
      </c>
      <c r="I25" s="366">
        <v>300</v>
      </c>
      <c r="J25" s="366">
        <v>900</v>
      </c>
      <c r="K25" s="366">
        <v>525</v>
      </c>
      <c r="L25" s="366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67">
        <v>1.08</v>
      </c>
      <c r="BW25" s="467">
        <v>1.0649999999999999</v>
      </c>
      <c r="BX25" s="28">
        <v>0</v>
      </c>
      <c r="BY25" s="303">
        <v>0</v>
      </c>
      <c r="BZ25" s="303">
        <v>0</v>
      </c>
      <c r="CA25" s="1" t="s">
        <v>10</v>
      </c>
      <c r="CB25" s="28" t="s">
        <v>800</v>
      </c>
      <c r="CC25" s="303">
        <v>0</v>
      </c>
      <c r="CD25" s="303" t="s">
        <v>10</v>
      </c>
      <c r="CE25" s="461">
        <v>3304.8</v>
      </c>
    </row>
    <row r="26" spans="1:84" ht="15" customHeight="1" x14ac:dyDescent="0.25">
      <c r="A26" s="298" t="s">
        <v>694</v>
      </c>
      <c r="B26" s="1" t="s">
        <v>6</v>
      </c>
      <c r="C26" s="1" t="s">
        <v>1301</v>
      </c>
      <c r="D26" s="1" t="s">
        <v>89</v>
      </c>
      <c r="E26" s="1" t="s">
        <v>87</v>
      </c>
      <c r="F26" s="1" t="s">
        <v>144</v>
      </c>
      <c r="G26" s="366">
        <v>720</v>
      </c>
      <c r="H26" s="366">
        <v>720</v>
      </c>
      <c r="I26" s="366">
        <v>150</v>
      </c>
      <c r="J26" s="366">
        <v>150</v>
      </c>
      <c r="K26" s="366">
        <v>515</v>
      </c>
      <c r="L26" s="366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67">
        <v>1.08</v>
      </c>
      <c r="BW26" s="467">
        <v>1.0649999999999999</v>
      </c>
      <c r="BX26" s="28">
        <v>1.3</v>
      </c>
      <c r="BY26" s="303">
        <v>0</v>
      </c>
      <c r="BZ26" s="303">
        <v>0</v>
      </c>
      <c r="CA26" s="1" t="s">
        <v>10</v>
      </c>
      <c r="CB26" s="28" t="s">
        <v>800</v>
      </c>
      <c r="CC26" s="303">
        <v>0</v>
      </c>
      <c r="CD26" s="303" t="s">
        <v>10</v>
      </c>
      <c r="CE26" s="461">
        <v>2527.1999999999998</v>
      </c>
    </row>
    <row r="27" spans="1:84" ht="15" customHeight="1" x14ac:dyDescent="0.25">
      <c r="A27" s="298" t="s">
        <v>695</v>
      </c>
      <c r="B27" s="1" t="s">
        <v>6</v>
      </c>
      <c r="C27" s="1" t="s">
        <v>1302</v>
      </c>
      <c r="D27" s="1" t="s">
        <v>89</v>
      </c>
      <c r="E27" s="1" t="s">
        <v>87</v>
      </c>
      <c r="F27" s="1" t="s">
        <v>144</v>
      </c>
      <c r="G27" s="366">
        <v>720</v>
      </c>
      <c r="H27" s="366">
        <v>720</v>
      </c>
      <c r="I27" s="366">
        <v>450</v>
      </c>
      <c r="J27" s="366">
        <v>450</v>
      </c>
      <c r="K27" s="366">
        <v>515</v>
      </c>
      <c r="L27" s="366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67">
        <v>1.08</v>
      </c>
      <c r="BW27" s="467">
        <v>1.0649999999999999</v>
      </c>
      <c r="BX27" s="28">
        <v>1.3</v>
      </c>
      <c r="BY27" s="303">
        <v>0</v>
      </c>
      <c r="BZ27" s="303">
        <v>0</v>
      </c>
      <c r="CA27" s="1" t="s">
        <v>10</v>
      </c>
      <c r="CB27" s="28" t="s">
        <v>800</v>
      </c>
      <c r="CC27" s="303">
        <v>0</v>
      </c>
      <c r="CD27" s="303" t="s">
        <v>10</v>
      </c>
      <c r="CE27" s="461">
        <v>2527.1999999999998</v>
      </c>
    </row>
    <row r="28" spans="1:84" ht="15" customHeight="1" x14ac:dyDescent="0.25">
      <c r="A28" s="297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366">
        <v>720</v>
      </c>
      <c r="H28" s="366">
        <v>720</v>
      </c>
      <c r="I28" s="366">
        <v>300</v>
      </c>
      <c r="J28" s="366">
        <v>600</v>
      </c>
      <c r="K28" s="366">
        <v>300</v>
      </c>
      <c r="L28" s="366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67">
        <v>1.08</v>
      </c>
      <c r="BW28" s="467">
        <v>1.0649999999999999</v>
      </c>
      <c r="BX28" s="28">
        <v>1.3</v>
      </c>
      <c r="BY28" s="303">
        <v>0</v>
      </c>
      <c r="BZ28" s="303">
        <v>0</v>
      </c>
      <c r="CA28" s="1" t="s">
        <v>10</v>
      </c>
      <c r="CB28" s="28" t="s">
        <v>800</v>
      </c>
      <c r="CC28" s="303">
        <v>0</v>
      </c>
      <c r="CD28" s="303" t="s">
        <v>10</v>
      </c>
      <c r="CE28" s="461">
        <v>2527.1999999999998</v>
      </c>
    </row>
    <row r="29" spans="1:84" ht="15" customHeight="1" x14ac:dyDescent="0.25">
      <c r="A29" s="29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366">
        <v>720</v>
      </c>
      <c r="H29" s="366">
        <v>720</v>
      </c>
      <c r="I29" s="366">
        <v>600</v>
      </c>
      <c r="J29" s="366">
        <v>900</v>
      </c>
      <c r="K29" s="366">
        <v>300</v>
      </c>
      <c r="L29" s="366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67">
        <v>1.08</v>
      </c>
      <c r="BW29" s="467">
        <v>1.0649999999999999</v>
      </c>
      <c r="BX29" s="28">
        <v>1.3</v>
      </c>
      <c r="BY29" s="303">
        <v>0</v>
      </c>
      <c r="BZ29" s="303">
        <v>0</v>
      </c>
      <c r="CA29" s="1" t="s">
        <v>10</v>
      </c>
      <c r="CB29" s="28" t="s">
        <v>800</v>
      </c>
      <c r="CC29" s="303">
        <v>0</v>
      </c>
      <c r="CD29" s="303" t="s">
        <v>10</v>
      </c>
      <c r="CE29" s="461">
        <v>2527.1999999999998</v>
      </c>
    </row>
    <row r="30" spans="1:84" ht="15" customHeight="1" x14ac:dyDescent="0.25">
      <c r="A30" s="297" t="s">
        <v>192</v>
      </c>
      <c r="B30" s="1" t="s">
        <v>6</v>
      </c>
      <c r="C30" s="1" t="s">
        <v>720</v>
      </c>
      <c r="D30" s="1" t="s">
        <v>85</v>
      </c>
      <c r="E30" s="1" t="s">
        <v>87</v>
      </c>
      <c r="F30" s="1" t="s">
        <v>143</v>
      </c>
      <c r="G30" s="366">
        <v>720</v>
      </c>
      <c r="H30" s="366">
        <v>720</v>
      </c>
      <c r="I30" s="366">
        <v>710</v>
      </c>
      <c r="J30" s="366">
        <v>950</v>
      </c>
      <c r="K30" s="366">
        <v>360</v>
      </c>
      <c r="L30" s="366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67">
        <v>1.08</v>
      </c>
      <c r="BW30" s="467">
        <v>1.0649999999999999</v>
      </c>
      <c r="BX30" s="28">
        <v>1.3</v>
      </c>
      <c r="BY30" s="303">
        <v>0</v>
      </c>
      <c r="BZ30" s="303">
        <v>2</v>
      </c>
      <c r="CA30" s="1" t="s">
        <v>10</v>
      </c>
      <c r="CB30" s="28" t="s">
        <v>800</v>
      </c>
      <c r="CC30" s="303">
        <v>0</v>
      </c>
      <c r="CD30" s="303" t="s">
        <v>10</v>
      </c>
      <c r="CE30" s="461">
        <v>3780</v>
      </c>
    </row>
    <row r="31" spans="1:84" ht="15" customHeight="1" x14ac:dyDescent="0.25">
      <c r="A31" s="297" t="s">
        <v>191</v>
      </c>
      <c r="B31" s="1" t="s">
        <v>6</v>
      </c>
      <c r="C31" s="1" t="s">
        <v>721</v>
      </c>
      <c r="D31" s="1" t="s">
        <v>85</v>
      </c>
      <c r="E31" s="1" t="s">
        <v>87</v>
      </c>
      <c r="F31" s="1" t="s">
        <v>143</v>
      </c>
      <c r="G31" s="366">
        <v>720</v>
      </c>
      <c r="H31" s="366">
        <v>720</v>
      </c>
      <c r="I31" s="366">
        <v>810</v>
      </c>
      <c r="J31" s="366">
        <v>1050</v>
      </c>
      <c r="K31" s="366">
        <v>360</v>
      </c>
      <c r="L31" s="366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67">
        <v>1.08</v>
      </c>
      <c r="BW31" s="467">
        <v>1.0649999999999999</v>
      </c>
      <c r="BX31" s="28">
        <v>1.3</v>
      </c>
      <c r="BY31" s="303">
        <v>0</v>
      </c>
      <c r="BZ31" s="303">
        <v>2</v>
      </c>
      <c r="CA31" s="1" t="s">
        <v>10</v>
      </c>
      <c r="CB31" s="28" t="s">
        <v>800</v>
      </c>
      <c r="CC31" s="303">
        <v>0</v>
      </c>
      <c r="CD31" s="303" t="s">
        <v>10</v>
      </c>
      <c r="CE31" s="461">
        <v>3780</v>
      </c>
    </row>
    <row r="32" spans="1:84" s="403" customFormat="1" ht="15" customHeight="1" x14ac:dyDescent="0.25">
      <c r="A32" s="486" t="s">
        <v>2</v>
      </c>
      <c r="B32" s="402" t="s">
        <v>7</v>
      </c>
      <c r="C32" s="402" t="s">
        <v>126</v>
      </c>
      <c r="D32" s="402" t="s">
        <v>8</v>
      </c>
      <c r="E32" s="402" t="s">
        <v>10</v>
      </c>
      <c r="F32" s="402" t="s">
        <v>143</v>
      </c>
      <c r="G32" s="480">
        <v>240</v>
      </c>
      <c r="H32" s="480">
        <v>1250</v>
      </c>
      <c r="I32" s="480">
        <v>150</v>
      </c>
      <c r="J32" s="480">
        <v>900</v>
      </c>
      <c r="K32" s="480">
        <v>250</v>
      </c>
      <c r="L32" s="480">
        <v>560</v>
      </c>
      <c r="M32" s="402"/>
      <c r="N32" s="481"/>
      <c r="O32" s="482">
        <v>1510</v>
      </c>
      <c r="P32" s="482"/>
      <c r="Q32" s="482"/>
      <c r="R32" s="402">
        <f>'комплекты фурнитуры'!$Q$10</f>
        <v>540</v>
      </c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AD32" s="402"/>
      <c r="AE32" s="402"/>
      <c r="AF32" s="402">
        <f>'комплекты фурнитуры'!$Q$79</f>
        <v>210</v>
      </c>
      <c r="AG32" s="402">
        <f>'комплекты фурнитуры'!$Q$80</f>
        <v>20</v>
      </c>
      <c r="AH32" s="483">
        <f>SUM(Прайс[[#This Row],[КФ НСТ11]:[KFPr-SB-ZPG]])</f>
        <v>770</v>
      </c>
      <c r="AI32" s="483"/>
      <c r="AJ32" s="402"/>
      <c r="AK32" s="402"/>
      <c r="AL32" s="402"/>
      <c r="AM32" s="483"/>
      <c r="AN32" s="483"/>
      <c r="AO32" s="483"/>
      <c r="AP32" s="483"/>
      <c r="AQ32" s="483"/>
      <c r="AR32" s="483"/>
      <c r="AS32" s="483"/>
      <c r="AT32" s="483"/>
      <c r="AU32" s="483"/>
      <c r="AV32" s="483"/>
      <c r="AW32" s="483"/>
      <c r="AX32" s="483"/>
      <c r="AY32" s="483"/>
      <c r="AZ32" s="483"/>
      <c r="BA32" s="483"/>
      <c r="BB32" s="483"/>
      <c r="BC32" s="483"/>
      <c r="BD32" s="483"/>
      <c r="BE32" s="483"/>
      <c r="BF32" s="483"/>
      <c r="BG32" s="483"/>
      <c r="BH32" s="483"/>
      <c r="BI32" s="483"/>
      <c r="BJ32" s="483"/>
      <c r="BK32" s="483"/>
      <c r="BL32" s="483"/>
      <c r="BM32" s="483"/>
      <c r="BN32" s="483"/>
      <c r="BO32" s="483"/>
      <c r="BP32" s="484">
        <v>0</v>
      </c>
      <c r="BQ32" s="484">
        <v>0</v>
      </c>
      <c r="BR32" s="484">
        <v>0</v>
      </c>
      <c r="BS32" s="402">
        <v>300</v>
      </c>
      <c r="BT32" s="402">
        <v>720</v>
      </c>
      <c r="BU32" s="402">
        <f>IF(OR(Прайс[[#This Row],[Тип]]="Нижний",Прайс[[#This Row],[Тип]]="Пенал"),"560",IF(Прайс[[#This Row],[Тип]]="Верхний",315,0))</f>
        <v>315</v>
      </c>
      <c r="BV32" s="485">
        <v>1.08</v>
      </c>
      <c r="BW32" s="485">
        <v>1.0649999999999999</v>
      </c>
      <c r="BX32" s="484">
        <v>1.3</v>
      </c>
      <c r="BY32" s="402">
        <v>0</v>
      </c>
      <c r="BZ32" s="402">
        <v>3</v>
      </c>
      <c r="CA32" s="402" t="s">
        <v>87</v>
      </c>
      <c r="CB32" s="484" t="s">
        <v>799</v>
      </c>
      <c r="CC32" s="402">
        <v>0</v>
      </c>
      <c r="CD32" s="402" t="s">
        <v>87</v>
      </c>
      <c r="CE32" s="402">
        <v>1690</v>
      </c>
    </row>
    <row r="33" spans="1:87" ht="15" customHeight="1" x14ac:dyDescent="0.25">
      <c r="A33" s="486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366">
        <v>360</v>
      </c>
      <c r="H33" s="366">
        <v>1250</v>
      </c>
      <c r="I33" s="366">
        <v>150</v>
      </c>
      <c r="J33" s="366">
        <v>600</v>
      </c>
      <c r="K33" s="366">
        <v>250</v>
      </c>
      <c r="L33" s="366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67">
        <v>1.08</v>
      </c>
      <c r="BW33" s="467">
        <v>1.0649999999999999</v>
      </c>
      <c r="BX33" s="28">
        <v>1.3</v>
      </c>
      <c r="BY33" s="303">
        <v>0</v>
      </c>
      <c r="BZ33" s="303">
        <v>3</v>
      </c>
      <c r="CA33" s="1" t="s">
        <v>87</v>
      </c>
      <c r="CB33" s="28" t="s">
        <v>799</v>
      </c>
      <c r="CC33" s="303">
        <v>0</v>
      </c>
      <c r="CD33" s="303" t="s">
        <v>87</v>
      </c>
      <c r="CE33" s="461">
        <v>1690</v>
      </c>
    </row>
    <row r="34" spans="1:87" ht="15" customHeight="1" x14ac:dyDescent="0.25">
      <c r="A34" s="486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366">
        <v>800</v>
      </c>
      <c r="H34" s="366">
        <v>960</v>
      </c>
      <c r="I34" s="366">
        <v>450</v>
      </c>
      <c r="J34" s="366">
        <v>600</v>
      </c>
      <c r="K34" s="366">
        <v>350</v>
      </c>
      <c r="L34" s="366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67">
        <v>1.08</v>
      </c>
      <c r="BW34" s="467">
        <v>1.0649999999999999</v>
      </c>
      <c r="BX34" s="28">
        <v>1.03</v>
      </c>
      <c r="BY34" s="303">
        <v>1</v>
      </c>
      <c r="BZ34" s="303">
        <v>1</v>
      </c>
      <c r="CA34" s="1" t="s">
        <v>87</v>
      </c>
      <c r="CB34" s="28" t="s">
        <v>799</v>
      </c>
      <c r="CC34" s="303">
        <v>1</v>
      </c>
      <c r="CD34" s="303" t="s">
        <v>87</v>
      </c>
      <c r="CE34" s="461">
        <v>1690</v>
      </c>
    </row>
    <row r="35" spans="1:87" ht="15" customHeight="1" x14ac:dyDescent="0.25">
      <c r="A35" s="486" t="s">
        <v>133</v>
      </c>
      <c r="B35" s="1" t="s">
        <v>7</v>
      </c>
      <c r="C35" s="1" t="s">
        <v>724</v>
      </c>
      <c r="D35" s="1" t="s">
        <v>89</v>
      </c>
      <c r="E35" s="1" t="s">
        <v>10</v>
      </c>
      <c r="F35" s="1" t="s">
        <v>148</v>
      </c>
      <c r="G35" s="366">
        <v>240</v>
      </c>
      <c r="H35" s="366">
        <v>600</v>
      </c>
      <c r="I35" s="366">
        <v>350</v>
      </c>
      <c r="J35" s="366">
        <v>700</v>
      </c>
      <c r="K35" s="366">
        <v>315</v>
      </c>
      <c r="L35" s="366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67">
        <v>1.08</v>
      </c>
      <c r="BW35" s="467">
        <v>1.0649999999999999</v>
      </c>
      <c r="BX35" s="28">
        <v>1.3</v>
      </c>
      <c r="BY35" s="303">
        <v>0</v>
      </c>
      <c r="BZ35" s="303">
        <v>0</v>
      </c>
      <c r="CA35" s="1" t="s">
        <v>10</v>
      </c>
      <c r="CB35" s="28" t="s">
        <v>801</v>
      </c>
      <c r="CC35" s="303">
        <v>0</v>
      </c>
      <c r="CD35" s="303" t="s">
        <v>10</v>
      </c>
      <c r="CE35" s="461">
        <v>1690</v>
      </c>
    </row>
    <row r="36" spans="1:87" s="492" customFormat="1" ht="15" customHeight="1" x14ac:dyDescent="0.25">
      <c r="A36" s="486" t="s">
        <v>134</v>
      </c>
      <c r="B36" s="304" t="s">
        <v>7</v>
      </c>
      <c r="C36" s="304" t="s">
        <v>114</v>
      </c>
      <c r="D36" s="304" t="s">
        <v>89</v>
      </c>
      <c r="E36" s="304" t="s">
        <v>10</v>
      </c>
      <c r="F36" s="304" t="s">
        <v>155</v>
      </c>
      <c r="G36" s="487">
        <v>600</v>
      </c>
      <c r="H36" s="487">
        <v>800</v>
      </c>
      <c r="I36" s="487">
        <v>450</v>
      </c>
      <c r="J36" s="487">
        <v>600</v>
      </c>
      <c r="K36" s="487">
        <v>350</v>
      </c>
      <c r="L36" s="487">
        <v>500</v>
      </c>
      <c r="M36" s="304"/>
      <c r="N36" s="488"/>
      <c r="O36" s="489">
        <v>2120</v>
      </c>
      <c r="P36" s="489"/>
      <c r="Q36" s="489"/>
      <c r="R36" s="304"/>
      <c r="S36" s="304"/>
      <c r="T36" s="304"/>
      <c r="U36" s="304"/>
      <c r="V36" s="304"/>
      <c r="W36" s="304"/>
      <c r="X36" s="304"/>
      <c r="Y36" s="304">
        <f>'комплекты фурнитуры'!$Q$20</f>
        <v>740</v>
      </c>
      <c r="Z36" s="304"/>
      <c r="AA36" s="304"/>
      <c r="AB36" s="304"/>
      <c r="AC36" s="304"/>
      <c r="AD36" s="304"/>
      <c r="AE36" s="304"/>
      <c r="AF36" s="304">
        <f>'комплекты фурнитуры'!$Q$79</f>
        <v>210</v>
      </c>
      <c r="AG36" s="304">
        <f>'комплекты фурнитуры'!$Q$80</f>
        <v>20</v>
      </c>
      <c r="AH36" s="490">
        <f>SUM(Прайс[[#This Row],[КФ НСТ11]:[KFPr-SB-ZPG]])</f>
        <v>970</v>
      </c>
      <c r="AI36" s="490"/>
      <c r="AJ36" s="304"/>
      <c r="AK36" s="304"/>
      <c r="AL36" s="304"/>
      <c r="AM36" s="490"/>
      <c r="AN36" s="490">
        <f>'комплекты фурнитуры'!$Q$69</f>
        <v>130</v>
      </c>
      <c r="AO36" s="490"/>
      <c r="AP36" s="490"/>
      <c r="AQ36" s="490"/>
      <c r="AR36" s="490"/>
      <c r="AS36" s="490"/>
      <c r="AT36" s="490"/>
      <c r="AU36" s="490"/>
      <c r="AV36" s="490"/>
      <c r="AW36" s="490">
        <f>'комплекты фурнитуры'!$Q$73</f>
        <v>6080</v>
      </c>
      <c r="AX36" s="490"/>
      <c r="AY36" s="490">
        <f>'комплекты фурнитуры'!$Q$76</f>
        <v>2290</v>
      </c>
      <c r="AZ36" s="490"/>
      <c r="BA36" s="490"/>
      <c r="BB36" s="490"/>
      <c r="BC36" s="490"/>
      <c r="BD36" s="490"/>
      <c r="BE36" s="490"/>
      <c r="BF36" s="490"/>
      <c r="BG36" s="490"/>
      <c r="BH36" s="490"/>
      <c r="BI36" s="490"/>
      <c r="BJ36" s="490"/>
      <c r="BK36" s="490"/>
      <c r="BL36" s="490"/>
      <c r="BM36" s="490"/>
      <c r="BN36" s="490"/>
      <c r="BO36" s="490"/>
      <c r="BP36" s="305">
        <f>Прайс[[#This Row],[KFP-SP-PPGK]]</f>
        <v>6080</v>
      </c>
      <c r="BQ36" s="305">
        <f>Прайс[[#This Row],[KFP-SP-PPA]]+Прайс[[#This Row],[KFP-SB-N110]]*2</f>
        <v>2550</v>
      </c>
      <c r="BR36" s="305">
        <v>0</v>
      </c>
      <c r="BS36" s="304">
        <v>600</v>
      </c>
      <c r="BT36" s="304">
        <v>720</v>
      </c>
      <c r="BU36" s="304">
        <v>350</v>
      </c>
      <c r="BV36" s="491">
        <v>1.08</v>
      </c>
      <c r="BW36" s="491">
        <v>1.0649999999999999</v>
      </c>
      <c r="BX36" s="305">
        <v>1.3</v>
      </c>
      <c r="BY36" s="304">
        <v>0</v>
      </c>
      <c r="BZ36" s="304">
        <v>0</v>
      </c>
      <c r="CA36" s="304" t="s">
        <v>10</v>
      </c>
      <c r="CB36" s="305" t="s">
        <v>801</v>
      </c>
      <c r="CC36" s="304">
        <v>0</v>
      </c>
      <c r="CD36" s="304" t="s">
        <v>10</v>
      </c>
      <c r="CE36" s="304">
        <v>2460</v>
      </c>
    </row>
    <row r="37" spans="1:87" ht="15" customHeight="1" x14ac:dyDescent="0.25">
      <c r="A37" s="486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366">
        <v>360</v>
      </c>
      <c r="H37" s="366">
        <v>1250</v>
      </c>
      <c r="I37" s="366">
        <v>400</v>
      </c>
      <c r="J37" s="366">
        <v>900</v>
      </c>
      <c r="K37" s="366">
        <v>250</v>
      </c>
      <c r="L37" s="366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67">
        <v>1.08</v>
      </c>
      <c r="BW37" s="467">
        <v>1.0649999999999999</v>
      </c>
      <c r="BX37" s="28">
        <v>1.3</v>
      </c>
      <c r="BY37" s="303">
        <v>0</v>
      </c>
      <c r="BZ37" s="303">
        <v>3</v>
      </c>
      <c r="CA37" s="303" t="s">
        <v>87</v>
      </c>
      <c r="CB37" s="367" t="s">
        <v>799</v>
      </c>
      <c r="CC37" s="303">
        <v>0</v>
      </c>
      <c r="CD37" s="303" t="s">
        <v>87</v>
      </c>
      <c r="CE37" s="461">
        <v>1690</v>
      </c>
      <c r="CG37" t="s">
        <v>866</v>
      </c>
    </row>
    <row r="38" spans="1:87" ht="15" customHeight="1" x14ac:dyDescent="0.25">
      <c r="A38" s="486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366">
        <v>720</v>
      </c>
      <c r="H38" s="366">
        <v>720</v>
      </c>
      <c r="I38" s="366">
        <v>400</v>
      </c>
      <c r="J38" s="366">
        <v>900</v>
      </c>
      <c r="K38" s="366">
        <v>300</v>
      </c>
      <c r="L38" s="366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67">
        <v>1.08</v>
      </c>
      <c r="BW38" s="467">
        <v>1.0649999999999999</v>
      </c>
      <c r="BX38" s="28">
        <v>1.3</v>
      </c>
      <c r="BY38" s="303">
        <v>1</v>
      </c>
      <c r="BZ38" s="303">
        <v>1</v>
      </c>
      <c r="CA38" s="303" t="s">
        <v>10</v>
      </c>
      <c r="CB38" s="367" t="s">
        <v>800</v>
      </c>
      <c r="CC38" s="303">
        <v>1</v>
      </c>
      <c r="CD38" s="303" t="s">
        <v>87</v>
      </c>
      <c r="CE38" s="461">
        <v>1690</v>
      </c>
    </row>
    <row r="39" spans="1:87" ht="15" customHeight="1" x14ac:dyDescent="0.25">
      <c r="A39" s="486" t="s">
        <v>797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366">
        <v>360</v>
      </c>
      <c r="H39" s="366">
        <v>1250</v>
      </c>
      <c r="I39" s="366">
        <v>595</v>
      </c>
      <c r="J39" s="366">
        <v>1000</v>
      </c>
      <c r="K39" s="366">
        <v>315</v>
      </c>
      <c r="L39" s="366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67">
        <v>1.08</v>
      </c>
      <c r="BW39" s="467">
        <v>1.0649999999999999</v>
      </c>
      <c r="BX39" s="28">
        <v>0</v>
      </c>
      <c r="BY39" s="303">
        <v>0</v>
      </c>
      <c r="BZ39" s="303">
        <v>2</v>
      </c>
      <c r="CA39" s="303" t="s">
        <v>87</v>
      </c>
      <c r="CB39" s="367" t="s">
        <v>799</v>
      </c>
      <c r="CC39" s="303">
        <v>0</v>
      </c>
      <c r="CD39" s="303" t="s">
        <v>87</v>
      </c>
      <c r="CE39" s="461">
        <v>2900</v>
      </c>
      <c r="CG39" t="s">
        <v>1048</v>
      </c>
      <c r="CI39" t="s">
        <v>1047</v>
      </c>
    </row>
    <row r="40" spans="1:87" ht="15" customHeight="1" x14ac:dyDescent="0.25">
      <c r="A40" s="493" t="s">
        <v>34</v>
      </c>
      <c r="B40" s="1" t="s">
        <v>7</v>
      </c>
      <c r="C40" s="1" t="s">
        <v>1308</v>
      </c>
      <c r="D40" s="1" t="s">
        <v>89</v>
      </c>
      <c r="E40" s="1" t="s">
        <v>10</v>
      </c>
      <c r="F40" s="1" t="s">
        <v>149</v>
      </c>
      <c r="G40" s="366">
        <v>440</v>
      </c>
      <c r="H40" s="366">
        <v>1210</v>
      </c>
      <c r="I40" s="366">
        <v>500</v>
      </c>
      <c r="J40" s="366">
        <v>600</v>
      </c>
      <c r="K40" s="366">
        <v>300</v>
      </c>
      <c r="L40" s="366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67">
        <v>1.095</v>
      </c>
      <c r="BW40" s="467">
        <v>1.0649999999999999</v>
      </c>
      <c r="BX40" s="28">
        <v>1.3</v>
      </c>
      <c r="BY40" s="303">
        <v>1</v>
      </c>
      <c r="BZ40" s="303">
        <v>2</v>
      </c>
      <c r="CA40" s="303" t="s">
        <v>87</v>
      </c>
      <c r="CB40" s="367" t="s">
        <v>799</v>
      </c>
      <c r="CC40" s="303">
        <v>1</v>
      </c>
      <c r="CD40" s="303" t="s">
        <v>10</v>
      </c>
      <c r="CE40" s="461">
        <v>2890</v>
      </c>
      <c r="CG40" t="s">
        <v>1049</v>
      </c>
    </row>
    <row r="41" spans="1:87" ht="15" customHeight="1" x14ac:dyDescent="0.25">
      <c r="A41" s="493" t="s">
        <v>35</v>
      </c>
      <c r="B41" s="1" t="s">
        <v>7</v>
      </c>
      <c r="C41" s="1" t="s">
        <v>1309</v>
      </c>
      <c r="D41" s="1" t="s">
        <v>89</v>
      </c>
      <c r="E41" s="1" t="s">
        <v>10</v>
      </c>
      <c r="F41" s="1" t="s">
        <v>149</v>
      </c>
      <c r="G41" s="366">
        <v>440</v>
      </c>
      <c r="H41" s="366">
        <v>1210</v>
      </c>
      <c r="I41" s="366">
        <v>600</v>
      </c>
      <c r="J41" s="366">
        <v>900</v>
      </c>
      <c r="K41" s="366">
        <v>300</v>
      </c>
      <c r="L41" s="366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Планкой]]*4</f>
        <v>2000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67">
        <v>1.095</v>
      </c>
      <c r="BW41" s="467">
        <v>1.0649999999999999</v>
      </c>
      <c r="BX41" s="28">
        <v>1.3</v>
      </c>
      <c r="BY41" s="303">
        <v>1</v>
      </c>
      <c r="BZ41" s="303">
        <v>2</v>
      </c>
      <c r="CA41" s="303" t="s">
        <v>87</v>
      </c>
      <c r="CB41" s="367" t="s">
        <v>799</v>
      </c>
      <c r="CC41" s="303">
        <v>1</v>
      </c>
      <c r="CD41" s="303" t="s">
        <v>10</v>
      </c>
      <c r="CE41" s="461">
        <v>2890</v>
      </c>
    </row>
    <row r="42" spans="1:87" ht="15" customHeight="1" x14ac:dyDescent="0.25">
      <c r="A42" s="486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366">
        <v>360</v>
      </c>
      <c r="H42" s="366">
        <v>960</v>
      </c>
      <c r="I42" s="366">
        <v>600</v>
      </c>
      <c r="J42" s="366">
        <v>600</v>
      </c>
      <c r="K42" s="366">
        <v>600</v>
      </c>
      <c r="L42" s="366">
        <v>600</v>
      </c>
      <c r="M42" s="1"/>
      <c r="N42" s="269" t="s">
        <v>69</v>
      </c>
      <c r="O42" s="251">
        <v>2530</v>
      </c>
      <c r="P42" s="251"/>
      <c r="Q42" s="251"/>
      <c r="R42" s="1"/>
      <c r="S42" s="1"/>
      <c r="T42" s="1"/>
      <c r="U42" s="1"/>
      <c r="V42" s="1"/>
      <c r="W42" s="1"/>
      <c r="X42" s="1"/>
      <c r="Y42" s="1">
        <f>'комплекты фурнитуры'!$Q$20</f>
        <v>740</v>
      </c>
      <c r="Z42" s="1"/>
      <c r="AA42" s="1"/>
      <c r="AB42" s="1"/>
      <c r="AC42" s="1"/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970</v>
      </c>
      <c r="AI42" s="29"/>
      <c r="AJ42" s="1"/>
      <c r="AK42" s="1"/>
      <c r="AL42" s="1"/>
      <c r="AM42" s="29"/>
      <c r="AN42" s="29"/>
      <c r="AO42" s="29"/>
      <c r="AP42" s="29"/>
      <c r="AQ42" s="29">
        <f>'комплекты фурнитуры'!$Q$60</f>
        <v>1560</v>
      </c>
      <c r="AR42" s="29">
        <f>'комплекты фурнитуры'!$Q$61</f>
        <v>190</v>
      </c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67">
        <v>1.08</v>
      </c>
      <c r="BW42" s="467">
        <v>1.0649999999999999</v>
      </c>
      <c r="BX42" s="28">
        <v>0</v>
      </c>
      <c r="BY42" s="303">
        <v>0</v>
      </c>
      <c r="BZ42" s="303">
        <v>3</v>
      </c>
      <c r="CA42" s="303" t="s">
        <v>87</v>
      </c>
      <c r="CB42" s="367" t="s">
        <v>799</v>
      </c>
      <c r="CC42" s="303">
        <v>0</v>
      </c>
      <c r="CD42" s="303" t="s">
        <v>10</v>
      </c>
      <c r="CE42" s="461">
        <v>2820</v>
      </c>
      <c r="CG42" t="s">
        <v>864</v>
      </c>
    </row>
    <row r="43" spans="1:87" ht="15" customHeight="1" x14ac:dyDescent="0.25">
      <c r="A43" s="486" t="s">
        <v>696</v>
      </c>
      <c r="B43" s="1" t="s">
        <v>7</v>
      </c>
      <c r="C43" s="1" t="s">
        <v>712</v>
      </c>
      <c r="D43" s="1" t="s">
        <v>89</v>
      </c>
      <c r="E43" s="1" t="s">
        <v>10</v>
      </c>
      <c r="F43" s="1" t="s">
        <v>150</v>
      </c>
      <c r="G43" s="366">
        <v>601</v>
      </c>
      <c r="H43" s="366">
        <v>1250</v>
      </c>
      <c r="I43" s="366">
        <v>450</v>
      </c>
      <c r="J43" s="366">
        <v>450</v>
      </c>
      <c r="K43" s="366">
        <v>315</v>
      </c>
      <c r="L43" s="366">
        <v>360</v>
      </c>
      <c r="M43" s="1"/>
      <c r="N43" s="269" t="s">
        <v>78</v>
      </c>
      <c r="O43" s="251">
        <v>1460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фурнитуры'!$Q$23</f>
        <v>340</v>
      </c>
      <c r="AC43" s="1"/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570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>
        <f>'комплекты фурнитуры'!$Q$44</f>
        <v>1590</v>
      </c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Планкой]]*2+Прайс[[#This Row],[KFS-SB-45 (посудосушители)]]</f>
        <v>2590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67">
        <v>1.095</v>
      </c>
      <c r="BW43" s="467">
        <v>1.0649999999999999</v>
      </c>
      <c r="BX43" s="28">
        <v>1.3</v>
      </c>
      <c r="BY43" s="303">
        <v>0</v>
      </c>
      <c r="BZ43" s="303">
        <v>2</v>
      </c>
      <c r="CA43" s="303" t="s">
        <v>87</v>
      </c>
      <c r="CB43" s="367" t="s">
        <v>799</v>
      </c>
      <c r="CC43" s="402">
        <v>0</v>
      </c>
      <c r="CD43" s="303" t="s">
        <v>87</v>
      </c>
      <c r="CE43" s="461">
        <v>1630</v>
      </c>
    </row>
    <row r="44" spans="1:87" ht="15" customHeight="1" x14ac:dyDescent="0.25">
      <c r="A44" s="486" t="s">
        <v>697</v>
      </c>
      <c r="B44" s="1" t="s">
        <v>7</v>
      </c>
      <c r="C44" s="1" t="s">
        <v>713</v>
      </c>
      <c r="D44" s="1" t="s">
        <v>89</v>
      </c>
      <c r="E44" s="1" t="s">
        <v>10</v>
      </c>
      <c r="F44" s="1" t="s">
        <v>150</v>
      </c>
      <c r="G44" s="366">
        <v>601</v>
      </c>
      <c r="H44" s="366">
        <v>1250</v>
      </c>
      <c r="I44" s="366">
        <v>596</v>
      </c>
      <c r="J44" s="366">
        <v>596</v>
      </c>
      <c r="K44" s="366">
        <v>315</v>
      </c>
      <c r="L44" s="366">
        <v>360</v>
      </c>
      <c r="M44" s="1"/>
      <c r="N44" s="269" t="s">
        <v>78</v>
      </c>
      <c r="O44" s="251">
        <v>1460</v>
      </c>
      <c r="P44" s="251"/>
      <c r="Q44" s="251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фурнитуры'!$Q$23</f>
        <v>340</v>
      </c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570</v>
      </c>
      <c r="AI44" s="29"/>
      <c r="AJ44" s="1"/>
      <c r="AK44" s="1"/>
      <c r="AL44" s="1"/>
      <c r="AM44" s="29">
        <f>'комплекты фурнитуры'!$Q$68</f>
        <v>500</v>
      </c>
      <c r="AN44" s="29">
        <f>'комплекты фурнитуры'!$Q$69</f>
        <v>130</v>
      </c>
      <c r="AO44" s="29"/>
      <c r="AP44" s="29"/>
      <c r="AQ44" s="29"/>
      <c r="AR44" s="29"/>
      <c r="AS44" s="29"/>
      <c r="AT44" s="29">
        <f>'комплекты фурнитуры'!$Q$41</f>
        <v>4920</v>
      </c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Row],[КФ петли SENS накл.110 гр. с крестообр. Планкой]]*2+Прайс[[#This Row],[КФ Сушка AFF 600]]</f>
        <v>5920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67">
        <v>1.095</v>
      </c>
      <c r="BW44" s="467">
        <v>1.0649999999999999</v>
      </c>
      <c r="BX44" s="28">
        <v>1.3</v>
      </c>
      <c r="BY44" s="303">
        <v>0</v>
      </c>
      <c r="BZ44" s="303">
        <v>2</v>
      </c>
      <c r="CA44" s="303" t="s">
        <v>87</v>
      </c>
      <c r="CB44" s="367" t="s">
        <v>799</v>
      </c>
      <c r="CC44" s="402">
        <v>0</v>
      </c>
      <c r="CD44" s="303" t="s">
        <v>87</v>
      </c>
      <c r="CE44" s="461">
        <v>1630</v>
      </c>
      <c r="CG44" t="s">
        <v>863</v>
      </c>
    </row>
    <row r="45" spans="1:87" ht="15" customHeight="1" x14ac:dyDescent="0.25">
      <c r="A45" s="486" t="s">
        <v>698</v>
      </c>
      <c r="B45" s="1" t="s">
        <v>7</v>
      </c>
      <c r="C45" s="1" t="s">
        <v>714</v>
      </c>
      <c r="D45" s="1" t="s">
        <v>89</v>
      </c>
      <c r="E45" s="1" t="s">
        <v>10</v>
      </c>
      <c r="F45" s="1" t="s">
        <v>150</v>
      </c>
      <c r="G45" s="366">
        <v>601</v>
      </c>
      <c r="H45" s="366">
        <v>1250</v>
      </c>
      <c r="I45" s="366">
        <v>596</v>
      </c>
      <c r="J45" s="366">
        <v>596</v>
      </c>
      <c r="K45" s="366">
        <v>315</v>
      </c>
      <c r="L45" s="366">
        <v>360</v>
      </c>
      <c r="M45" s="1"/>
      <c r="N45" s="269" t="s">
        <v>77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/>
      <c r="AT45" s="29">
        <f>'комплекты фурнитуры'!$Q$41</f>
        <v>4920</v>
      </c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Планкой]]*4+Прайс[[#This Row],[КФ Сушка AFF 600]]</f>
        <v>6920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67">
        <v>1.095</v>
      </c>
      <c r="BW45" s="467">
        <v>1.0649999999999999</v>
      </c>
      <c r="BX45" s="28">
        <v>1.3</v>
      </c>
      <c r="BY45" s="303">
        <v>0</v>
      </c>
      <c r="BZ45" s="303">
        <v>2</v>
      </c>
      <c r="CA45" s="303" t="s">
        <v>10</v>
      </c>
      <c r="CB45" s="367" t="s">
        <v>801</v>
      </c>
      <c r="CC45" s="402">
        <v>0</v>
      </c>
      <c r="CD45" s="303" t="s">
        <v>87</v>
      </c>
      <c r="CE45" s="461">
        <v>1630</v>
      </c>
      <c r="CG45" s="403" t="s">
        <v>1102</v>
      </c>
    </row>
    <row r="46" spans="1:87" ht="15" customHeight="1" x14ac:dyDescent="0.25">
      <c r="A46" s="486" t="s">
        <v>699</v>
      </c>
      <c r="B46" s="1" t="s">
        <v>7</v>
      </c>
      <c r="C46" s="1" t="s">
        <v>715</v>
      </c>
      <c r="D46" s="1" t="s">
        <v>89</v>
      </c>
      <c r="E46" s="1" t="s">
        <v>10</v>
      </c>
      <c r="F46" s="1" t="s">
        <v>150</v>
      </c>
      <c r="G46" s="366">
        <v>601</v>
      </c>
      <c r="H46" s="366">
        <v>1250</v>
      </c>
      <c r="I46" s="366">
        <v>796</v>
      </c>
      <c r="J46" s="366">
        <v>796</v>
      </c>
      <c r="K46" s="366">
        <v>315</v>
      </c>
      <c r="L46" s="366">
        <v>360</v>
      </c>
      <c r="M46" s="1"/>
      <c r="N46" s="269" t="s">
        <v>77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/>
      <c r="AU46" s="29">
        <f>'комплекты фурнитуры'!$Q$42</f>
        <v>5530</v>
      </c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Планкой]]*4+Прайс[[#This Row],[КФ Сушка AFF 800]]</f>
        <v>7530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67">
        <v>1.095</v>
      </c>
      <c r="BW46" s="467">
        <v>1.0649999999999999</v>
      </c>
      <c r="BX46" s="28">
        <v>1.3</v>
      </c>
      <c r="BY46" s="303">
        <v>0</v>
      </c>
      <c r="BZ46" s="303">
        <v>2</v>
      </c>
      <c r="CA46" s="303" t="s">
        <v>10</v>
      </c>
      <c r="CB46" s="367" t="s">
        <v>801</v>
      </c>
      <c r="CC46" s="402">
        <v>0</v>
      </c>
      <c r="CD46" s="303" t="s">
        <v>87</v>
      </c>
      <c r="CE46" s="461">
        <v>1630</v>
      </c>
      <c r="CG46" s="403" t="s">
        <v>1102</v>
      </c>
      <c r="CI46" t="s">
        <v>865</v>
      </c>
    </row>
    <row r="47" spans="1:87" ht="15" customHeight="1" x14ac:dyDescent="0.25">
      <c r="A47" s="486" t="s">
        <v>700</v>
      </c>
      <c r="B47" s="1" t="s">
        <v>7</v>
      </c>
      <c r="C47" s="1" t="s">
        <v>716</v>
      </c>
      <c r="D47" s="1" t="s">
        <v>89</v>
      </c>
      <c r="E47" s="1" t="s">
        <v>10</v>
      </c>
      <c r="F47" s="1" t="s">
        <v>150</v>
      </c>
      <c r="G47" s="366">
        <v>601</v>
      </c>
      <c r="H47" s="366">
        <v>1250</v>
      </c>
      <c r="I47" s="366">
        <v>896</v>
      </c>
      <c r="J47" s="366">
        <v>896</v>
      </c>
      <c r="K47" s="366">
        <v>315</v>
      </c>
      <c r="L47" s="366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/>
      <c r="AU47" s="29"/>
      <c r="AV47" s="29">
        <f>'комплекты фурнитуры'!$Q$43</f>
        <v>6130</v>
      </c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900]]</f>
        <v>8130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67">
        <v>1.095</v>
      </c>
      <c r="BW47" s="467">
        <v>1.0649999999999999</v>
      </c>
      <c r="BX47" s="28">
        <v>1.3</v>
      </c>
      <c r="BY47" s="303">
        <v>0</v>
      </c>
      <c r="BZ47" s="303">
        <v>2</v>
      </c>
      <c r="CA47" s="303" t="s">
        <v>10</v>
      </c>
      <c r="CB47" s="367" t="s">
        <v>801</v>
      </c>
      <c r="CC47" s="402">
        <v>0</v>
      </c>
      <c r="CD47" s="303" t="s">
        <v>87</v>
      </c>
      <c r="CE47" s="461">
        <v>1630</v>
      </c>
      <c r="CG47" s="403" t="s">
        <v>1102</v>
      </c>
    </row>
    <row r="48" spans="1:87" ht="15" customHeight="1" x14ac:dyDescent="0.25">
      <c r="A48" s="299" t="s">
        <v>701</v>
      </c>
      <c r="B48" s="1" t="s">
        <v>7</v>
      </c>
      <c r="C48" s="1" t="s">
        <v>717</v>
      </c>
      <c r="D48" s="1" t="s">
        <v>89</v>
      </c>
      <c r="E48" s="1" t="s">
        <v>10</v>
      </c>
      <c r="F48" s="1" t="s">
        <v>150</v>
      </c>
      <c r="G48" s="366">
        <v>720</v>
      </c>
      <c r="H48" s="366">
        <v>720</v>
      </c>
      <c r="I48" s="366">
        <v>450</v>
      </c>
      <c r="J48" s="366">
        <v>450</v>
      </c>
      <c r="K48" s="366">
        <v>315</v>
      </c>
      <c r="L48" s="366">
        <v>315</v>
      </c>
      <c r="M48" s="1"/>
      <c r="N48" s="269"/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/>
      <c r="AN48" s="29"/>
      <c r="AO48" s="29"/>
      <c r="AP48" s="29"/>
      <c r="AQ48" s="29"/>
      <c r="AR48" s="29"/>
      <c r="AS48" s="29">
        <f>'комплекты фурнитуры'!$Q$44</f>
        <v>1590</v>
      </c>
      <c r="AT48" s="29"/>
      <c r="AU48" s="29"/>
      <c r="AV48" s="29"/>
      <c r="AW48" s="29"/>
      <c r="AX48" s="29"/>
      <c r="AY48" s="29"/>
      <c r="AZ48" s="29">
        <f>'комплекты фурнитуры'!$Q$75</f>
        <v>13990</v>
      </c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67">
        <v>1.08</v>
      </c>
      <c r="BW48" s="467">
        <v>1.0649999999999999</v>
      </c>
      <c r="BX48" s="28">
        <v>1.3</v>
      </c>
      <c r="BY48" s="303">
        <v>0</v>
      </c>
      <c r="BZ48" s="303">
        <v>0</v>
      </c>
      <c r="CA48" s="303" t="s">
        <v>10</v>
      </c>
      <c r="CB48" s="367" t="s">
        <v>800</v>
      </c>
      <c r="CC48" s="303">
        <v>0</v>
      </c>
      <c r="CD48" s="303" t="s">
        <v>10</v>
      </c>
      <c r="CE48" s="461">
        <v>1630</v>
      </c>
      <c r="CG48" s="403" t="s">
        <v>1102</v>
      </c>
    </row>
    <row r="49" spans="1:87" ht="15" customHeight="1" x14ac:dyDescent="0.25">
      <c r="A49" s="301" t="s">
        <v>702</v>
      </c>
      <c r="B49" s="1" t="s">
        <v>7</v>
      </c>
      <c r="C49" s="1" t="s">
        <v>718</v>
      </c>
      <c r="D49" s="1" t="s">
        <v>89</v>
      </c>
      <c r="E49" s="1" t="s">
        <v>10</v>
      </c>
      <c r="F49" s="1" t="s">
        <v>150</v>
      </c>
      <c r="G49" s="311">
        <v>240</v>
      </c>
      <c r="H49" s="311">
        <v>600</v>
      </c>
      <c r="I49" s="311">
        <v>450</v>
      </c>
      <c r="J49" s="311">
        <v>450</v>
      </c>
      <c r="K49" s="311">
        <v>315</v>
      </c>
      <c r="L49" s="311">
        <v>360</v>
      </c>
      <c r="M49" s="1"/>
      <c r="N49" s="269" t="s">
        <v>79</v>
      </c>
      <c r="O49" s="251">
        <v>1510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/>
      <c r="AN49" s="29"/>
      <c r="AO49" s="29"/>
      <c r="AP49" s="29"/>
      <c r="AQ49" s="29"/>
      <c r="AR49" s="29"/>
      <c r="AS49" s="29">
        <f>'комплекты фурнитуры'!R51</f>
        <v>1000</v>
      </c>
      <c r="AT49" s="29"/>
      <c r="AU49" s="29"/>
      <c r="AV49" s="29"/>
      <c r="AW49" s="29">
        <f>'комплекты фурнитуры'!$Q$73</f>
        <v>6080</v>
      </c>
      <c r="AX49" s="29">
        <f>'комплекты фурнитуры'!$Q$74</f>
        <v>6940</v>
      </c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67">
        <v>1.08</v>
      </c>
      <c r="BW49" s="467">
        <v>1.0649999999999999</v>
      </c>
      <c r="BX49" s="28">
        <v>1.3</v>
      </c>
      <c r="BY49" s="303">
        <v>0</v>
      </c>
      <c r="BZ49" s="303">
        <v>0</v>
      </c>
      <c r="CA49" s="303" t="s">
        <v>10</v>
      </c>
      <c r="CB49" s="367" t="s">
        <v>800</v>
      </c>
      <c r="CC49" s="303">
        <v>0</v>
      </c>
      <c r="CD49" s="303" t="s">
        <v>10</v>
      </c>
      <c r="CE49" s="461">
        <v>1690</v>
      </c>
      <c r="CG49" s="403" t="s">
        <v>1102</v>
      </c>
    </row>
    <row r="50" spans="1:87" ht="15" customHeight="1" x14ac:dyDescent="0.25">
      <c r="A50" s="301" t="s">
        <v>703</v>
      </c>
      <c r="B50" s="1" t="s">
        <v>7</v>
      </c>
      <c r="C50" s="1" t="s">
        <v>719</v>
      </c>
      <c r="D50" s="1" t="s">
        <v>89</v>
      </c>
      <c r="E50" s="1" t="s">
        <v>10</v>
      </c>
      <c r="F50" s="1" t="s">
        <v>150</v>
      </c>
      <c r="G50" s="311">
        <v>240</v>
      </c>
      <c r="H50" s="311">
        <v>600</v>
      </c>
      <c r="I50" s="311">
        <v>596</v>
      </c>
      <c r="J50" s="311">
        <v>596</v>
      </c>
      <c r="K50" s="311">
        <v>315</v>
      </c>
      <c r="L50" s="311">
        <v>360</v>
      </c>
      <c r="M50" s="1"/>
      <c r="N50" s="269" t="s">
        <v>79</v>
      </c>
      <c r="O50" s="251">
        <v>1510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/>
      <c r="AT50" s="29">
        <f>'комплекты фурнитуры'!R52</f>
        <v>1000</v>
      </c>
      <c r="AU50" s="29"/>
      <c r="AV50" s="29"/>
      <c r="AW50" s="29">
        <f>'комплекты фурнитуры'!$Q$73</f>
        <v>6080</v>
      </c>
      <c r="AX50" s="29">
        <f>'комплекты фурнитуры'!$Q$74</f>
        <v>6940</v>
      </c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67">
        <v>1.08</v>
      </c>
      <c r="BW50" s="467">
        <v>1.0649999999999999</v>
      </c>
      <c r="BX50" s="28">
        <v>1.3</v>
      </c>
      <c r="BY50" s="309">
        <v>0</v>
      </c>
      <c r="BZ50" s="309">
        <v>0</v>
      </c>
      <c r="CA50" s="309" t="s">
        <v>10</v>
      </c>
      <c r="CB50" s="310" t="s">
        <v>800</v>
      </c>
      <c r="CC50" s="309">
        <v>0</v>
      </c>
      <c r="CD50" s="309" t="s">
        <v>10</v>
      </c>
      <c r="CE50" s="461">
        <v>1690</v>
      </c>
    </row>
    <row r="51" spans="1:87" ht="15" customHeight="1" x14ac:dyDescent="0.25">
      <c r="A51" s="301" t="s">
        <v>850</v>
      </c>
      <c r="B51" s="1" t="s">
        <v>7</v>
      </c>
      <c r="C51" s="1" t="s">
        <v>849</v>
      </c>
      <c r="D51" s="1" t="s">
        <v>89</v>
      </c>
      <c r="E51" s="1" t="s">
        <v>10</v>
      </c>
      <c r="F51" s="1" t="s">
        <v>150</v>
      </c>
      <c r="G51" s="311">
        <v>240</v>
      </c>
      <c r="H51" s="311">
        <v>600</v>
      </c>
      <c r="I51" s="311">
        <v>896</v>
      </c>
      <c r="J51" s="311">
        <v>896</v>
      </c>
      <c r="K51" s="311">
        <v>315</v>
      </c>
      <c r="L51" s="31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/>
      <c r="AT51" s="29">
        <f>'комплекты фурнитуры'!R53</f>
        <v>1000</v>
      </c>
      <c r="AU51" s="29"/>
      <c r="AV51" s="29"/>
      <c r="AW51" s="29">
        <f>'комплекты фурнитуры'!$Q$73</f>
        <v>6080</v>
      </c>
      <c r="AX51" s="29">
        <f>'комплекты фурнитуры'!$Q$74</f>
        <v>6940</v>
      </c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67">
        <v>1.08</v>
      </c>
      <c r="BW51" s="467">
        <v>1.0649999999999999</v>
      </c>
      <c r="BX51" s="28">
        <v>1.3</v>
      </c>
      <c r="BY51" s="309">
        <v>0</v>
      </c>
      <c r="BZ51" s="309">
        <v>0</v>
      </c>
      <c r="CA51" s="309" t="s">
        <v>10</v>
      </c>
      <c r="CB51" s="310" t="s">
        <v>800</v>
      </c>
      <c r="CC51" s="309">
        <v>0</v>
      </c>
      <c r="CD51" s="309" t="s">
        <v>10</v>
      </c>
      <c r="CE51" s="461">
        <v>1690</v>
      </c>
    </row>
    <row r="52" spans="1:87" ht="15" customHeight="1" x14ac:dyDescent="0.25">
      <c r="A52" s="300" t="s">
        <v>40</v>
      </c>
      <c r="B52" s="1" t="s">
        <v>7</v>
      </c>
      <c r="C52" s="1" t="s">
        <v>857</v>
      </c>
      <c r="D52" s="1" t="s">
        <v>92</v>
      </c>
      <c r="E52" s="1" t="s">
        <v>10</v>
      </c>
      <c r="F52" s="1" t="s">
        <v>143</v>
      </c>
      <c r="G52" s="311">
        <v>480</v>
      </c>
      <c r="H52" s="311">
        <v>960</v>
      </c>
      <c r="I52" s="311">
        <v>315</v>
      </c>
      <c r="J52" s="311">
        <v>315</v>
      </c>
      <c r="K52" s="311">
        <v>315</v>
      </c>
      <c r="L52" s="311">
        <v>315</v>
      </c>
      <c r="M52" s="1"/>
      <c r="N52" s="269" t="s">
        <v>80</v>
      </c>
      <c r="O52" s="251">
        <v>1770</v>
      </c>
      <c r="P52" s="251"/>
      <c r="Q52" s="251"/>
      <c r="R52" s="1"/>
      <c r="S52" s="1"/>
      <c r="T52" s="1"/>
      <c r="U52" s="1"/>
      <c r="V52" s="1"/>
      <c r="W52" s="1"/>
      <c r="X52" s="1">
        <f>'комплекты фурнитуры'!$Q$19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29">
        <f>SUM(Прайс[[#This Row],[КФ НСТ11]:[KFPr-SB-ZPG]])</f>
        <v>840</v>
      </c>
      <c r="AI52" s="29">
        <f>'комплекты фурнитуры'!$Q$86</f>
        <v>40</v>
      </c>
      <c r="AJ52" s="1"/>
      <c r="AK52" s="1"/>
      <c r="AL52" s="1"/>
      <c r="AM52" s="29">
        <f>'комплекты фурнитуры'!$Q$68</f>
        <v>500</v>
      </c>
      <c r="AN52" s="29">
        <f>'комплекты фурнитуры'!$Q$69</f>
        <v>130</v>
      </c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 KFPr-SB-StK ]]*2+Прайс[[#This Row],[КФ петли SENS накл.110 гр. с крестообр. Планкой]]*2</f>
        <v>1080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67">
        <v>1.08</v>
      </c>
      <c r="BW52" s="467">
        <v>1.0649999999999999</v>
      </c>
      <c r="BX52" s="28">
        <v>0</v>
      </c>
      <c r="BY52" s="309">
        <v>0</v>
      </c>
      <c r="BZ52" s="309">
        <v>0</v>
      </c>
      <c r="CA52" s="309" t="s">
        <v>10</v>
      </c>
      <c r="CB52" s="310" t="s">
        <v>799</v>
      </c>
      <c r="CC52" s="309">
        <v>0</v>
      </c>
      <c r="CD52" s="309" t="s">
        <v>10</v>
      </c>
      <c r="CE52" s="461">
        <v>1970</v>
      </c>
    </row>
    <row r="53" spans="1:87" ht="15" customHeight="1" x14ac:dyDescent="0.25">
      <c r="A53" s="300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311">
        <v>360</v>
      </c>
      <c r="H53" s="494">
        <v>1250</v>
      </c>
      <c r="I53" s="311">
        <v>150</v>
      </c>
      <c r="J53" s="311">
        <v>600</v>
      </c>
      <c r="K53" s="311">
        <v>250</v>
      </c>
      <c r="L53" s="311">
        <v>560</v>
      </c>
      <c r="M53" s="1"/>
      <c r="N53" s="269"/>
      <c r="O53" s="251">
        <v>1510</v>
      </c>
      <c r="P53" s="251"/>
      <c r="Q53" s="251"/>
      <c r="R53" s="1">
        <f>'комплекты фурнитуры'!$Q$10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770</v>
      </c>
      <c r="AI53" s="29"/>
      <c r="AJ53" s="1"/>
      <c r="AK53" s="1"/>
      <c r="AL53" s="1"/>
      <c r="AM53" s="29">
        <f>'комплекты фурнитуры'!$Q$68</f>
        <v>500</v>
      </c>
      <c r="AN53" s="29">
        <f>'комплекты фурнитуры'!$Q$69</f>
        <v>130</v>
      </c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>
        <f>'комплекты фурнитуры'!$Q$88</f>
        <v>1110</v>
      </c>
      <c r="BP53" s="28">
        <f>Прайс[[#This Row],[ KFPr-SB-StK ]]*2+Прайс[[#This Row],[КФ петли SENS накл.110 гр. с крестообр. Планкой]]*2</f>
        <v>1000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67">
        <v>1.08</v>
      </c>
      <c r="BW53" s="467">
        <v>1.0649999999999999</v>
      </c>
      <c r="BX53" s="28">
        <v>1.3</v>
      </c>
      <c r="BY53" s="309">
        <v>0</v>
      </c>
      <c r="BZ53" s="309">
        <v>3</v>
      </c>
      <c r="CA53" s="309" t="s">
        <v>10</v>
      </c>
      <c r="CB53" s="310" t="s">
        <v>801</v>
      </c>
      <c r="CC53" s="309">
        <v>0</v>
      </c>
      <c r="CD53" s="309" t="s">
        <v>87</v>
      </c>
      <c r="CE53" s="461">
        <v>1690</v>
      </c>
    </row>
    <row r="54" spans="1:87" ht="15" customHeight="1" x14ac:dyDescent="0.25">
      <c r="A54" s="300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311">
        <v>360</v>
      </c>
      <c r="H54" s="494">
        <v>1250</v>
      </c>
      <c r="I54" s="311">
        <v>400</v>
      </c>
      <c r="J54" s="311">
        <v>900</v>
      </c>
      <c r="K54" s="311">
        <v>250</v>
      </c>
      <c r="L54" s="311">
        <v>560</v>
      </c>
      <c r="M54" s="1"/>
      <c r="N54" s="269"/>
      <c r="O54" s="251">
        <v>1510</v>
      </c>
      <c r="P54" s="251"/>
      <c r="Q54" s="251"/>
      <c r="R54" s="1">
        <f>'комплекты фурнитуры'!$Q$10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770</v>
      </c>
      <c r="AI54" s="29"/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>
        <f>'комплекты фурнитуры'!$Q$88</f>
        <v>1110</v>
      </c>
      <c r="BP54" s="28">
        <f>Прайс[[#This Row],[ KFPr-SB-StK ]]*2+Прайс[[#This Row],[КФ петли SENS накл.110 гр. с крестообр. Планкой]]*4</f>
        <v>2000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67">
        <v>1.08</v>
      </c>
      <c r="BW54" s="467">
        <v>1.0649999999999999</v>
      </c>
      <c r="BX54" s="28">
        <v>1.3</v>
      </c>
      <c r="BY54" s="309">
        <v>0</v>
      </c>
      <c r="BZ54" s="309">
        <v>3</v>
      </c>
      <c r="CA54" s="309" t="s">
        <v>10</v>
      </c>
      <c r="CB54" s="310" t="s">
        <v>801</v>
      </c>
      <c r="CC54" s="309">
        <v>0</v>
      </c>
      <c r="CD54" s="309" t="s">
        <v>87</v>
      </c>
      <c r="CE54" s="461">
        <v>1690</v>
      </c>
      <c r="CG54" s="312" t="s">
        <v>852</v>
      </c>
      <c r="CI54" t="s">
        <v>851</v>
      </c>
    </row>
    <row r="55" spans="1:87" ht="15" customHeight="1" x14ac:dyDescent="0.25">
      <c r="A55" s="486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311">
        <v>720</v>
      </c>
      <c r="H55" s="311">
        <v>720</v>
      </c>
      <c r="I55" s="311">
        <v>400</v>
      </c>
      <c r="J55" s="311">
        <v>900</v>
      </c>
      <c r="K55" s="311">
        <v>300</v>
      </c>
      <c r="L55" s="311">
        <v>400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>
        <f>'комплекты фурнитуры'!$Q$75</f>
        <v>13990</v>
      </c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67">
        <v>1.08</v>
      </c>
      <c r="BW55" s="467">
        <v>1.0649999999999999</v>
      </c>
      <c r="BX55" s="28">
        <v>1.3</v>
      </c>
      <c r="BY55" s="309">
        <v>1</v>
      </c>
      <c r="BZ55" s="309">
        <v>1</v>
      </c>
      <c r="CA55" s="309" t="s">
        <v>10</v>
      </c>
      <c r="CB55" s="310" t="s">
        <v>800</v>
      </c>
      <c r="CC55" s="309">
        <v>1</v>
      </c>
      <c r="CD55" s="309" t="s">
        <v>87</v>
      </c>
      <c r="CE55" s="461">
        <v>1690</v>
      </c>
      <c r="CG55" t="s">
        <v>859</v>
      </c>
    </row>
    <row r="56" spans="1:87" ht="15" customHeight="1" x14ac:dyDescent="0.25">
      <c r="A56" s="300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311">
        <v>360</v>
      </c>
      <c r="H56" s="494">
        <v>1250</v>
      </c>
      <c r="I56" s="311">
        <v>595</v>
      </c>
      <c r="J56" s="311">
        <v>1000</v>
      </c>
      <c r="K56" s="311">
        <v>315</v>
      </c>
      <c r="L56" s="311">
        <v>560</v>
      </c>
      <c r="M56" s="1"/>
      <c r="N56" s="269"/>
      <c r="O56" s="251">
        <v>2580</v>
      </c>
      <c r="P56" s="251"/>
      <c r="Q56" s="251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фурнитуры'!$Q$22</f>
        <v>1130</v>
      </c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1360</v>
      </c>
      <c r="AI56" s="29"/>
      <c r="AJ56" s="1">
        <f>'комплекты фурнитуры'!$Q$85</f>
        <v>30</v>
      </c>
      <c r="AK56" s="1"/>
      <c r="AL56" s="1"/>
      <c r="AM56" s="29"/>
      <c r="AN56" s="29"/>
      <c r="AO56" s="29">
        <f>'комплекты фурнитуры'!$Q$62</f>
        <v>1300</v>
      </c>
      <c r="AP56" s="29">
        <f>'комплекты фурнитуры'!$Q$64</f>
        <v>480</v>
      </c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67">
        <v>1.08</v>
      </c>
      <c r="BW56" s="467">
        <v>1.0649999999999999</v>
      </c>
      <c r="BX56" s="28">
        <v>0</v>
      </c>
      <c r="BY56" s="309">
        <v>1</v>
      </c>
      <c r="BZ56" s="309">
        <v>3</v>
      </c>
      <c r="CA56" s="309" t="s">
        <v>10</v>
      </c>
      <c r="CB56" s="310" t="s">
        <v>801</v>
      </c>
      <c r="CC56" s="309">
        <v>1</v>
      </c>
      <c r="CD56" s="309" t="s">
        <v>10</v>
      </c>
      <c r="CE56" s="461">
        <v>2900</v>
      </c>
      <c r="CG56" t="s">
        <v>858</v>
      </c>
    </row>
    <row r="57" spans="1:87" ht="15" customHeight="1" x14ac:dyDescent="0.25">
      <c r="A57" s="300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311">
        <v>240</v>
      </c>
      <c r="H57" s="311">
        <v>2400</v>
      </c>
      <c r="I57" s="311">
        <v>50</v>
      </c>
      <c r="J57" s="311">
        <v>100</v>
      </c>
      <c r="K57" s="311">
        <v>315</v>
      </c>
      <c r="L57" s="311">
        <v>700</v>
      </c>
      <c r="M57" s="1"/>
      <c r="N57" s="269"/>
      <c r="O57" s="251">
        <v>1640</v>
      </c>
      <c r="P57" s="251"/>
      <c r="Q57" s="25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фурнитуры'!$Q$25</f>
        <v>590</v>
      </c>
      <c r="AE57" s="1"/>
      <c r="AF57" s="1"/>
      <c r="AG57" s="1"/>
      <c r="AH57" s="29">
        <f>SUM(Прайс[[#This Row],[КФ НСТ11]:[KFPr-SB-ZPG]])</f>
        <v>590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67">
        <v>1.08</v>
      </c>
      <c r="BW57" s="467">
        <v>1.0649999999999999</v>
      </c>
      <c r="BX57" s="28">
        <v>1.3</v>
      </c>
      <c r="BY57" s="309">
        <v>0</v>
      </c>
      <c r="BZ57" s="309">
        <v>0</v>
      </c>
      <c r="CA57" s="309" t="s">
        <v>10</v>
      </c>
      <c r="CB57" s="310" t="s">
        <v>799</v>
      </c>
      <c r="CC57" s="309">
        <v>0</v>
      </c>
      <c r="CD57" s="309" t="s">
        <v>10</v>
      </c>
      <c r="CE57" s="461">
        <v>1870</v>
      </c>
    </row>
    <row r="58" spans="1:87" ht="15" customHeight="1" x14ac:dyDescent="0.25">
      <c r="A58" s="302" t="s">
        <v>861</v>
      </c>
      <c r="B58" s="1" t="s">
        <v>7</v>
      </c>
      <c r="C58" s="1" t="s">
        <v>870</v>
      </c>
      <c r="D58" s="1" t="s">
        <v>91</v>
      </c>
      <c r="E58" s="1" t="s">
        <v>10</v>
      </c>
      <c r="F58" s="1" t="s">
        <v>143</v>
      </c>
      <c r="G58" s="311">
        <v>720</v>
      </c>
      <c r="H58" s="311">
        <v>720</v>
      </c>
      <c r="I58" s="311">
        <v>210</v>
      </c>
      <c r="J58" s="311">
        <v>210</v>
      </c>
      <c r="K58" s="311">
        <v>300</v>
      </c>
      <c r="L58" s="311">
        <v>500</v>
      </c>
      <c r="M58" s="1"/>
      <c r="N58" s="269" t="s">
        <v>71</v>
      </c>
      <c r="O58" s="251">
        <v>1840</v>
      </c>
      <c r="P58" s="251"/>
      <c r="Q58" s="251"/>
      <c r="R58" s="1"/>
      <c r="S58" s="1"/>
      <c r="T58" s="1"/>
      <c r="U58" s="1"/>
      <c r="V58" s="1">
        <f>'комплекты фурнитуры'!$Q$16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29">
        <f>SUM(Прайс[[#This Row],[КФ НСТ11]:[KFPr-SB-ZPG]])</f>
        <v>940</v>
      </c>
      <c r="AI58" s="29">
        <f>'комплекты фурнитуры'!$Q$86</f>
        <v>40</v>
      </c>
      <c r="AJ58" s="1"/>
      <c r="AK58" s="1"/>
      <c r="AL58" s="1"/>
      <c r="AM58" s="29"/>
      <c r="AN58" s="29"/>
      <c r="AO58" s="29"/>
      <c r="AP58" s="29"/>
      <c r="AQ58" s="29">
        <f>'комплекты фурнитуры'!$Q$60</f>
        <v>1560</v>
      </c>
      <c r="AR58" s="29">
        <f>'комплекты фурнитуры'!$Q$61</f>
        <v>190</v>
      </c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67">
        <v>1.08</v>
      </c>
      <c r="BW58" s="467">
        <v>1.0649999999999999</v>
      </c>
      <c r="BX58" s="28">
        <v>1.3</v>
      </c>
      <c r="BY58" s="309">
        <v>2</v>
      </c>
      <c r="BZ58" s="309">
        <v>2</v>
      </c>
      <c r="CA58" s="309" t="s">
        <v>10</v>
      </c>
      <c r="CB58" s="310" t="s">
        <v>801</v>
      </c>
      <c r="CC58" s="309">
        <v>2</v>
      </c>
      <c r="CD58" s="309" t="s">
        <v>10</v>
      </c>
      <c r="CE58" s="461">
        <v>2070</v>
      </c>
      <c r="CG58" t="s">
        <v>860</v>
      </c>
    </row>
    <row r="59" spans="1:87" ht="15" customHeight="1" x14ac:dyDescent="0.25">
      <c r="A59" s="302" t="s">
        <v>862</v>
      </c>
      <c r="B59" s="1" t="s">
        <v>7</v>
      </c>
      <c r="C59" s="1" t="s">
        <v>869</v>
      </c>
      <c r="D59" s="1" t="s">
        <v>91</v>
      </c>
      <c r="E59" s="1" t="s">
        <v>10</v>
      </c>
      <c r="F59" s="1" t="s">
        <v>143</v>
      </c>
      <c r="G59" s="311">
        <v>960</v>
      </c>
      <c r="H59" s="311">
        <v>960</v>
      </c>
      <c r="I59" s="311">
        <v>210</v>
      </c>
      <c r="J59" s="311">
        <v>210</v>
      </c>
      <c r="K59" s="311">
        <v>300</v>
      </c>
      <c r="L59" s="311">
        <v>500</v>
      </c>
      <c r="M59" s="1"/>
      <c r="N59" s="269" t="s">
        <v>71</v>
      </c>
      <c r="O59" s="251">
        <v>1840</v>
      </c>
      <c r="P59" s="251"/>
      <c r="Q59" s="251"/>
      <c r="R59" s="1"/>
      <c r="S59" s="1"/>
      <c r="T59" s="1"/>
      <c r="U59" s="1"/>
      <c r="V59" s="1">
        <f>'комплекты фурнитуры'!$Q$16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29">
        <f>SUM(Прайс[[#This Row],[КФ НСТ11]:[KFPr-SB-ZPG]])</f>
        <v>940</v>
      </c>
      <c r="AI59" s="29">
        <f>'комплекты фурнитуры'!$Q$86</f>
        <v>40</v>
      </c>
      <c r="AJ59" s="1"/>
      <c r="AK59" s="1"/>
      <c r="AL59" s="1"/>
      <c r="AM59" s="29"/>
      <c r="AN59" s="29"/>
      <c r="AO59" s="29"/>
      <c r="AP59" s="29"/>
      <c r="AQ59" s="29">
        <f>'комплекты фурнитуры'!$Q$60</f>
        <v>1560</v>
      </c>
      <c r="AR59" s="29">
        <f>'комплекты фурнитуры'!$Q$61</f>
        <v>190</v>
      </c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467">
        <v>1.08</v>
      </c>
      <c r="BW59" s="467">
        <v>1.0649999999999999</v>
      </c>
      <c r="BX59" s="28">
        <v>1.3</v>
      </c>
      <c r="BY59" s="309">
        <v>3</v>
      </c>
      <c r="BZ59" s="309">
        <v>3</v>
      </c>
      <c r="CA59" s="309" t="s">
        <v>10</v>
      </c>
      <c r="CB59" s="310" t="s">
        <v>801</v>
      </c>
      <c r="CC59" s="309">
        <v>3</v>
      </c>
      <c r="CD59" s="309" t="s">
        <v>10</v>
      </c>
      <c r="CE59" s="461">
        <v>2070</v>
      </c>
    </row>
    <row r="60" spans="1:87" ht="15" customHeight="1" x14ac:dyDescent="0.25">
      <c r="A60" s="307" t="s">
        <v>45</v>
      </c>
      <c r="B60" s="1" t="s">
        <v>9</v>
      </c>
      <c r="C60" s="1" t="s">
        <v>868</v>
      </c>
      <c r="D60" s="1" t="s">
        <v>89</v>
      </c>
      <c r="E60" s="1" t="s">
        <v>10</v>
      </c>
      <c r="F60" s="1" t="s">
        <v>143</v>
      </c>
      <c r="G60" s="273">
        <v>1220</v>
      </c>
      <c r="H60" s="273">
        <v>1500</v>
      </c>
      <c r="I60" s="273">
        <v>150</v>
      </c>
      <c r="J60" s="273">
        <v>600</v>
      </c>
      <c r="K60" s="273">
        <v>300</v>
      </c>
      <c r="L60" s="273">
        <v>640</v>
      </c>
      <c r="M60" s="1"/>
      <c r="N60" s="269"/>
      <c r="O60" s="251">
        <v>4820</v>
      </c>
      <c r="P60" s="251"/>
      <c r="Q60" s="251"/>
      <c r="R60" s="1"/>
      <c r="S60" s="1"/>
      <c r="T60" s="1"/>
      <c r="U60" s="1"/>
      <c r="V60" s="1"/>
      <c r="W60" s="1"/>
      <c r="X60" s="1"/>
      <c r="Y60" s="1">
        <f>'комплекты фурнитуры'!$Q$20</f>
        <v>740</v>
      </c>
      <c r="Z60" s="1"/>
      <c r="AA60" s="1"/>
      <c r="AB60" s="1"/>
      <c r="AC60" s="1"/>
      <c r="AD60" s="1"/>
      <c r="AE60" s="1">
        <f>'комплекты фурнитуры'!$Q$26*2</f>
        <v>540</v>
      </c>
      <c r="AF60" s="1"/>
      <c r="AG60" s="1"/>
      <c r="AH60" s="29">
        <f>SUM(Прайс[[#This Row],[КФ НСТ11]:[KFPr-SB-ZPG]])</f>
        <v>1280</v>
      </c>
      <c r="AI60" s="29"/>
      <c r="AJ60" s="1"/>
      <c r="AK60" s="1"/>
      <c r="AL60" s="264"/>
      <c r="AM60" s="29">
        <f>'комплекты фурнитуры'!$Q$68</f>
        <v>500</v>
      </c>
      <c r="AN60" s="29">
        <f>'комплекты фурнитуры'!$Q$69</f>
        <v>130</v>
      </c>
      <c r="AO60" s="29"/>
      <c r="AP60" s="29"/>
      <c r="AQ60" s="29"/>
      <c r="AR60" s="29"/>
      <c r="AS60" s="29"/>
      <c r="AT60" s="29"/>
      <c r="AU60" s="29"/>
      <c r="AV60" s="29"/>
      <c r="AW60" s="265"/>
      <c r="AX60" s="29"/>
      <c r="AY60" s="265"/>
      <c r="AZ60" s="29"/>
      <c r="BA60" s="29"/>
      <c r="BB60" s="265"/>
      <c r="BC60" s="265"/>
      <c r="BD60" s="265"/>
      <c r="BE60" s="265"/>
      <c r="BF60" s="265"/>
      <c r="BG60" s="265"/>
      <c r="BH60" s="265"/>
      <c r="BI60" s="265"/>
      <c r="BJ60" s="29"/>
      <c r="BK60" s="29"/>
      <c r="BL60" s="29"/>
      <c r="BM60" s="29"/>
      <c r="BN60" s="29"/>
      <c r="BO60" s="29"/>
      <c r="BP60" s="28">
        <f>Прайс[[#This Row],[КФ петли SENS накл.110 гр. с крестообр. Планкой]]*3</f>
        <v>1500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67">
        <v>1.08</v>
      </c>
      <c r="BW60" s="467">
        <v>1.0649999999999999</v>
      </c>
      <c r="BX60" s="28">
        <v>1.3</v>
      </c>
      <c r="BY60" s="304">
        <v>2</v>
      </c>
      <c r="BZ60" s="304">
        <v>2</v>
      </c>
      <c r="CA60" s="304" t="s">
        <v>87</v>
      </c>
      <c r="CB60" s="305" t="s">
        <v>799</v>
      </c>
      <c r="CC60" s="304">
        <v>2</v>
      </c>
      <c r="CD60" s="304" t="s">
        <v>87</v>
      </c>
      <c r="CE60" s="461">
        <v>5530</v>
      </c>
    </row>
    <row r="61" spans="1:87" ht="15" customHeight="1" x14ac:dyDescent="0.25">
      <c r="A61" s="30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73">
        <v>1220</v>
      </c>
      <c r="H61" s="273">
        <v>1500</v>
      </c>
      <c r="I61" s="273">
        <v>150</v>
      </c>
      <c r="J61" s="273">
        <v>600</v>
      </c>
      <c r="K61" s="273">
        <v>300</v>
      </c>
      <c r="L61" s="273">
        <v>640</v>
      </c>
      <c r="M61" s="1"/>
      <c r="N61" s="269"/>
      <c r="O61" s="251">
        <v>5205.6000000000004</v>
      </c>
      <c r="P61" s="251">
        <v>740</v>
      </c>
      <c r="Q61" s="25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фурнитуры'!$Q$26*2</f>
        <v>540</v>
      </c>
      <c r="AF61" s="1"/>
      <c r="AG61" s="1"/>
      <c r="AH61" s="29">
        <f>SUM(Прайс[[#This Row],[КФ НСТ11]:[KFPr-SB-ZPG]])</f>
        <v>1280</v>
      </c>
      <c r="AI61" s="29"/>
      <c r="AJ61" s="1"/>
      <c r="AK61" s="1"/>
      <c r="AL61" s="264">
        <f>'комплекты фурнитуры'!$Q$92</f>
        <v>290</v>
      </c>
      <c r="AM61" s="29">
        <f>'комплекты фурнитуры'!$Q$68</f>
        <v>500</v>
      </c>
      <c r="AN61" s="265"/>
      <c r="AO61" s="29"/>
      <c r="AP61" s="29"/>
      <c r="AQ61" s="29"/>
      <c r="AR61" s="29"/>
      <c r="AS61" s="29"/>
      <c r="AT61" s="29"/>
      <c r="AU61" s="29"/>
      <c r="AV61" s="29"/>
      <c r="AW61" s="265"/>
      <c r="AX61" s="29"/>
      <c r="AY61" s="265"/>
      <c r="AZ61" s="29"/>
      <c r="BA61" s="29"/>
      <c r="BB61" s="265"/>
      <c r="BC61" s="265"/>
      <c r="BD61" s="265"/>
      <c r="BE61" s="265"/>
      <c r="BF61" s="265"/>
      <c r="BG61" s="265"/>
      <c r="BH61" s="265"/>
      <c r="BI61" s="265"/>
      <c r="BJ61" s="29"/>
      <c r="BK61" s="29"/>
      <c r="BL61" s="29"/>
      <c r="BM61" s="29"/>
      <c r="BN61" s="29"/>
      <c r="BO61" s="29"/>
      <c r="BP61" s="28">
        <f>Прайс[[#This Row],[КФ KEKU]]*4+Прайс[[#This Row],[КФ петли SENS накл.110 гр. с крестообр. Планкой]]*3</f>
        <v>2660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67">
        <v>1.08</v>
      </c>
      <c r="BW61" s="467">
        <v>1.0649999999999999</v>
      </c>
      <c r="BX61" s="28">
        <v>1.3</v>
      </c>
      <c r="BY61" s="304">
        <v>2</v>
      </c>
      <c r="BZ61" s="304">
        <v>2</v>
      </c>
      <c r="CA61" s="304" t="s">
        <v>10</v>
      </c>
      <c r="CB61" s="305" t="s">
        <v>800</v>
      </c>
      <c r="CC61" s="304">
        <v>2</v>
      </c>
      <c r="CD61" s="304" t="s">
        <v>87</v>
      </c>
      <c r="CE61" s="461">
        <v>5972.4</v>
      </c>
    </row>
    <row r="62" spans="1:87" ht="15" customHeight="1" x14ac:dyDescent="0.25">
      <c r="A62" s="307" t="s">
        <v>837</v>
      </c>
      <c r="B62" s="1" t="s">
        <v>9</v>
      </c>
      <c r="C62" s="1" t="s">
        <v>839</v>
      </c>
      <c r="D62" s="1" t="s">
        <v>89</v>
      </c>
      <c r="E62" s="1" t="s">
        <v>10</v>
      </c>
      <c r="F62" s="1" t="s">
        <v>152</v>
      </c>
      <c r="G62" s="273">
        <v>1187</v>
      </c>
      <c r="H62" s="273">
        <v>1187</v>
      </c>
      <c r="I62" s="273">
        <v>600</v>
      </c>
      <c r="J62" s="273">
        <v>600</v>
      </c>
      <c r="K62" s="273">
        <v>560</v>
      </c>
      <c r="L62" s="273">
        <v>560</v>
      </c>
      <c r="M62" s="1"/>
      <c r="N62" s="269" t="s">
        <v>81</v>
      </c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Планкой]]*2</f>
        <v>1000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67">
        <v>1.08</v>
      </c>
      <c r="BW62" s="467">
        <v>1.0649999999999999</v>
      </c>
      <c r="BX62" s="28">
        <v>1.3</v>
      </c>
      <c r="BY62" s="304">
        <v>1</v>
      </c>
      <c r="BZ62" s="304">
        <v>1</v>
      </c>
      <c r="CA62" s="304" t="s">
        <v>87</v>
      </c>
      <c r="CB62" s="305" t="s">
        <v>799</v>
      </c>
      <c r="CC62" s="304">
        <v>1</v>
      </c>
      <c r="CD62" s="304" t="s">
        <v>10</v>
      </c>
      <c r="CE62" s="461">
        <v>5530</v>
      </c>
    </row>
    <row r="63" spans="1:87" ht="15" customHeight="1" x14ac:dyDescent="0.25">
      <c r="A63" s="307" t="s">
        <v>838</v>
      </c>
      <c r="B63" s="1" t="s">
        <v>9</v>
      </c>
      <c r="C63" s="1" t="s">
        <v>840</v>
      </c>
      <c r="D63" s="1" t="s">
        <v>89</v>
      </c>
      <c r="E63" s="1" t="s">
        <v>10</v>
      </c>
      <c r="F63" s="1" t="s">
        <v>152</v>
      </c>
      <c r="G63" s="273">
        <v>1320</v>
      </c>
      <c r="H63" s="273">
        <v>1320</v>
      </c>
      <c r="I63" s="273">
        <v>600</v>
      </c>
      <c r="J63" s="273">
        <v>600</v>
      </c>
      <c r="K63" s="273">
        <v>560</v>
      </c>
      <c r="L63" s="273">
        <v>560</v>
      </c>
      <c r="M63" s="1"/>
      <c r="N63" s="269" t="s">
        <v>81</v>
      </c>
      <c r="O63" s="251">
        <v>4820</v>
      </c>
      <c r="P63" s="251"/>
      <c r="Q63" s="251"/>
      <c r="R63" s="1"/>
      <c r="S63" s="1"/>
      <c r="T63" s="1"/>
      <c r="U63" s="1"/>
      <c r="V63" s="1"/>
      <c r="W63" s="1"/>
      <c r="X63" s="1"/>
      <c r="Y63" s="1">
        <f>'комплекты фурнитуры'!$Q$20</f>
        <v>740</v>
      </c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/>
      <c r="AM63" s="29">
        <f>'комплекты фурнитуры'!$Q$68</f>
        <v>500</v>
      </c>
      <c r="AN63" s="29">
        <f>'комплекты фурнитуры'!$Q$69</f>
        <v>130</v>
      </c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петли SENS накл.110 гр. с крестообр. Планкой]]*2</f>
        <v>1000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67">
        <v>1.08</v>
      </c>
      <c r="BW63" s="467">
        <v>1.0649999999999999</v>
      </c>
      <c r="BX63" s="28">
        <v>1.3</v>
      </c>
      <c r="BY63" s="304">
        <v>1</v>
      </c>
      <c r="BZ63" s="304">
        <v>1</v>
      </c>
      <c r="CA63" s="304" t="s">
        <v>87</v>
      </c>
      <c r="CB63" s="305" t="s">
        <v>799</v>
      </c>
      <c r="CC63" s="304">
        <v>1</v>
      </c>
      <c r="CD63" s="304" t="s">
        <v>10</v>
      </c>
      <c r="CE63" s="461">
        <v>5530</v>
      </c>
    </row>
    <row r="64" spans="1:87" ht="15" customHeight="1" x14ac:dyDescent="0.25">
      <c r="A64" s="308" t="s">
        <v>841</v>
      </c>
      <c r="B64" s="1" t="s">
        <v>9</v>
      </c>
      <c r="C64" s="1" t="s">
        <v>844</v>
      </c>
      <c r="D64" s="1" t="s">
        <v>89</v>
      </c>
      <c r="E64" s="1" t="s">
        <v>10</v>
      </c>
      <c r="F64" s="1" t="s">
        <v>152</v>
      </c>
      <c r="G64" s="273">
        <v>760</v>
      </c>
      <c r="H64" s="273">
        <v>760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82</v>
      </c>
      <c r="O64" s="251">
        <v>5170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65"/>
      <c r="AN64" s="265"/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9">
        <f>'комплекты фурнитуры'!$Q$30</f>
        <v>5810</v>
      </c>
      <c r="BD64" s="265"/>
      <c r="BE64" s="29">
        <f>'комплекты фурнитуры'!$Q$33</f>
        <v>940</v>
      </c>
      <c r="BF64" s="29">
        <f>'комплекты фурнитуры'!$Q$35</f>
        <v>170</v>
      </c>
      <c r="BG64" s="265"/>
      <c r="BH64" s="29"/>
      <c r="BI64" s="29">
        <f>'комплекты фурнитуры'!$Q$38</f>
        <v>6440</v>
      </c>
      <c r="BJ64" s="29"/>
      <c r="BK64" s="29"/>
      <c r="BL64" s="29"/>
      <c r="BM64" s="29"/>
      <c r="BN64" s="29"/>
      <c r="BO64" s="29"/>
      <c r="BP64" s="28">
        <f>Прайс[[#This Row],[KFN-SB-DWD95R]]</f>
        <v>5810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67">
        <v>1.08</v>
      </c>
      <c r="BW64" s="467">
        <v>1.0649999999999999</v>
      </c>
      <c r="BX64" s="28">
        <v>0</v>
      </c>
      <c r="BY64" s="304">
        <v>0</v>
      </c>
      <c r="BZ64" s="304">
        <v>0</v>
      </c>
      <c r="CA64" s="304" t="s">
        <v>10</v>
      </c>
      <c r="CB64" s="305" t="s">
        <v>801</v>
      </c>
      <c r="CC64" s="304">
        <v>0</v>
      </c>
      <c r="CD64" s="304" t="s">
        <v>10</v>
      </c>
      <c r="CE64" s="461">
        <v>5900</v>
      </c>
    </row>
    <row r="65" spans="1:86" ht="15" customHeight="1" x14ac:dyDescent="0.25">
      <c r="A65" s="308" t="s">
        <v>842</v>
      </c>
      <c r="B65" s="1" t="s">
        <v>9</v>
      </c>
      <c r="C65" s="1" t="s">
        <v>845</v>
      </c>
      <c r="D65" s="1" t="s">
        <v>89</v>
      </c>
      <c r="E65" s="1" t="s">
        <v>10</v>
      </c>
      <c r="F65" s="1" t="s">
        <v>152</v>
      </c>
      <c r="G65" s="273">
        <v>834</v>
      </c>
      <c r="H65" s="273">
        <v>834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82</v>
      </c>
      <c r="O65" s="251">
        <v>5170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65"/>
      <c r="AN65" s="265"/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9">
        <f>'комплекты фурнитуры'!$Q$30</f>
        <v>5810</v>
      </c>
      <c r="BD65" s="265"/>
      <c r="BE65" s="29">
        <f>'комплекты фурнитуры'!$Q$33</f>
        <v>940</v>
      </c>
      <c r="BF65" s="29">
        <f>'комплекты фурнитуры'!$Q$35</f>
        <v>170</v>
      </c>
      <c r="BG65" s="265"/>
      <c r="BH65" s="29"/>
      <c r="BI65" s="29">
        <f>'комплекты фурнитуры'!$Q$38</f>
        <v>6440</v>
      </c>
      <c r="BJ65" s="29"/>
      <c r="BK65" s="29"/>
      <c r="BL65" s="29"/>
      <c r="BM65" s="29"/>
      <c r="BN65" s="29"/>
      <c r="BO65" s="29"/>
      <c r="BP65" s="28">
        <f>Прайс[[#This Row],[KFN-SB-DWD95R]]</f>
        <v>5810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67">
        <v>1.08</v>
      </c>
      <c r="BW65" s="467">
        <v>1.0649999999999999</v>
      </c>
      <c r="BX65" s="28">
        <v>0</v>
      </c>
      <c r="BY65" s="304">
        <v>0</v>
      </c>
      <c r="BZ65" s="304">
        <v>0</v>
      </c>
      <c r="CA65" s="304" t="s">
        <v>10</v>
      </c>
      <c r="CB65" s="305" t="s">
        <v>801</v>
      </c>
      <c r="CC65" s="304">
        <v>0</v>
      </c>
      <c r="CD65" s="304" t="s">
        <v>10</v>
      </c>
      <c r="CE65" s="461">
        <v>5900</v>
      </c>
    </row>
    <row r="66" spans="1:86" ht="15" customHeight="1" x14ac:dyDescent="0.25">
      <c r="A66" s="308" t="s">
        <v>843</v>
      </c>
      <c r="B66" s="1" t="s">
        <v>9</v>
      </c>
      <c r="C66" s="1" t="s">
        <v>846</v>
      </c>
      <c r="D66" s="1" t="s">
        <v>89</v>
      </c>
      <c r="E66" s="1" t="s">
        <v>10</v>
      </c>
      <c r="F66" s="1" t="s">
        <v>152</v>
      </c>
      <c r="G66" s="273">
        <v>963</v>
      </c>
      <c r="H66" s="273">
        <v>963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67">
        <v>1.08</v>
      </c>
      <c r="BW66" s="467">
        <v>1.0649999999999999</v>
      </c>
      <c r="BX66" s="28">
        <v>0</v>
      </c>
      <c r="BY66" s="304">
        <v>0</v>
      </c>
      <c r="BZ66" s="304">
        <v>0</v>
      </c>
      <c r="CA66" s="304" t="s">
        <v>10</v>
      </c>
      <c r="CB66" s="305" t="s">
        <v>801</v>
      </c>
      <c r="CC66" s="304">
        <v>0</v>
      </c>
      <c r="CD66" s="304" t="s">
        <v>10</v>
      </c>
      <c r="CE66" s="461">
        <v>5900</v>
      </c>
    </row>
    <row r="67" spans="1:86" ht="15" customHeight="1" x14ac:dyDescent="0.25">
      <c r="A67" s="307" t="s">
        <v>49</v>
      </c>
      <c r="B67" s="1" t="s">
        <v>9</v>
      </c>
      <c r="C67" s="1" t="s">
        <v>867</v>
      </c>
      <c r="D67" s="1" t="s">
        <v>89</v>
      </c>
      <c r="E67" s="1" t="s">
        <v>10</v>
      </c>
      <c r="F67" s="1" t="s">
        <v>143</v>
      </c>
      <c r="G67" s="273">
        <v>2000</v>
      </c>
      <c r="H67" s="273">
        <v>2280</v>
      </c>
      <c r="I67" s="273">
        <v>150</v>
      </c>
      <c r="J67" s="273">
        <v>600</v>
      </c>
      <c r="K67" s="273">
        <v>300</v>
      </c>
      <c r="L67" s="273">
        <v>640</v>
      </c>
      <c r="M67" s="1"/>
      <c r="N67" s="269"/>
      <c r="O67" s="251">
        <v>6460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9">
        <f>'комплекты фурнитуры'!$Q$68</f>
        <v>500</v>
      </c>
      <c r="AN67" s="29">
        <f>'комплекты фурнитуры'!$Q$69</f>
        <v>130</v>
      </c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65"/>
      <c r="BD67" s="265"/>
      <c r="BE67" s="265"/>
      <c r="BF67" s="265"/>
      <c r="BG67" s="265"/>
      <c r="BH67" s="265"/>
      <c r="BI67" s="265"/>
      <c r="BJ67" s="29"/>
      <c r="BK67" s="29"/>
      <c r="BL67" s="29"/>
      <c r="BM67" s="29"/>
      <c r="BN67" s="29"/>
      <c r="BO67" s="29"/>
      <c r="BP67" s="28">
        <f>Прайс[[#This Row],[КФ петли SENS накл.110 гр. с крестообр. Планкой]]*5</f>
        <v>2500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67">
        <v>1.08</v>
      </c>
      <c r="BW67" s="467">
        <v>1.0649999999999999</v>
      </c>
      <c r="BX67" s="28">
        <v>1.3</v>
      </c>
      <c r="BY67" s="304">
        <v>0</v>
      </c>
      <c r="BZ67" s="304">
        <v>4</v>
      </c>
      <c r="CA67" s="304" t="s">
        <v>87</v>
      </c>
      <c r="CB67" s="305" t="s">
        <v>799</v>
      </c>
      <c r="CC67" s="304">
        <v>0</v>
      </c>
      <c r="CD67" s="304" t="s">
        <v>87</v>
      </c>
      <c r="CE67" s="461">
        <v>7370</v>
      </c>
    </row>
    <row r="68" spans="1:86" ht="15" customHeight="1" x14ac:dyDescent="0.25">
      <c r="A68" s="30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73">
        <v>2000</v>
      </c>
      <c r="H68" s="273">
        <v>2280</v>
      </c>
      <c r="I68" s="273">
        <v>150</v>
      </c>
      <c r="J68" s="273">
        <v>600</v>
      </c>
      <c r="K68" s="273">
        <v>300</v>
      </c>
      <c r="L68" s="273">
        <v>640</v>
      </c>
      <c r="M68" s="1"/>
      <c r="N68" s="269"/>
      <c r="O68" s="251">
        <v>6976.8</v>
      </c>
      <c r="P68" s="251">
        <v>740</v>
      </c>
      <c r="Q68" s="25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>
        <f>'комплекты фурнитуры'!$Q$92</f>
        <v>290</v>
      </c>
      <c r="AM68" s="29">
        <f>'комплекты фурнитуры'!$Q$68</f>
        <v>500</v>
      </c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65"/>
      <c r="BD68" s="265"/>
      <c r="BE68" s="265"/>
      <c r="BF68" s="265"/>
      <c r="BG68" s="265"/>
      <c r="BH68" s="265"/>
      <c r="BI68" s="265"/>
      <c r="BJ68" s="29"/>
      <c r="BK68" s="29"/>
      <c r="BL68" s="29"/>
      <c r="BM68" s="29"/>
      <c r="BN68" s="29"/>
      <c r="BO68" s="29"/>
      <c r="BP68" s="28">
        <f>Прайс[[#This Row],[КФ KEKU]]*4+Прайс[[#This Row],[КФ петли SENS накл.110 гр. с крестообр. Планкой]]*5</f>
        <v>3660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67">
        <v>1.08</v>
      </c>
      <c r="BW68" s="467">
        <v>1.0649999999999999</v>
      </c>
      <c r="BX68" s="28">
        <v>1.3</v>
      </c>
      <c r="BY68" s="304">
        <v>0</v>
      </c>
      <c r="BZ68" s="304">
        <v>4</v>
      </c>
      <c r="CA68" s="304" t="s">
        <v>10</v>
      </c>
      <c r="CB68" s="305" t="s">
        <v>800</v>
      </c>
      <c r="CC68" s="304">
        <v>0</v>
      </c>
      <c r="CD68" s="304" t="s">
        <v>87</v>
      </c>
      <c r="CE68" s="461">
        <v>7959.6</v>
      </c>
    </row>
    <row r="69" spans="1:86" ht="15" customHeight="1" x14ac:dyDescent="0.25">
      <c r="A69" s="30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73">
        <v>2000</v>
      </c>
      <c r="H69" s="273">
        <v>2280</v>
      </c>
      <c r="I69" s="273">
        <v>600</v>
      </c>
      <c r="J69" s="273">
        <v>600</v>
      </c>
      <c r="K69" s="273">
        <v>560</v>
      </c>
      <c r="L69" s="273">
        <v>560</v>
      </c>
      <c r="M69" s="1"/>
      <c r="N69" s="269"/>
      <c r="O69" s="251">
        <v>5290</v>
      </c>
      <c r="P69" s="251"/>
      <c r="Q69" s="251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фурнитуры'!$Q$21</f>
        <v>930</v>
      </c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1470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67">
        <v>1.08</v>
      </c>
      <c r="BW69" s="467">
        <v>1.0649999999999999</v>
      </c>
      <c r="BX69" s="28">
        <v>1.3</v>
      </c>
      <c r="BY69" s="304">
        <v>0</v>
      </c>
      <c r="BZ69" s="304">
        <v>0</v>
      </c>
      <c r="CA69" s="304" t="s">
        <v>10</v>
      </c>
      <c r="CB69" s="305" t="s">
        <v>801</v>
      </c>
      <c r="CC69" s="304">
        <v>0</v>
      </c>
      <c r="CD69" s="304" t="s">
        <v>10</v>
      </c>
      <c r="CE69" s="461">
        <v>6100</v>
      </c>
      <c r="CG69" t="s">
        <v>847</v>
      </c>
    </row>
    <row r="70" spans="1:86" x14ac:dyDescent="0.25">
      <c r="A70" s="30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73">
        <v>2000</v>
      </c>
      <c r="H70" s="273">
        <v>2280</v>
      </c>
      <c r="I70" s="273">
        <v>600</v>
      </c>
      <c r="J70" s="273">
        <v>600</v>
      </c>
      <c r="K70" s="273">
        <v>560</v>
      </c>
      <c r="L70" s="273">
        <v>560</v>
      </c>
      <c r="M70" s="1"/>
      <c r="N70" s="269"/>
      <c r="O70" s="251">
        <v>5713.2</v>
      </c>
      <c r="P70" s="251"/>
      <c r="Q70" s="251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фурнитуры'!$Q$21</f>
        <v>930</v>
      </c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1470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67">
        <v>1.08</v>
      </c>
      <c r="BW70" s="467">
        <v>1.0649999999999999</v>
      </c>
      <c r="BX70" s="28">
        <v>1.3</v>
      </c>
      <c r="BY70" s="304">
        <v>0</v>
      </c>
      <c r="BZ70" s="304">
        <v>1</v>
      </c>
      <c r="CA70" s="304" t="s">
        <v>10</v>
      </c>
      <c r="CB70" s="305" t="s">
        <v>800</v>
      </c>
      <c r="CC70" s="304">
        <v>0</v>
      </c>
      <c r="CD70" s="304" t="s">
        <v>10</v>
      </c>
      <c r="CE70" s="461">
        <v>6588</v>
      </c>
    </row>
    <row r="71" spans="1:86" ht="15" customHeight="1" x14ac:dyDescent="0.25">
      <c r="A71" s="30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73">
        <v>2000</v>
      </c>
      <c r="H71" s="273">
        <v>2280</v>
      </c>
      <c r="I71" s="273">
        <v>300</v>
      </c>
      <c r="J71" s="273">
        <v>600</v>
      </c>
      <c r="K71" s="273">
        <v>560</v>
      </c>
      <c r="L71" s="273">
        <v>560</v>
      </c>
      <c r="M71" s="1"/>
      <c r="N71" s="269" t="s">
        <v>83</v>
      </c>
      <c r="O71" s="251">
        <v>8650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9">
        <f>'комплекты фурнитуры'!$Q$29</f>
        <v>4750</v>
      </c>
      <c r="BC71" s="29">
        <f>'комплекты фурнитуры'!$Q$30</f>
        <v>5810</v>
      </c>
      <c r="BD71" s="29">
        <f>'комплекты фурнитуры'!$Q$34</f>
        <v>370</v>
      </c>
      <c r="BE71" s="29">
        <f>'комплекты фурнитуры'!$Q$33</f>
        <v>940</v>
      </c>
      <c r="BF71" s="29">
        <f>'комплекты фурнитуры'!$Q$35</f>
        <v>170</v>
      </c>
      <c r="BG71" s="29">
        <f>'комплекты фурнитуры'!$Q$37</f>
        <v>4130</v>
      </c>
      <c r="BH71" s="29">
        <f>'комплекты фурнитуры'!$Q$36</f>
        <v>5040</v>
      </c>
      <c r="BI71" s="29">
        <f>'комплекты фурнитуры'!$Q$38</f>
        <v>6440</v>
      </c>
      <c r="BJ71" s="29">
        <f>'комплекты фурнитуры'!$Q$39</f>
        <v>7970</v>
      </c>
      <c r="BK71" s="29"/>
      <c r="BL71" s="29"/>
      <c r="BM71" s="29"/>
      <c r="BN71" s="29"/>
      <c r="BO71" s="29"/>
      <c r="BP71" s="28">
        <f>Прайс[[#This Row],[KFN-SB-DWD95]]*2+Прайс[[#This Row],[KFN-SB-DWD95R]]+Прайс[[#This Row],[КФ петли SENS накл.110 гр. с крестообр. Планкой]]*3</f>
        <v>16810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67">
        <v>1.08</v>
      </c>
      <c r="BW71" s="467">
        <v>1.0649999999999999</v>
      </c>
      <c r="BX71" s="28">
        <v>0</v>
      </c>
      <c r="BY71" s="304">
        <v>2</v>
      </c>
      <c r="BZ71" s="304">
        <v>2</v>
      </c>
      <c r="CA71" s="304" t="s">
        <v>10</v>
      </c>
      <c r="CB71" s="305" t="s">
        <v>801</v>
      </c>
      <c r="CC71" s="304">
        <v>2</v>
      </c>
      <c r="CD71" s="304" t="s">
        <v>87</v>
      </c>
      <c r="CE71" s="461">
        <v>9980</v>
      </c>
    </row>
    <row r="72" spans="1:86" ht="15" customHeight="1" x14ac:dyDescent="0.25">
      <c r="A72" s="30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73">
        <v>2000</v>
      </c>
      <c r="H72" s="273">
        <v>2280</v>
      </c>
      <c r="I72" s="273">
        <v>300</v>
      </c>
      <c r="J72" s="273">
        <v>600</v>
      </c>
      <c r="K72" s="273">
        <v>560</v>
      </c>
      <c r="L72" s="273">
        <v>560</v>
      </c>
      <c r="M72" s="1"/>
      <c r="N72" s="269"/>
      <c r="O72" s="251">
        <v>8100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/>
      <c r="AM72" s="29">
        <f>'комплекты фурнитуры'!$Q$68</f>
        <v>500</v>
      </c>
      <c r="AN72" s="29">
        <f>'комплекты фурнитуры'!$Q$69</f>
        <v>130</v>
      </c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9">
        <f>'комплекты фурнитуры'!$Q$30</f>
        <v>5810</v>
      </c>
      <c r="BD72" s="265"/>
      <c r="BE72" s="29">
        <f>'комплекты фурнитуры'!$Q$33</f>
        <v>940</v>
      </c>
      <c r="BF72" s="29">
        <f>'комплекты фурнитуры'!$Q$35</f>
        <v>170</v>
      </c>
      <c r="BG72" s="265"/>
      <c r="BH72" s="29">
        <f>'комплекты фурнитуры'!$Q$36</f>
        <v>5040</v>
      </c>
      <c r="BI72" s="29">
        <f>'комплекты фурнитуры'!$Q$38</f>
        <v>6440</v>
      </c>
      <c r="BJ72" s="29">
        <f>'комплекты фурнитуры'!$Q$39</f>
        <v>7970</v>
      </c>
      <c r="BK72" s="29"/>
      <c r="BL72" s="29"/>
      <c r="BM72" s="29"/>
      <c r="BN72" s="29"/>
      <c r="BO72" s="29"/>
      <c r="BP72" s="28">
        <f>Прайс[[#This Row],[KFN-SB-DWD95R]]*2+Прайс[[#This Row],[КФ петли SENS накл.110 гр. с крестообр. Планкой]]*3</f>
        <v>13120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67">
        <v>1.08</v>
      </c>
      <c r="BW72" s="467">
        <v>1.0649999999999999</v>
      </c>
      <c r="BX72" s="28">
        <v>0</v>
      </c>
      <c r="BY72" s="304">
        <v>2</v>
      </c>
      <c r="BZ72" s="304">
        <v>2</v>
      </c>
      <c r="CA72" s="304" t="s">
        <v>10</v>
      </c>
      <c r="CB72" s="305" t="s">
        <v>801</v>
      </c>
      <c r="CC72" s="304">
        <v>2</v>
      </c>
      <c r="CD72" s="304" t="s">
        <v>87</v>
      </c>
      <c r="CE72" s="461">
        <v>9340</v>
      </c>
      <c r="CG72" t="s">
        <v>848</v>
      </c>
    </row>
    <row r="73" spans="1:86" ht="15" customHeight="1" x14ac:dyDescent="0.25">
      <c r="A73" s="307" t="s">
        <v>725</v>
      </c>
      <c r="B73" s="1" t="s">
        <v>9</v>
      </c>
      <c r="C73" s="1" t="s">
        <v>727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600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6800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65"/>
      <c r="BC73" s="265"/>
      <c r="BD73" s="265"/>
      <c r="BE73" s="265"/>
      <c r="BF73" s="265"/>
      <c r="BG73" s="265"/>
      <c r="BH73" s="265"/>
      <c r="BI73" s="265"/>
      <c r="BJ73" s="29"/>
      <c r="BK73" s="29"/>
      <c r="BL73" s="29"/>
      <c r="BM73" s="29"/>
      <c r="BN73" s="29"/>
      <c r="BO73" s="29"/>
      <c r="BP73" s="28">
        <f>Прайс[[#This Row],[КФ петли SENS накл.110 гр. с крестообр. Планкой]]*4</f>
        <v>2000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67">
        <v>1.08</v>
      </c>
      <c r="BW73" s="467">
        <v>1.0649999999999999</v>
      </c>
      <c r="BX73" s="28">
        <v>1.3</v>
      </c>
      <c r="BY73" s="304">
        <v>2</v>
      </c>
      <c r="BZ73" s="304">
        <v>2</v>
      </c>
      <c r="CA73" s="304" t="s">
        <v>87</v>
      </c>
      <c r="CB73" s="305" t="s">
        <v>799</v>
      </c>
      <c r="CC73" s="304">
        <v>2</v>
      </c>
      <c r="CD73" s="304" t="s">
        <v>10</v>
      </c>
      <c r="CE73" s="461">
        <v>7820</v>
      </c>
    </row>
    <row r="74" spans="1:86" ht="15" customHeight="1" x14ac:dyDescent="0.25">
      <c r="A74" s="307" t="s">
        <v>726</v>
      </c>
      <c r="B74" s="1" t="s">
        <v>9</v>
      </c>
      <c r="C74" s="1" t="s">
        <v>728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600</v>
      </c>
      <c r="J74" s="273">
        <v>600</v>
      </c>
      <c r="K74" s="273">
        <v>560</v>
      </c>
      <c r="L74" s="273">
        <v>560</v>
      </c>
      <c r="M74" s="1"/>
      <c r="N74" s="269" t="s">
        <v>83</v>
      </c>
      <c r="O74" s="251">
        <v>6800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65"/>
      <c r="BD74" s="265"/>
      <c r="BE74" s="265"/>
      <c r="BF74" s="265"/>
      <c r="BG74" s="265"/>
      <c r="BH74" s="265"/>
      <c r="BI74" s="265"/>
      <c r="BJ74" s="29"/>
      <c r="BK74" s="29"/>
      <c r="BL74" s="29"/>
      <c r="BM74" s="29"/>
      <c r="BN74" s="29"/>
      <c r="BO74" s="29"/>
      <c r="BP74" s="28">
        <f>Прайс[[#This Row],[КФ петли SENS накл.110 гр. с крестообр. Планкой]]*4</f>
        <v>2000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67">
        <v>1.08</v>
      </c>
      <c r="BW74" s="467">
        <v>1.0649999999999999</v>
      </c>
      <c r="BX74" s="28">
        <v>1.3</v>
      </c>
      <c r="BY74" s="304">
        <v>2</v>
      </c>
      <c r="BZ74" s="304">
        <v>2</v>
      </c>
      <c r="CA74" s="304" t="s">
        <v>87</v>
      </c>
      <c r="CB74" s="305" t="s">
        <v>799</v>
      </c>
      <c r="CC74" s="304">
        <v>2</v>
      </c>
      <c r="CD74" s="304" t="s">
        <v>10</v>
      </c>
      <c r="CE74" s="461">
        <v>7820</v>
      </c>
    </row>
    <row r="75" spans="1:86" ht="15" customHeight="1" x14ac:dyDescent="0.25">
      <c r="A75" s="400" t="s">
        <v>729</v>
      </c>
      <c r="B75" s="1" t="s">
        <v>9</v>
      </c>
      <c r="C75" s="1" t="s">
        <v>731</v>
      </c>
      <c r="D75" s="1" t="s">
        <v>89</v>
      </c>
      <c r="E75" s="1" t="s">
        <v>87</v>
      </c>
      <c r="F75" s="1" t="s">
        <v>152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7344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>
        <f>'комплекты фурнитуры'!$Q$92</f>
        <v>290</v>
      </c>
      <c r="AM75" s="29">
        <f>'комплекты фурнитуры'!$Q$68</f>
        <v>500</v>
      </c>
      <c r="AN75" s="265"/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KEKU]]*4+Прайс[[#This Row],[КФ петли SENS накл.110 гр. с крестообр. Планкой]]*4</f>
        <v>3160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67">
        <v>1.08</v>
      </c>
      <c r="BW75" s="467">
        <v>1.0649999999999999</v>
      </c>
      <c r="BX75" s="28">
        <v>1.3</v>
      </c>
      <c r="BY75" s="304">
        <v>2</v>
      </c>
      <c r="BZ75" s="304">
        <v>3</v>
      </c>
      <c r="CA75" s="304" t="s">
        <v>10</v>
      </c>
      <c r="CB75" s="399" t="s">
        <v>800</v>
      </c>
      <c r="CC75" s="304">
        <v>2</v>
      </c>
      <c r="CD75" s="304" t="s">
        <v>10</v>
      </c>
      <c r="CE75" s="461">
        <v>8445.6</v>
      </c>
    </row>
    <row r="76" spans="1:86" ht="15" customHeight="1" x14ac:dyDescent="0.25">
      <c r="A76" s="400" t="s">
        <v>730</v>
      </c>
      <c r="B76" s="1" t="s">
        <v>9</v>
      </c>
      <c r="C76" s="1" t="s">
        <v>732</v>
      </c>
      <c r="D76" s="1" t="s">
        <v>89</v>
      </c>
      <c r="E76" s="1" t="s">
        <v>87</v>
      </c>
      <c r="F76" s="1" t="s">
        <v>152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7344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>
        <f>'комплекты фурнитуры'!$Q$92</f>
        <v>290</v>
      </c>
      <c r="AM76" s="29">
        <f>'комплекты фурнитуры'!$Q$68</f>
        <v>500</v>
      </c>
      <c r="AN76" s="265"/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KEKU]]*4+Прайс[[#This Row],[КФ петли SENS накл.110 гр. с крестообр. Планкой]]*4</f>
        <v>3160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67">
        <v>1.08</v>
      </c>
      <c r="BW76" s="467">
        <v>1.0649999999999999</v>
      </c>
      <c r="BX76" s="28">
        <v>1.3</v>
      </c>
      <c r="BY76" s="304">
        <v>2</v>
      </c>
      <c r="BZ76" s="304">
        <v>3</v>
      </c>
      <c r="CA76" s="304" t="s">
        <v>10</v>
      </c>
      <c r="CB76" s="399" t="s">
        <v>800</v>
      </c>
      <c r="CC76" s="304">
        <v>2</v>
      </c>
      <c r="CD76" s="304" t="s">
        <v>10</v>
      </c>
      <c r="CE76" s="461">
        <v>8445.6</v>
      </c>
    </row>
    <row r="77" spans="1:86" ht="15" customHeight="1" x14ac:dyDescent="0.25">
      <c r="A77" s="400" t="s">
        <v>733</v>
      </c>
      <c r="B77" s="1" t="s">
        <v>9</v>
      </c>
      <c r="C77" s="1" t="s">
        <v>835</v>
      </c>
      <c r="D77" s="1" t="s">
        <v>89</v>
      </c>
      <c r="E77" s="1" t="s">
        <v>10</v>
      </c>
      <c r="F77" s="1" t="s">
        <v>152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8020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/>
      <c r="AM77" s="29">
        <f>'комплекты фурнитуры'!$Q$68</f>
        <v>500</v>
      </c>
      <c r="AN77" s="29">
        <f>'комплекты фурнитуры'!$Q$69</f>
        <v>130</v>
      </c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9">
        <f>'комплекты фурнитуры'!$Q$30</f>
        <v>5810</v>
      </c>
      <c r="BD77" s="265"/>
      <c r="BE77" s="29">
        <f>'комплекты фурнитуры'!$Q$33</f>
        <v>940</v>
      </c>
      <c r="BF77" s="29">
        <f>'комплекты фурнитуры'!$Q$35</f>
        <v>170</v>
      </c>
      <c r="BG77" s="265"/>
      <c r="BH77" s="29">
        <f>'комплекты фурнитуры'!$Q$36</f>
        <v>5040</v>
      </c>
      <c r="BI77" s="29">
        <f>'комплекты фурнитуры'!$Q$38</f>
        <v>6440</v>
      </c>
      <c r="BJ77" s="29"/>
      <c r="BK77" s="29"/>
      <c r="BL77" s="29"/>
      <c r="BM77" s="29"/>
      <c r="BN77" s="29"/>
      <c r="BO77" s="29"/>
      <c r="BP77" s="28">
        <f>Прайс[[#This Row],[КФ ящика Matrix (H=175 мм)_450_GR]]*2+Прайс[[#This Row],[КФ петли SENS накл.110 гр. с крестообр. Планкой]]*2</f>
        <v>11080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67">
        <v>1.08</v>
      </c>
      <c r="BW77" s="467">
        <v>1.0649999999999999</v>
      </c>
      <c r="BX77" s="28">
        <v>0</v>
      </c>
      <c r="BY77" s="303">
        <v>1</v>
      </c>
      <c r="BZ77" s="303">
        <v>2</v>
      </c>
      <c r="CA77" s="303" t="s">
        <v>87</v>
      </c>
      <c r="CB77" s="367" t="s">
        <v>799</v>
      </c>
      <c r="CC77" s="303">
        <v>1</v>
      </c>
      <c r="CD77" s="303" t="s">
        <v>10</v>
      </c>
      <c r="CE77" s="461">
        <v>9260</v>
      </c>
      <c r="CG77" s="401" t="s">
        <v>836</v>
      </c>
      <c r="CH77" t="s">
        <v>834</v>
      </c>
    </row>
    <row r="78" spans="1:86" ht="15" customHeight="1" x14ac:dyDescent="0.25">
      <c r="A78" s="400" t="s">
        <v>734</v>
      </c>
      <c r="B78" s="1" t="s">
        <v>9</v>
      </c>
      <c r="C78" s="1" t="s">
        <v>827</v>
      </c>
      <c r="D78" s="1" t="s">
        <v>89</v>
      </c>
      <c r="E78" s="1" t="s">
        <v>10</v>
      </c>
      <c r="F78" s="1" t="s">
        <v>152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8020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/>
      <c r="AM78" s="29">
        <f>'комплекты фурнитуры'!$Q$68</f>
        <v>500</v>
      </c>
      <c r="AN78" s="29">
        <f>'комплекты фурнитуры'!$Q$69</f>
        <v>130</v>
      </c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9">
        <f>'комплекты фурнитуры'!$Q$30</f>
        <v>5810</v>
      </c>
      <c r="BD78" s="265"/>
      <c r="BE78" s="29">
        <f>'комплекты фурнитуры'!$Q$33</f>
        <v>940</v>
      </c>
      <c r="BF78" s="29">
        <f>'комплекты фурнитуры'!$Q$35</f>
        <v>170</v>
      </c>
      <c r="BG78" s="265"/>
      <c r="BH78" s="29">
        <f>'комплекты фурнитуры'!$Q$36</f>
        <v>5040</v>
      </c>
      <c r="BI78" s="29">
        <f>'комплекты фурнитуры'!$Q$38</f>
        <v>6440</v>
      </c>
      <c r="BJ78" s="29"/>
      <c r="BK78" s="29"/>
      <c r="BL78" s="29"/>
      <c r="BM78" s="29"/>
      <c r="BN78" s="29"/>
      <c r="BO78" s="29"/>
      <c r="BP78" s="28">
        <f>Прайс[[#This Row],[КФ ящика Matrix (H=175 мм)_450_GR]]*2+Прайс[[#This Row],[КФ петли SENS накл.110 гр. с крестообр. Планкой]]*2</f>
        <v>11080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67">
        <v>1.08</v>
      </c>
      <c r="BW78" s="467">
        <v>1.0649999999999999</v>
      </c>
      <c r="BX78" s="28">
        <v>0</v>
      </c>
      <c r="BY78" s="303">
        <v>1</v>
      </c>
      <c r="BZ78" s="303">
        <v>2</v>
      </c>
      <c r="CA78" s="303" t="s">
        <v>87</v>
      </c>
      <c r="CB78" s="367" t="s">
        <v>799</v>
      </c>
      <c r="CC78" s="303">
        <v>1</v>
      </c>
      <c r="CD78" s="303" t="s">
        <v>10</v>
      </c>
      <c r="CE78" s="461">
        <v>9260</v>
      </c>
      <c r="CG78" s="401" t="s">
        <v>836</v>
      </c>
      <c r="CH78" t="s">
        <v>834</v>
      </c>
    </row>
    <row r="79" spans="1:86" ht="15" customHeight="1" x14ac:dyDescent="0.25">
      <c r="A79" s="400" t="s">
        <v>735</v>
      </c>
      <c r="B79" s="1" t="s">
        <v>9</v>
      </c>
      <c r="C79" s="1" t="s">
        <v>828</v>
      </c>
      <c r="D79" s="1" t="s">
        <v>89</v>
      </c>
      <c r="E79" s="1" t="s">
        <v>10</v>
      </c>
      <c r="F79" s="1" t="s">
        <v>152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67">
        <v>1.08</v>
      </c>
      <c r="BW79" s="467">
        <v>1.0649999999999999</v>
      </c>
      <c r="BX79" s="28">
        <v>0</v>
      </c>
      <c r="BY79" s="303">
        <v>1</v>
      </c>
      <c r="BZ79" s="303">
        <v>2</v>
      </c>
      <c r="CA79" s="303" t="s">
        <v>87</v>
      </c>
      <c r="CB79" s="367" t="s">
        <v>799</v>
      </c>
      <c r="CC79" s="303">
        <v>1</v>
      </c>
      <c r="CD79" s="303" t="s">
        <v>10</v>
      </c>
      <c r="CE79" s="461">
        <v>9260</v>
      </c>
      <c r="CG79" s="401" t="s">
        <v>833</v>
      </c>
      <c r="CH79" t="s">
        <v>834</v>
      </c>
    </row>
    <row r="80" spans="1:86" ht="15" customHeight="1" x14ac:dyDescent="0.25">
      <c r="A80" s="400" t="s">
        <v>57</v>
      </c>
      <c r="B80" s="1" t="s">
        <v>9</v>
      </c>
      <c r="C80" s="1" t="s">
        <v>831</v>
      </c>
      <c r="D80" s="1" t="s">
        <v>89</v>
      </c>
      <c r="E80" s="1" t="s">
        <v>10</v>
      </c>
      <c r="F80" s="1" t="s">
        <v>154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6990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фурнитуры'!$Q$22</f>
        <v>1130</v>
      </c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1670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9">
        <f>'комплекты фурнитуры'!$Q$73</f>
        <v>6080</v>
      </c>
      <c r="AX80" s="29">
        <f>'комплекты фурнитуры'!$Q$74</f>
        <v>6940</v>
      </c>
      <c r="AY80" s="29">
        <f>'комплекты фурнитуры'!$Q$76</f>
        <v>2290</v>
      </c>
      <c r="AZ80" s="29"/>
      <c r="BA80" s="29"/>
      <c r="BB80" s="265"/>
      <c r="BC80" s="265"/>
      <c r="BD80" s="265"/>
      <c r="BE80" s="265"/>
      <c r="BF80" s="265"/>
      <c r="BG80" s="265"/>
      <c r="BH80" s="265"/>
      <c r="BI80" s="265"/>
      <c r="BJ80" s="29"/>
      <c r="BK80" s="29"/>
      <c r="BL80" s="29"/>
      <c r="BM80" s="29"/>
      <c r="BN80" s="29"/>
      <c r="BO80" s="29"/>
      <c r="BP80" s="28">
        <f>Прайс[[#This Row],[KFP-SP-PPGK]]+Прайс[[#This Row],[КФ петли SENS накл.110 гр. с крестообр. Планкой]]*2</f>
        <v>7080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67">
        <v>1.08</v>
      </c>
      <c r="BW80" s="467">
        <v>1.0649999999999999</v>
      </c>
      <c r="BX80" s="28">
        <v>0</v>
      </c>
      <c r="BY80" s="303">
        <v>1</v>
      </c>
      <c r="BZ80" s="303">
        <v>2</v>
      </c>
      <c r="CA80" s="303" t="s">
        <v>10</v>
      </c>
      <c r="CB80" s="367" t="s">
        <v>801</v>
      </c>
      <c r="CC80" s="303">
        <v>1</v>
      </c>
      <c r="CD80" s="303" t="s">
        <v>10</v>
      </c>
      <c r="CE80" s="461">
        <v>8090</v>
      </c>
      <c r="CG80" s="401" t="s">
        <v>833</v>
      </c>
    </row>
    <row r="81" spans="1:85" ht="15" customHeight="1" x14ac:dyDescent="0.25">
      <c r="A81" s="307" t="s">
        <v>58</v>
      </c>
      <c r="B81" s="1" t="s">
        <v>9</v>
      </c>
      <c r="C81" s="1" t="s">
        <v>829</v>
      </c>
      <c r="D81" s="1" t="s">
        <v>89</v>
      </c>
      <c r="E81" s="1" t="s">
        <v>10</v>
      </c>
      <c r="F81" s="1" t="s">
        <v>154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6910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фурнитуры'!$Q$22</f>
        <v>1130</v>
      </c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1670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петли SENS накл.110 гр. с крестообр. Планкой]]*2+Прайс[[#This Row],[KFN-SB-DWD95R]]</f>
        <v>6810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67">
        <v>1.08</v>
      </c>
      <c r="BW81" s="467">
        <v>1.0649999999999999</v>
      </c>
      <c r="BX81" s="28">
        <v>0</v>
      </c>
      <c r="BY81" s="303">
        <v>1</v>
      </c>
      <c r="BZ81" s="303">
        <v>1</v>
      </c>
      <c r="CA81" s="303" t="s">
        <v>87</v>
      </c>
      <c r="CB81" s="367" t="s">
        <v>799</v>
      </c>
      <c r="CC81" s="303">
        <v>1</v>
      </c>
      <c r="CD81" s="303" t="s">
        <v>10</v>
      </c>
      <c r="CE81" s="461">
        <v>7920</v>
      </c>
      <c r="CG81" s="401" t="s">
        <v>833</v>
      </c>
    </row>
    <row r="82" spans="1:85" ht="15" customHeight="1" x14ac:dyDescent="0.25">
      <c r="A82" s="307" t="s">
        <v>59</v>
      </c>
      <c r="B82" s="1" t="s">
        <v>9</v>
      </c>
      <c r="C82" s="1" t="s">
        <v>830</v>
      </c>
      <c r="D82" s="1" t="s">
        <v>89</v>
      </c>
      <c r="E82" s="1" t="s">
        <v>87</v>
      </c>
      <c r="F82" s="1" t="s">
        <v>154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7462.8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>
        <f>'комплекты фурнитуры'!$Q$92</f>
        <v>290</v>
      </c>
      <c r="AM82" s="29">
        <f>'комплекты фурнитуры'!$Q$68</f>
        <v>500</v>
      </c>
      <c r="AN82" s="265"/>
      <c r="AO82" s="29"/>
      <c r="AP82" s="29"/>
      <c r="AQ82" s="29"/>
      <c r="AR82" s="29"/>
      <c r="AS82" s="29"/>
      <c r="AT82" s="29"/>
      <c r="AU82" s="29"/>
      <c r="AV82" s="29"/>
      <c r="AW82" s="265"/>
      <c r="AX82" s="29"/>
      <c r="AY82" s="265"/>
      <c r="AZ82" s="29"/>
      <c r="BA82" s="29"/>
      <c r="BB82" s="265"/>
      <c r="BC82" s="29">
        <f>'комплекты фурнитуры'!$Q$30</f>
        <v>5810</v>
      </c>
      <c r="BD82" s="265"/>
      <c r="BE82" s="265"/>
      <c r="BF82" s="265"/>
      <c r="BG82" s="265"/>
      <c r="BH82" s="29">
        <f>'комплекты фурнитуры'!$Q$36</f>
        <v>5040</v>
      </c>
      <c r="BI82" s="265"/>
      <c r="BJ82" s="29"/>
      <c r="BK82" s="29"/>
      <c r="BL82" s="29"/>
      <c r="BM82" s="29"/>
      <c r="BN82" s="29"/>
      <c r="BO82" s="29"/>
      <c r="BP82" s="28">
        <f>Прайс[[#This Row],[КФ петли SENS накл.110 гр. с крестообр. Планкой]]*2+Прайс[[#This Row],[KFN-SB-DWD95R]]+Прайс[[#This Row],[КФ KEKU]]*4</f>
        <v>7970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67">
        <v>1.08</v>
      </c>
      <c r="BW82" s="467">
        <v>1.0649999999999999</v>
      </c>
      <c r="BX82" s="28">
        <v>0</v>
      </c>
      <c r="BY82" s="303">
        <v>1</v>
      </c>
      <c r="BZ82" s="303">
        <v>1</v>
      </c>
      <c r="CA82" s="303" t="s">
        <v>10</v>
      </c>
      <c r="CB82" s="367" t="s">
        <v>800</v>
      </c>
      <c r="CC82" s="303">
        <v>1</v>
      </c>
      <c r="CD82" s="303" t="s">
        <v>10</v>
      </c>
      <c r="CE82" s="461">
        <v>8553.6</v>
      </c>
      <c r="CG82" s="401" t="s">
        <v>832</v>
      </c>
    </row>
    <row r="83" spans="1:85" ht="15" customHeight="1" x14ac:dyDescent="0.25">
      <c r="A83" s="30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73">
        <v>2280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6310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6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9">
        <f>'комплекты фурнитуры'!$Q$73</f>
        <v>6080</v>
      </c>
      <c r="AX83" s="29"/>
      <c r="AY83" s="29">
        <f>'комплекты фурнитуры'!$Q$76</f>
        <v>2290</v>
      </c>
      <c r="AZ83" s="29"/>
      <c r="BA83" s="29"/>
      <c r="BB83" s="267"/>
      <c r="BC83" s="267"/>
      <c r="BD83" s="267"/>
      <c r="BE83" s="267"/>
      <c r="BF83" s="267"/>
      <c r="BG83" s="267"/>
      <c r="BH83" s="267"/>
      <c r="BI83" s="267"/>
      <c r="BJ83" s="29"/>
      <c r="BK83" s="29"/>
      <c r="BL83" s="29"/>
      <c r="BM83" s="29"/>
      <c r="BN83" s="29"/>
      <c r="BO83" s="29"/>
      <c r="BP83" s="28">
        <f>Прайс[[#This Row],[KFP-SP-PPGK]]+Прайс[[#This Row],[КФ петли SENS накл.110 гр. с крестообр. Планкой]]*5</f>
        <v>8580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467">
        <v>1.08</v>
      </c>
      <c r="BW83" s="467">
        <v>1.0649999999999999</v>
      </c>
      <c r="BX83" s="28">
        <v>1.3</v>
      </c>
      <c r="BY83" s="303">
        <v>0</v>
      </c>
      <c r="BZ83" s="303">
        <v>0</v>
      </c>
      <c r="CA83" s="303" t="s">
        <v>10</v>
      </c>
      <c r="CB83" s="367" t="s">
        <v>801</v>
      </c>
      <c r="CC83" s="303">
        <v>0</v>
      </c>
      <c r="CD83" s="303" t="s">
        <v>10</v>
      </c>
      <c r="CE83" s="46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53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521"/>
      <c r="Q119" s="521"/>
      <c r="R119" s="521"/>
      <c r="S119" s="521"/>
      <c r="T119" s="521"/>
      <c r="U119" s="521"/>
      <c r="V119" s="521"/>
      <c r="W119" s="521"/>
      <c r="X119" s="521"/>
      <c r="Y119" s="34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sheetProtection algorithmName="SHA-512" hashValue="ZjF6gAYOAWCIydlXK4cgoYhSrG0Zo255t40XGPQoNIa+23q3G2rdCLrz6D3HvOkeJfDfX5SzvyvboiGQkSmWrg==" saltValue="eirP175BxmNvRj7ug3MqvA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R39" activePane="bottomRight" state="frozen"/>
      <selection activeCell="T36" sqref="T36"/>
      <selection pane="topRight" activeCell="T36" sqref="T36"/>
      <selection pane="bottomLeft" activeCell="T36" sqref="T36"/>
      <selection pane="bottomRight" activeCell="B53" sqref="B53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622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623</v>
      </c>
    </row>
    <row r="5" spans="2:19" ht="12.75" x14ac:dyDescent="0.2">
      <c r="P5" s="192">
        <v>1.04</v>
      </c>
      <c r="Q5" s="33">
        <v>1</v>
      </c>
      <c r="R5" s="142" t="s">
        <v>624</v>
      </c>
    </row>
    <row r="6" spans="2:19" x14ac:dyDescent="0.2">
      <c r="K6" s="195"/>
      <c r="L6" s="195"/>
      <c r="M6" s="195"/>
    </row>
    <row r="7" spans="2:19" ht="23.25" customHeight="1" x14ac:dyDescent="0.2">
      <c r="B7" s="536" t="s">
        <v>625</v>
      </c>
      <c r="C7" s="536" t="s">
        <v>626</v>
      </c>
      <c r="D7" s="536" t="s">
        <v>627</v>
      </c>
      <c r="E7" s="536"/>
      <c r="F7" s="536"/>
      <c r="G7" s="537" t="s">
        <v>628</v>
      </c>
      <c r="H7" s="537" t="s">
        <v>629</v>
      </c>
      <c r="I7" s="196" t="s">
        <v>630</v>
      </c>
      <c r="J7" s="539" t="s">
        <v>631</v>
      </c>
      <c r="K7" s="196" t="s">
        <v>632</v>
      </c>
      <c r="L7" s="196" t="s">
        <v>633</v>
      </c>
      <c r="M7" s="196" t="s">
        <v>634</v>
      </c>
      <c r="N7" s="536" t="s">
        <v>635</v>
      </c>
      <c r="O7" s="196"/>
      <c r="P7" s="196" t="s">
        <v>636</v>
      </c>
      <c r="Q7" s="537" t="s">
        <v>637</v>
      </c>
      <c r="R7" s="537" t="s">
        <v>638</v>
      </c>
      <c r="S7" s="537" t="s">
        <v>639</v>
      </c>
    </row>
    <row r="8" spans="2:19" ht="12" customHeight="1" x14ac:dyDescent="0.2">
      <c r="B8" s="536"/>
      <c r="C8" s="536"/>
      <c r="D8" s="196"/>
      <c r="E8" s="196"/>
      <c r="F8" s="196"/>
      <c r="G8" s="538"/>
      <c r="H8" s="538"/>
      <c r="I8" s="197">
        <v>0.26</v>
      </c>
      <c r="J8" s="539"/>
      <c r="K8" s="198">
        <v>0.26</v>
      </c>
      <c r="L8" s="199">
        <v>0</v>
      </c>
      <c r="M8" s="200">
        <v>0</v>
      </c>
      <c r="N8" s="536"/>
      <c r="O8" s="196"/>
      <c r="P8" s="198">
        <v>0.25</v>
      </c>
      <c r="Q8" s="538"/>
      <c r="R8" s="538"/>
      <c r="S8" s="538"/>
    </row>
    <row r="9" spans="2:19" ht="12" customHeight="1" x14ac:dyDescent="0.2">
      <c r="B9" s="522" t="s">
        <v>640</v>
      </c>
      <c r="C9" s="523"/>
      <c r="D9" s="523"/>
      <c r="E9" s="523"/>
      <c r="F9" s="523"/>
      <c r="G9" s="523"/>
      <c r="H9" s="523"/>
      <c r="I9" s="523"/>
      <c r="J9" s="523"/>
      <c r="K9" s="523"/>
      <c r="L9" s="523"/>
      <c r="M9" s="523"/>
      <c r="N9" s="523"/>
      <c r="O9" s="523"/>
      <c r="P9" s="523"/>
      <c r="Q9" s="523"/>
    </row>
    <row r="10" spans="2:19" x14ac:dyDescent="0.2">
      <c r="B10" s="201" t="s">
        <v>382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402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641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403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642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408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410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643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425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456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423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482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441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644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443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431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394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645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522" t="s">
        <v>646</v>
      </c>
      <c r="C28" s="523"/>
      <c r="D28" s="523"/>
      <c r="E28" s="523"/>
      <c r="F28" s="523"/>
      <c r="G28" s="523"/>
      <c r="H28" s="523"/>
      <c r="I28" s="523"/>
      <c r="J28" s="523"/>
      <c r="K28" s="523"/>
      <c r="L28" s="523"/>
      <c r="M28" s="523"/>
      <c r="N28" s="523"/>
      <c r="O28" s="523"/>
      <c r="P28" s="523"/>
      <c r="Q28" s="523"/>
      <c r="S28" s="206"/>
    </row>
    <row r="29" spans="1:19" x14ac:dyDescent="0.2">
      <c r="A29" s="207" t="s">
        <v>647</v>
      </c>
      <c r="B29" s="201" t="s">
        <v>413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419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648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422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649</v>
      </c>
      <c r="B33" s="201" t="s">
        <v>420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414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415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650</v>
      </c>
      <c r="B36" s="201" t="s">
        <v>480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416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418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421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522" t="s">
        <v>651</v>
      </c>
      <c r="C40" s="523"/>
      <c r="D40" s="523"/>
      <c r="E40" s="523"/>
      <c r="F40" s="523"/>
      <c r="G40" s="523"/>
      <c r="H40" s="523"/>
      <c r="I40" s="523"/>
      <c r="J40" s="523"/>
      <c r="K40" s="523"/>
      <c r="L40" s="523"/>
      <c r="M40" s="523"/>
      <c r="N40" s="523"/>
      <c r="O40" s="523"/>
      <c r="P40" s="523"/>
      <c r="Q40" s="523"/>
      <c r="S40" s="206"/>
    </row>
    <row r="41" spans="1:19" x14ac:dyDescent="0.2">
      <c r="B41" s="201" t="s">
        <v>448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450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451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652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653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654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655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656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398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399</v>
      </c>
      <c r="C50" s="210" t="s">
        <v>399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453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454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657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658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524"/>
      <c r="S54" s="525"/>
    </row>
    <row r="55" spans="1:19" x14ac:dyDescent="0.2">
      <c r="B55" s="211" t="s">
        <v>659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526"/>
      <c r="S55" s="527"/>
    </row>
    <row r="56" spans="1:19" x14ac:dyDescent="0.2">
      <c r="B56" s="211" t="s">
        <v>660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526"/>
      <c r="S56" s="527"/>
    </row>
    <row r="57" spans="1:19" x14ac:dyDescent="0.2">
      <c r="B57" s="211" t="s">
        <v>661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528"/>
      <c r="S57" s="529"/>
    </row>
    <row r="58" spans="1:19" ht="12.75" thickBot="1" x14ac:dyDescent="0.25">
      <c r="B58" s="530" t="s">
        <v>662</v>
      </c>
      <c r="C58" s="531"/>
      <c r="D58" s="531"/>
      <c r="E58" s="531"/>
      <c r="F58" s="531"/>
      <c r="G58" s="531"/>
      <c r="H58" s="531">
        <f>235.29*60/60/60</f>
        <v>3.9215</v>
      </c>
      <c r="I58" s="531">
        <f>H58*$I$8</f>
        <v>1.01959</v>
      </c>
      <c r="J58" s="531">
        <f>SUM(G58:I58)</f>
        <v>4.94109</v>
      </c>
      <c r="K58" s="531">
        <f>$K$8*G58</f>
        <v>0</v>
      </c>
      <c r="L58" s="531"/>
      <c r="M58" s="531"/>
      <c r="N58" s="531">
        <f>SUM(J58:M58)</f>
        <v>4.94109</v>
      </c>
      <c r="O58" s="531"/>
      <c r="P58" s="532">
        <f>(N58*$P$8+N58)*1.2</f>
        <v>7.4116349999999995</v>
      </c>
      <c r="Q58" s="217"/>
      <c r="R58" s="217"/>
      <c r="S58" s="206"/>
    </row>
    <row r="59" spans="1:19" ht="24" x14ac:dyDescent="0.2">
      <c r="A59" s="207" t="s">
        <v>663</v>
      </c>
      <c r="B59" s="218" t="s">
        <v>664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647</v>
      </c>
      <c r="B60" s="227" t="s">
        <v>424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665</v>
      </c>
      <c r="B61" s="235" t="s">
        <v>412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663</v>
      </c>
      <c r="B62" s="218" t="s">
        <v>427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647</v>
      </c>
      <c r="B63" s="227" t="s">
        <v>666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665</v>
      </c>
      <c r="B64" s="227" t="s">
        <v>405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665</v>
      </c>
      <c r="B65" s="235" t="s">
        <v>426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663</v>
      </c>
      <c r="B66" s="218" t="s">
        <v>667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647</v>
      </c>
      <c r="B67" s="227" t="s">
        <v>668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647</v>
      </c>
      <c r="B68" s="227" t="s">
        <v>669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665</v>
      </c>
      <c r="B69" s="235" t="s">
        <v>396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663</v>
      </c>
      <c r="B70" s="218" t="s">
        <v>670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663</v>
      </c>
      <c r="B71" s="227" t="s">
        <v>671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663</v>
      </c>
      <c r="B72" s="227" t="s">
        <v>672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647</v>
      </c>
      <c r="B73" s="227" t="s">
        <v>488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647</v>
      </c>
      <c r="B74" s="227" t="s">
        <v>673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665</v>
      </c>
      <c r="B75" s="227" t="s">
        <v>674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665</v>
      </c>
      <c r="B76" s="235" t="s">
        <v>438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533" t="s">
        <v>675</v>
      </c>
      <c r="C77" s="534"/>
      <c r="D77" s="534"/>
      <c r="E77" s="534"/>
      <c r="F77" s="534"/>
      <c r="G77" s="534"/>
      <c r="H77" s="534">
        <f>235.29*60/60/60</f>
        <v>3.9215</v>
      </c>
      <c r="I77" s="534">
        <f t="shared" si="20"/>
        <v>1.01959</v>
      </c>
      <c r="J77" s="534">
        <f t="shared" si="24"/>
        <v>4.94109</v>
      </c>
      <c r="K77" s="534">
        <f t="shared" si="25"/>
        <v>0</v>
      </c>
      <c r="L77" s="534"/>
      <c r="M77" s="534"/>
      <c r="N77" s="534">
        <f t="shared" si="23"/>
        <v>4.94109</v>
      </c>
      <c r="O77" s="534"/>
      <c r="P77" s="535">
        <f>(N77*$P$8+N77)*1.2</f>
        <v>7.4116349999999995</v>
      </c>
      <c r="Q77" s="217"/>
      <c r="R77" s="217"/>
      <c r="S77" s="206"/>
    </row>
    <row r="78" spans="1:19" x14ac:dyDescent="0.2">
      <c r="B78" s="201" t="s">
        <v>676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432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433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677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678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679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680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406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455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430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681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682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683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400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476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684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685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686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687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442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D148"/>
  <sheetViews>
    <sheetView topLeftCell="Y1" zoomScale="85" zoomScaleNormal="85" workbookViewId="0">
      <selection activeCell="AF2" sqref="AF2"/>
    </sheetView>
  </sheetViews>
  <sheetFormatPr defaultRowHeight="15.75" x14ac:dyDescent="0.25"/>
  <cols>
    <col min="1" max="1" width="38.5703125" style="280" bestFit="1" customWidth="1"/>
    <col min="2" max="2" width="15" style="280" customWidth="1"/>
    <col min="3" max="3" width="9.140625" style="280" customWidth="1"/>
    <col min="4" max="4" width="7.42578125" style="280" customWidth="1"/>
    <col min="5" max="6" width="9.140625" style="280"/>
    <col min="7" max="7" width="7.42578125" style="280" bestFit="1" customWidth="1"/>
    <col min="8" max="10" width="9.140625" style="280"/>
    <col min="11" max="11" width="18.140625" style="280" bestFit="1" customWidth="1"/>
    <col min="12" max="12" width="31.7109375" style="280" bestFit="1" customWidth="1"/>
    <col min="13" max="13" width="15.140625" style="280" bestFit="1" customWidth="1"/>
    <col min="14" max="14" width="25.28515625" style="280" customWidth="1"/>
    <col min="15" max="15" width="15.85546875" style="280" bestFit="1" customWidth="1"/>
    <col min="16" max="16" width="14.7109375" style="280" customWidth="1"/>
    <col min="17" max="17" width="13.28515625" style="280" customWidth="1"/>
    <col min="18" max="18" width="9.140625" style="280"/>
    <col min="19" max="19" width="34.85546875" style="280" bestFit="1" customWidth="1"/>
    <col min="20" max="20" width="23.28515625" style="280" bestFit="1" customWidth="1"/>
    <col min="21" max="21" width="22.7109375" style="280" bestFit="1" customWidth="1"/>
    <col min="22" max="22" width="16.140625" style="280" bestFit="1" customWidth="1"/>
    <col min="23" max="23" width="18.85546875" style="280" bestFit="1" customWidth="1"/>
    <col min="24" max="24" width="16.140625" style="280" bestFit="1" customWidth="1"/>
    <col min="25" max="25" width="16.140625" style="280" customWidth="1"/>
    <col min="26" max="27" width="18.28515625" style="280" customWidth="1"/>
    <col min="28" max="28" width="36.28515625" style="280" bestFit="1" customWidth="1"/>
    <col min="29" max="30" width="29.42578125" style="280" customWidth="1"/>
    <col min="31" max="31" width="15.42578125" style="280" bestFit="1" customWidth="1"/>
    <col min="32" max="35" width="15.42578125" style="462" customWidth="1"/>
    <col min="36" max="36" width="23.7109375" style="280" bestFit="1" customWidth="1"/>
    <col min="37" max="37" width="25.140625" style="280" bestFit="1" customWidth="1"/>
    <col min="38" max="38" width="10.5703125" style="280" customWidth="1"/>
    <col min="39" max="39" width="52" style="280" bestFit="1" customWidth="1"/>
    <col min="40" max="45" width="30.42578125" style="280" customWidth="1"/>
    <col min="46" max="47" width="15.5703125" style="280" bestFit="1" customWidth="1"/>
    <col min="48" max="48" width="24" style="280" bestFit="1" customWidth="1"/>
    <col min="49" max="49" width="17.42578125" style="280" bestFit="1" customWidth="1"/>
    <col min="50" max="50" width="20.85546875" style="280" bestFit="1" customWidth="1"/>
    <col min="51" max="51" width="18.7109375" style="280" bestFit="1" customWidth="1"/>
    <col min="52" max="52" width="18.7109375" style="280" customWidth="1"/>
    <col min="53" max="53" width="54.42578125" style="280" bestFit="1" customWidth="1"/>
    <col min="54" max="54" width="18.7109375" style="280" customWidth="1"/>
    <col min="55" max="55" width="33.85546875" style="280" bestFit="1" customWidth="1"/>
    <col min="56" max="56" width="33.85546875" style="280" customWidth="1"/>
    <col min="57" max="57" width="42.140625" style="280" bestFit="1" customWidth="1"/>
    <col min="58" max="58" width="12.7109375" style="280" bestFit="1" customWidth="1"/>
    <col min="59" max="61" width="9.140625" style="280"/>
    <col min="62" max="62" width="86.42578125" style="280" bestFit="1" customWidth="1"/>
    <col min="63" max="63" width="10.7109375" style="280" bestFit="1" customWidth="1"/>
    <col min="64" max="65" width="9.140625" style="280"/>
    <col min="66" max="66" width="70.85546875" style="280" bestFit="1" customWidth="1"/>
    <col min="67" max="67" width="9" style="280" customWidth="1"/>
    <col min="68" max="68" width="9.140625" style="280"/>
    <col min="69" max="69" width="80.85546875" style="280" bestFit="1" customWidth="1"/>
    <col min="70" max="70" width="10.85546875" style="280" customWidth="1"/>
    <col min="71" max="73" width="9.140625" style="280"/>
    <col min="74" max="74" width="19.7109375" style="280" customWidth="1"/>
    <col min="75" max="76" width="9.140625" style="280"/>
    <col min="77" max="77" width="56.85546875" style="280" bestFit="1" customWidth="1"/>
    <col min="78" max="78" width="16.7109375" style="280" bestFit="1" customWidth="1"/>
    <col min="79" max="79" width="31" style="280" bestFit="1" customWidth="1"/>
    <col min="80" max="80" width="19" style="280" bestFit="1" customWidth="1"/>
    <col min="81" max="81" width="9.140625" style="280" customWidth="1"/>
    <col min="82" max="84" width="9.140625" style="280"/>
    <col min="85" max="85" width="39.85546875" style="280" bestFit="1" customWidth="1"/>
    <col min="86" max="88" width="9.140625" style="280"/>
    <col min="89" max="89" width="56.42578125" style="280" bestFit="1" customWidth="1"/>
    <col min="90" max="90" width="21.140625" style="280" bestFit="1" customWidth="1"/>
    <col min="91" max="91" width="29.5703125" style="280" bestFit="1" customWidth="1"/>
    <col min="92" max="92" width="65.140625" style="280" bestFit="1" customWidth="1"/>
    <col min="93" max="93" width="12" style="280" bestFit="1" customWidth="1"/>
    <col min="94" max="96" width="9.140625" style="280"/>
    <col min="97" max="97" width="65.85546875" style="280" bestFit="1" customWidth="1"/>
    <col min="98" max="98" width="26.42578125" style="280" bestFit="1" customWidth="1"/>
    <col min="99" max="99" width="19.140625" style="280" bestFit="1" customWidth="1"/>
    <col min="100" max="100" width="22" style="280" bestFit="1" customWidth="1"/>
    <col min="101" max="101" width="24.28515625" style="280" bestFit="1" customWidth="1"/>
    <col min="102" max="106" width="21.140625" style="280" bestFit="1" customWidth="1"/>
    <col min="107" max="119" width="9.140625" style="280"/>
    <col min="120" max="120" width="82.7109375" style="280" bestFit="1" customWidth="1"/>
    <col min="121" max="121" width="9" style="280" bestFit="1" customWidth="1"/>
    <col min="122" max="16384" width="9.140625" style="280"/>
  </cols>
  <sheetData>
    <row r="1" spans="2:123" ht="30" customHeight="1" x14ac:dyDescent="0.25">
      <c r="B1" s="280" t="s">
        <v>193</v>
      </c>
      <c r="E1" s="280" t="s">
        <v>167</v>
      </c>
      <c r="K1" s="541" t="s">
        <v>195</v>
      </c>
      <c r="L1" s="541"/>
      <c r="M1" s="541"/>
      <c r="N1" s="541"/>
      <c r="O1" s="541"/>
      <c r="P1" s="541"/>
      <c r="S1" s="280" t="s">
        <v>202</v>
      </c>
      <c r="T1" s="280" t="s">
        <v>203</v>
      </c>
      <c r="U1" s="280" t="s">
        <v>204</v>
      </c>
      <c r="V1" s="280" t="s">
        <v>205</v>
      </c>
      <c r="W1" s="280" t="s">
        <v>206</v>
      </c>
      <c r="X1" s="280" t="s">
        <v>207</v>
      </c>
      <c r="Y1" s="280" t="s">
        <v>745</v>
      </c>
      <c r="Z1" s="280" t="s">
        <v>796</v>
      </c>
      <c r="AB1" s="294" t="s">
        <v>208</v>
      </c>
      <c r="AC1" s="294" t="s">
        <v>209</v>
      </c>
      <c r="AD1" s="294" t="s">
        <v>210</v>
      </c>
      <c r="AE1" s="294" t="s">
        <v>211</v>
      </c>
      <c r="AF1" s="462" t="s">
        <v>1294</v>
      </c>
      <c r="AG1" s="294" t="s">
        <v>1297</v>
      </c>
      <c r="AH1" s="462" t="s">
        <v>1295</v>
      </c>
      <c r="AI1" s="462" t="s">
        <v>1298</v>
      </c>
      <c r="AJ1" s="294" t="s">
        <v>793</v>
      </c>
      <c r="AK1" s="294" t="s">
        <v>1107</v>
      </c>
      <c r="AM1" s="381" t="s">
        <v>202</v>
      </c>
      <c r="AN1" s="381" t="s">
        <v>1053</v>
      </c>
      <c r="AO1" s="381" t="s">
        <v>1093</v>
      </c>
      <c r="AP1" s="381" t="s">
        <v>1109</v>
      </c>
      <c r="AQ1" s="381" t="s">
        <v>1087</v>
      </c>
      <c r="AR1" s="381" t="s">
        <v>793</v>
      </c>
      <c r="AS1" s="294" t="s">
        <v>1107</v>
      </c>
      <c r="AT1" s="381" t="s">
        <v>796</v>
      </c>
      <c r="AV1" s="541" t="s">
        <v>1232</v>
      </c>
      <c r="AW1" s="541"/>
      <c r="AX1" s="541"/>
      <c r="AY1" s="541"/>
      <c r="AZ1" s="439"/>
      <c r="BC1" s="439"/>
      <c r="BD1" s="439"/>
      <c r="BE1" s="439" t="s">
        <v>1239</v>
      </c>
      <c r="BF1" s="439"/>
      <c r="BG1" s="439"/>
      <c r="BJ1" s="540" t="s">
        <v>1281</v>
      </c>
      <c r="BK1" s="540"/>
      <c r="BN1" s="542" t="s">
        <v>1282</v>
      </c>
      <c r="BO1" s="542"/>
      <c r="BQ1" s="542" t="s">
        <v>1283</v>
      </c>
      <c r="BR1" s="542"/>
      <c r="BU1" s="280" t="s">
        <v>1057</v>
      </c>
      <c r="BY1" s="540" t="s">
        <v>1110</v>
      </c>
      <c r="BZ1" s="540"/>
      <c r="CA1" s="540"/>
      <c r="CB1" s="540"/>
      <c r="CC1" s="540"/>
      <c r="CD1" s="418"/>
      <c r="CE1" s="418"/>
      <c r="CF1" s="418"/>
      <c r="CG1" s="540" t="s">
        <v>1231</v>
      </c>
      <c r="CH1" s="540"/>
      <c r="CK1" s="540" t="s">
        <v>1230</v>
      </c>
      <c r="CL1" s="540"/>
      <c r="CM1" s="540"/>
      <c r="CN1" s="540"/>
      <c r="CO1" s="540"/>
      <c r="CS1" s="280" t="s">
        <v>755</v>
      </c>
    </row>
    <row r="2" spans="2:123" ht="30" customHeight="1" x14ac:dyDescent="0.25">
      <c r="K2" s="279"/>
      <c r="L2" s="279"/>
      <c r="M2" s="279"/>
      <c r="N2" s="279"/>
      <c r="O2" s="279"/>
      <c r="S2" s="280" t="s">
        <v>353</v>
      </c>
      <c r="T2" s="280" t="s">
        <v>201</v>
      </c>
      <c r="U2" s="280">
        <v>2</v>
      </c>
      <c r="V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0">
        <v>6</v>
      </c>
      <c r="AB2" s="274" t="s">
        <v>213</v>
      </c>
      <c r="AC2" s="274" t="s">
        <v>214</v>
      </c>
      <c r="AD2" s="274">
        <v>19</v>
      </c>
      <c r="AE2" s="274">
        <v>0</v>
      </c>
      <c r="AF2" s="465">
        <v>70</v>
      </c>
      <c r="AG2" s="466">
        <v>2400</v>
      </c>
      <c r="AH2" s="466">
        <v>270</v>
      </c>
      <c r="AI2" s="466">
        <v>950</v>
      </c>
      <c r="AJ2" s="281" t="s">
        <v>87</v>
      </c>
      <c r="AK2" s="281" t="s">
        <v>10</v>
      </c>
      <c r="AM2" s="377" t="s">
        <v>1072</v>
      </c>
      <c r="AN2" s="377" t="s">
        <v>1094</v>
      </c>
      <c r="AO2" s="377">
        <f>VLOOKUP(Пластики_Acryline[[#This Row],[Ценовая группа]],Цены_по_категориям_Acryline[],2,0)</f>
        <v>7745</v>
      </c>
      <c r="AP2" s="377">
        <f>VLOOKUP(Пластики_Acryline[[#This Row],[Ценовая группа]],Цены_по_категориям_Acryline[],3,0)</f>
        <v>12274</v>
      </c>
      <c r="AQ2" s="377" t="s">
        <v>1088</v>
      </c>
      <c r="AR2" s="407" t="s">
        <v>87</v>
      </c>
      <c r="AS2" s="407" t="s">
        <v>10</v>
      </c>
      <c r="AT2" s="280">
        <v>1</v>
      </c>
      <c r="AV2" s="280" t="s">
        <v>1053</v>
      </c>
      <c r="AW2" s="274" t="s">
        <v>1052</v>
      </c>
      <c r="AX2" s="274" t="s">
        <v>1090</v>
      </c>
      <c r="AY2" s="280" t="s">
        <v>793</v>
      </c>
      <c r="BA2" s="541" t="s">
        <v>1238</v>
      </c>
      <c r="BB2" s="541"/>
      <c r="BC2" s="541"/>
      <c r="BD2" s="279"/>
      <c r="BE2" s="280" t="s">
        <v>1240</v>
      </c>
      <c r="BJ2" s="280" t="s">
        <v>494</v>
      </c>
      <c r="BK2" s="280" t="s">
        <v>820</v>
      </c>
      <c r="BN2" s="454" t="s">
        <v>494</v>
      </c>
      <c r="BO2" s="454" t="s">
        <v>820</v>
      </c>
      <c r="BQ2" s="454" t="s">
        <v>494</v>
      </c>
      <c r="BR2" s="454" t="s">
        <v>820</v>
      </c>
      <c r="BY2" s="424" t="s">
        <v>1111</v>
      </c>
      <c r="BZ2" s="425" t="s">
        <v>5</v>
      </c>
      <c r="CA2" s="424" t="s">
        <v>170</v>
      </c>
      <c r="CB2" s="424" t="s">
        <v>183</v>
      </c>
      <c r="CC2" s="425" t="s">
        <v>820</v>
      </c>
      <c r="CG2" s="414" t="s">
        <v>1053</v>
      </c>
      <c r="CH2" s="414" t="s">
        <v>820</v>
      </c>
      <c r="CI2" s="419"/>
      <c r="CJ2" s="420"/>
      <c r="CK2" s="280" t="s">
        <v>1215</v>
      </c>
      <c r="CL2" s="280" t="s">
        <v>183</v>
      </c>
      <c r="CM2" s="280" t="s">
        <v>5</v>
      </c>
      <c r="CN2" s="280" t="s">
        <v>1214</v>
      </c>
      <c r="CO2" s="280" t="s">
        <v>820</v>
      </c>
      <c r="CP2" s="420"/>
      <c r="CS2" s="280" t="s">
        <v>756</v>
      </c>
      <c r="CT2" s="280" t="s">
        <v>757</v>
      </c>
      <c r="CU2" s="280" t="s">
        <v>179</v>
      </c>
      <c r="CV2" s="280" t="s">
        <v>771</v>
      </c>
      <c r="CW2" s="280" t="s">
        <v>772</v>
      </c>
      <c r="CX2" s="280" t="s">
        <v>786</v>
      </c>
      <c r="CY2" s="280" t="s">
        <v>787</v>
      </c>
      <c r="CZ2" s="280" t="s">
        <v>788</v>
      </c>
      <c r="DA2" s="280" t="s">
        <v>789</v>
      </c>
    </row>
    <row r="3" spans="2:123" ht="30" customHeight="1" x14ac:dyDescent="0.25">
      <c r="K3" s="280" t="s">
        <v>183</v>
      </c>
      <c r="L3" s="280" t="s">
        <v>196</v>
      </c>
      <c r="M3" s="280" t="s">
        <v>197</v>
      </c>
      <c r="N3" s="280" t="s">
        <v>198</v>
      </c>
      <c r="O3" s="280" t="s">
        <v>199</v>
      </c>
      <c r="P3" s="280" t="s">
        <v>745</v>
      </c>
      <c r="S3" s="280" t="s">
        <v>253</v>
      </c>
      <c r="T3" s="280" t="s">
        <v>200</v>
      </c>
      <c r="U3" s="280">
        <v>1</v>
      </c>
      <c r="V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0">
        <v>22</v>
      </c>
      <c r="AB3" s="274" t="s">
        <v>218</v>
      </c>
      <c r="AC3" s="274" t="s">
        <v>216</v>
      </c>
      <c r="AD3" s="274">
        <v>19</v>
      </c>
      <c r="AE3" s="274">
        <v>16</v>
      </c>
      <c r="AF3" s="466">
        <v>135</v>
      </c>
      <c r="AG3" s="466">
        <v>2550</v>
      </c>
      <c r="AH3" s="466">
        <v>135</v>
      </c>
      <c r="AI3" s="466">
        <v>950</v>
      </c>
      <c r="AJ3" s="281" t="s">
        <v>87</v>
      </c>
      <c r="AK3" s="281" t="s">
        <v>87</v>
      </c>
      <c r="AM3" s="377" t="s">
        <v>1061</v>
      </c>
      <c r="AN3" s="377" t="s">
        <v>1094</v>
      </c>
      <c r="AO3" s="377">
        <f>VLOOKUP(Пластики_Acryline[[#This Row],[Ценовая группа]],Цены_по_категориям_Acryline[],2,0)</f>
        <v>7745</v>
      </c>
      <c r="AP3" s="377">
        <f>VLOOKUP(Пластики_Acryline[[#This Row],[Ценовая группа]],Цены_по_категориям_Acryline[],3,0)</f>
        <v>12274</v>
      </c>
      <c r="AQ3" s="377" t="s">
        <v>1089</v>
      </c>
      <c r="AR3" s="407" t="s">
        <v>87</v>
      </c>
      <c r="AS3" s="407" t="s">
        <v>10</v>
      </c>
      <c r="AT3" s="280">
        <v>1</v>
      </c>
      <c r="AV3" s="370" t="s">
        <v>1050</v>
      </c>
      <c r="AW3" s="369">
        <v>4850</v>
      </c>
      <c r="AX3" s="385">
        <v>0</v>
      </c>
      <c r="AY3" s="294" t="s">
        <v>10</v>
      </c>
      <c r="AZ3" s="294"/>
      <c r="BA3" s="376" t="s">
        <v>1053</v>
      </c>
      <c r="BB3" s="376" t="s">
        <v>793</v>
      </c>
      <c r="BC3" s="379" t="s">
        <v>1233</v>
      </c>
      <c r="BD3" s="379"/>
      <c r="BE3" s="380" t="s">
        <v>1241</v>
      </c>
      <c r="BJ3" s="274" t="s">
        <v>1288</v>
      </c>
      <c r="BK3" s="430">
        <v>2392</v>
      </c>
      <c r="BN3" s="450" t="s">
        <v>1186</v>
      </c>
      <c r="BO3" s="451">
        <v>3484</v>
      </c>
      <c r="BQ3" s="450" t="s">
        <v>1192</v>
      </c>
      <c r="BR3" s="451">
        <v>1123.2</v>
      </c>
      <c r="BY3" s="457" t="s">
        <v>1289</v>
      </c>
      <c r="BZ3" s="458" t="s">
        <v>804</v>
      </c>
      <c r="CA3" s="458" t="s">
        <v>804</v>
      </c>
      <c r="CB3" s="458" t="s">
        <v>804</v>
      </c>
      <c r="CC3" s="459">
        <f>VLOOKUP(Ручки[[#This Row],[Категория]],Ценовые_категории_ручек[],2,0)</f>
        <v>770</v>
      </c>
      <c r="CD3" s="408"/>
      <c r="CG3" s="377" t="s">
        <v>1114</v>
      </c>
      <c r="CH3" s="435">
        <v>50</v>
      </c>
      <c r="CI3" s="422"/>
      <c r="CJ3" s="408"/>
      <c r="CK3" s="438" t="s">
        <v>1203</v>
      </c>
      <c r="CL3" s="438" t="s">
        <v>184</v>
      </c>
      <c r="CM3" s="438" t="s">
        <v>1216</v>
      </c>
      <c r="CN3" s="426" t="s">
        <v>1225</v>
      </c>
      <c r="CO3" s="448">
        <v>4362</v>
      </c>
      <c r="CR3" s="447"/>
      <c r="CS3" s="288" t="s">
        <v>758</v>
      </c>
      <c r="CT3" s="280" t="s">
        <v>770</v>
      </c>
      <c r="CU3" s="280">
        <v>38</v>
      </c>
      <c r="CV3" s="280">
        <v>3000</v>
      </c>
      <c r="CW3" s="280">
        <v>1200</v>
      </c>
      <c r="CX3" s="289">
        <v>2536</v>
      </c>
      <c r="CY3" s="289">
        <v>4278</v>
      </c>
      <c r="CZ3" s="289">
        <v>6020</v>
      </c>
      <c r="DA3" s="289">
        <v>0</v>
      </c>
    </row>
    <row r="4" spans="2:123" ht="30" customHeight="1" x14ac:dyDescent="0.25">
      <c r="K4" s="280" t="s">
        <v>200</v>
      </c>
      <c r="L4" s="280">
        <v>1</v>
      </c>
      <c r="M4" s="291">
        <v>4041</v>
      </c>
      <c r="N4" s="291">
        <v>4445</v>
      </c>
      <c r="O4" s="291">
        <v>4851</v>
      </c>
      <c r="P4" s="282">
        <v>0.2</v>
      </c>
      <c r="S4" s="280" t="s">
        <v>299</v>
      </c>
      <c r="T4" s="280" t="s">
        <v>201</v>
      </c>
      <c r="U4" s="280">
        <v>1</v>
      </c>
      <c r="V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0">
        <v>39</v>
      </c>
      <c r="AB4" s="274" t="s">
        <v>220</v>
      </c>
      <c r="AC4" s="274" t="s">
        <v>216</v>
      </c>
      <c r="AD4" s="274">
        <v>19</v>
      </c>
      <c r="AE4" s="274">
        <v>16</v>
      </c>
      <c r="AF4" s="463">
        <v>135</v>
      </c>
      <c r="AG4" s="463">
        <v>2550</v>
      </c>
      <c r="AH4" s="463">
        <v>275</v>
      </c>
      <c r="AI4" s="463">
        <v>950</v>
      </c>
      <c r="AJ4" s="281" t="s">
        <v>87</v>
      </c>
      <c r="AK4" s="281" t="s">
        <v>87</v>
      </c>
      <c r="AM4" s="377" t="s">
        <v>1073</v>
      </c>
      <c r="AN4" s="377" t="s">
        <v>1094</v>
      </c>
      <c r="AO4" s="377">
        <f>VLOOKUP(Пластики_Acryline[[#This Row],[Ценовая группа]],Цены_по_категориям_Acryline[],2,0)</f>
        <v>7745</v>
      </c>
      <c r="AP4" s="377">
        <f>VLOOKUP(Пластики_Acryline[[#This Row],[Ценовая группа]],Цены_по_категориям_Acryline[],3,0)</f>
        <v>12274</v>
      </c>
      <c r="AQ4" s="377" t="s">
        <v>1088</v>
      </c>
      <c r="AR4" s="407" t="s">
        <v>87</v>
      </c>
      <c r="AS4" s="407" t="s">
        <v>10</v>
      </c>
      <c r="AT4" s="280">
        <v>2</v>
      </c>
      <c r="AV4" s="371" t="s">
        <v>1051</v>
      </c>
      <c r="AW4" s="368">
        <v>5808</v>
      </c>
      <c r="AX4" s="372">
        <v>9206</v>
      </c>
      <c r="AY4" s="294" t="s">
        <v>87</v>
      </c>
      <c r="AZ4" s="294"/>
      <c r="BA4" s="376" t="s">
        <v>1234</v>
      </c>
      <c r="BB4" s="376" t="s">
        <v>10</v>
      </c>
      <c r="BC4" s="440">
        <v>4218</v>
      </c>
      <c r="BD4" s="440"/>
      <c r="BE4" s="380" t="s">
        <v>1242</v>
      </c>
      <c r="BJ4" s="285" t="s">
        <v>822</v>
      </c>
      <c r="BK4" s="431">
        <v>520</v>
      </c>
      <c r="BN4" s="285" t="s">
        <v>1187</v>
      </c>
      <c r="BO4" s="432">
        <v>312</v>
      </c>
      <c r="BQ4" s="285" t="s">
        <v>1193</v>
      </c>
      <c r="BR4" s="432">
        <v>1123.2</v>
      </c>
      <c r="BV4" s="295" t="s">
        <v>794</v>
      </c>
      <c r="BW4" s="296">
        <v>1.25</v>
      </c>
      <c r="BY4" s="457" t="s">
        <v>1029</v>
      </c>
      <c r="BZ4" s="458" t="s">
        <v>804</v>
      </c>
      <c r="CA4" s="458" t="s">
        <v>804</v>
      </c>
      <c r="CB4" s="458" t="s">
        <v>804</v>
      </c>
      <c r="CC4" s="459">
        <f>VLOOKUP(Ручки[[#This Row],[Категория]],Ценовые_категории_ручек[],2,0)</f>
        <v>770</v>
      </c>
      <c r="CG4" s="377" t="s">
        <v>1050</v>
      </c>
      <c r="CH4" s="435">
        <v>257</v>
      </c>
      <c r="CI4" s="408"/>
      <c r="CK4" s="438" t="s">
        <v>1204</v>
      </c>
      <c r="CL4" s="438" t="s">
        <v>184</v>
      </c>
      <c r="CM4" s="438" t="s">
        <v>1217</v>
      </c>
      <c r="CN4" s="426" t="s">
        <v>1219</v>
      </c>
      <c r="CO4" s="449">
        <v>2618</v>
      </c>
      <c r="CR4" s="447"/>
      <c r="CS4" s="288" t="s">
        <v>759</v>
      </c>
      <c r="CT4" s="280" t="s">
        <v>770</v>
      </c>
      <c r="CU4" s="280">
        <v>38</v>
      </c>
      <c r="CV4" s="280">
        <v>3000</v>
      </c>
      <c r="CW4" s="280">
        <v>600</v>
      </c>
      <c r="CX4" s="289">
        <v>2536</v>
      </c>
      <c r="CY4" s="289">
        <v>4278</v>
      </c>
      <c r="CZ4" s="289">
        <v>6020</v>
      </c>
      <c r="DA4" s="289">
        <v>0</v>
      </c>
    </row>
    <row r="5" spans="2:123" ht="30" customHeight="1" x14ac:dyDescent="0.25">
      <c r="B5" s="280" t="s">
        <v>161</v>
      </c>
      <c r="E5" s="280" t="s">
        <v>159</v>
      </c>
      <c r="H5" s="280" t="s">
        <v>158</v>
      </c>
      <c r="K5" s="280" t="s">
        <v>200</v>
      </c>
      <c r="L5" s="280">
        <v>2</v>
      </c>
      <c r="M5" s="291">
        <v>4649</v>
      </c>
      <c r="N5" s="291">
        <v>5113</v>
      </c>
      <c r="O5" s="291">
        <v>5578</v>
      </c>
      <c r="P5" s="283">
        <v>0</v>
      </c>
      <c r="S5" s="280" t="s">
        <v>301</v>
      </c>
      <c r="T5" s="280" t="s">
        <v>201</v>
      </c>
      <c r="U5" s="280">
        <v>1</v>
      </c>
      <c r="V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0">
        <v>45</v>
      </c>
      <c r="AB5" s="274" t="s">
        <v>222</v>
      </c>
      <c r="AC5" s="274" t="s">
        <v>214</v>
      </c>
      <c r="AD5" s="274">
        <v>19</v>
      </c>
      <c r="AE5" s="274">
        <v>0</v>
      </c>
      <c r="AF5" s="463">
        <v>116</v>
      </c>
      <c r="AG5" s="463">
        <v>2550</v>
      </c>
      <c r="AH5" s="463">
        <v>270</v>
      </c>
      <c r="AI5" s="463">
        <v>950</v>
      </c>
      <c r="AJ5" s="281" t="s">
        <v>10</v>
      </c>
      <c r="AK5" s="281" t="s">
        <v>10</v>
      </c>
      <c r="AM5" s="377" t="s">
        <v>1074</v>
      </c>
      <c r="AN5" s="377" t="s">
        <v>1094</v>
      </c>
      <c r="AO5" s="377">
        <f>VLOOKUP(Пластики_Acryline[[#This Row],[Ценовая группа]],Цены_по_категориям_Acryline[],2,0)</f>
        <v>7745</v>
      </c>
      <c r="AP5" s="377">
        <f>VLOOKUP(Пластики_Acryline[[#This Row],[Ценовая группа]],Цены_по_категориям_Acryline[],3,0)</f>
        <v>12274</v>
      </c>
      <c r="AQ5" s="377" t="s">
        <v>1088</v>
      </c>
      <c r="AR5" s="407" t="s">
        <v>87</v>
      </c>
      <c r="AS5" s="407" t="s">
        <v>10</v>
      </c>
      <c r="AT5" s="280">
        <v>3</v>
      </c>
      <c r="AV5" s="370" t="s">
        <v>1094</v>
      </c>
      <c r="AW5" s="369">
        <v>7745</v>
      </c>
      <c r="AX5" s="373">
        <v>12274</v>
      </c>
      <c r="AY5" s="294" t="s">
        <v>87</v>
      </c>
      <c r="AZ5" s="294"/>
      <c r="BA5" s="376" t="s">
        <v>1235</v>
      </c>
      <c r="BB5" s="376" t="s">
        <v>10</v>
      </c>
      <c r="BC5" s="440">
        <v>3786</v>
      </c>
      <c r="BD5" s="440"/>
      <c r="BE5" s="380" t="s">
        <v>1243</v>
      </c>
      <c r="BJ5" s="285" t="s">
        <v>823</v>
      </c>
      <c r="BK5" s="431">
        <v>312</v>
      </c>
      <c r="BN5" s="450" t="s">
        <v>1188</v>
      </c>
      <c r="BO5" s="451">
        <v>312</v>
      </c>
      <c r="BQ5" s="450" t="s">
        <v>1194</v>
      </c>
      <c r="BR5" s="451">
        <v>1123.2</v>
      </c>
      <c r="BY5" s="415" t="s">
        <v>1145</v>
      </c>
      <c r="BZ5" s="409" t="s">
        <v>1120</v>
      </c>
      <c r="CA5" s="377" t="s">
        <v>1050</v>
      </c>
      <c r="CB5" s="426" t="s">
        <v>1264</v>
      </c>
      <c r="CC5" s="443">
        <f>VLOOKUP(Ручки[[#This Row],[Категория]],Ценовые_категории_ручек[],2,0)</f>
        <v>257</v>
      </c>
      <c r="CG5" s="414" t="s">
        <v>1122</v>
      </c>
      <c r="CH5" s="436">
        <v>450</v>
      </c>
      <c r="CI5" s="408"/>
      <c r="CK5" s="438" t="s">
        <v>1205</v>
      </c>
      <c r="CL5" s="438" t="s">
        <v>184</v>
      </c>
      <c r="CM5" s="438" t="s">
        <v>1218</v>
      </c>
      <c r="CN5" s="426" t="s">
        <v>1226</v>
      </c>
      <c r="CO5" s="448">
        <v>2092</v>
      </c>
      <c r="CR5" s="445"/>
      <c r="CS5" s="288" t="s">
        <v>760</v>
      </c>
      <c r="CT5" s="280" t="s">
        <v>770</v>
      </c>
      <c r="CU5" s="280">
        <v>38</v>
      </c>
      <c r="CV5" s="280">
        <v>3000</v>
      </c>
      <c r="CW5" s="280">
        <v>1200</v>
      </c>
      <c r="CX5" s="289">
        <v>2536</v>
      </c>
      <c r="CY5" s="289">
        <v>4278</v>
      </c>
      <c r="CZ5" s="289">
        <v>6020</v>
      </c>
      <c r="DA5" s="289">
        <v>0</v>
      </c>
    </row>
    <row r="6" spans="2:123" ht="30" customHeight="1" x14ac:dyDescent="0.25">
      <c r="K6" s="280" t="s">
        <v>200</v>
      </c>
      <c r="L6" s="280">
        <v>3</v>
      </c>
      <c r="M6" s="291">
        <v>5542</v>
      </c>
      <c r="N6" s="291">
        <v>6096</v>
      </c>
      <c r="O6" s="291">
        <v>6650</v>
      </c>
      <c r="P6" s="283">
        <v>0</v>
      </c>
      <c r="S6" s="280" t="s">
        <v>354</v>
      </c>
      <c r="T6" s="280" t="s">
        <v>201</v>
      </c>
      <c r="U6" s="280">
        <v>1</v>
      </c>
      <c r="V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0">
        <v>64</v>
      </c>
      <c r="AB6" s="274" t="s">
        <v>224</v>
      </c>
      <c r="AC6" s="274" t="s">
        <v>214</v>
      </c>
      <c r="AD6" s="274">
        <v>19</v>
      </c>
      <c r="AE6" s="274">
        <v>0</v>
      </c>
      <c r="AF6" s="463">
        <v>116</v>
      </c>
      <c r="AG6" s="463">
        <v>2550</v>
      </c>
      <c r="AH6" s="463">
        <v>196</v>
      </c>
      <c r="AI6" s="463">
        <v>950</v>
      </c>
      <c r="AJ6" s="281" t="s">
        <v>10</v>
      </c>
      <c r="AK6" s="281" t="s">
        <v>10</v>
      </c>
      <c r="AM6" s="377" t="s">
        <v>1062</v>
      </c>
      <c r="AN6" s="377" t="s">
        <v>1094</v>
      </c>
      <c r="AO6" s="377">
        <f>VLOOKUP(Пластики_Acryline[[#This Row],[Ценовая группа]],Цены_по_категориям_Acryline[],2,0)</f>
        <v>7745</v>
      </c>
      <c r="AP6" s="377">
        <f>VLOOKUP(Пластики_Acryline[[#This Row],[Ценовая группа]],Цены_по_категориям_Acryline[],3,0)</f>
        <v>12274</v>
      </c>
      <c r="AQ6" s="377" t="s">
        <v>1089</v>
      </c>
      <c r="AR6" s="407" t="s">
        <v>87</v>
      </c>
      <c r="AS6" s="407" t="s">
        <v>10</v>
      </c>
      <c r="AT6" s="280">
        <v>3</v>
      </c>
      <c r="AV6" s="370" t="s">
        <v>1054</v>
      </c>
      <c r="AW6" s="369">
        <v>8520</v>
      </c>
      <c r="AX6" s="373">
        <v>13501</v>
      </c>
      <c r="AY6" s="294" t="s">
        <v>87</v>
      </c>
      <c r="AZ6" s="294"/>
      <c r="BA6" s="376" t="s">
        <v>1236</v>
      </c>
      <c r="BB6" s="376" t="s">
        <v>10</v>
      </c>
      <c r="BC6" s="440">
        <v>3786</v>
      </c>
      <c r="BD6" s="440"/>
      <c r="BE6" s="380" t="s">
        <v>1244</v>
      </c>
      <c r="BJ6" s="285" t="s">
        <v>1284</v>
      </c>
      <c r="BK6" s="431">
        <v>2704</v>
      </c>
      <c r="BN6" s="285" t="s">
        <v>1189</v>
      </c>
      <c r="BO6" s="432">
        <v>104</v>
      </c>
      <c r="BQ6" s="285" t="s">
        <v>1195</v>
      </c>
      <c r="BR6" s="432">
        <v>561.6</v>
      </c>
      <c r="BY6" s="415" t="s">
        <v>1144</v>
      </c>
      <c r="BZ6" s="409" t="s">
        <v>1120</v>
      </c>
      <c r="CA6" s="377" t="s">
        <v>1050</v>
      </c>
      <c r="CB6" s="426" t="s">
        <v>1264</v>
      </c>
      <c r="CC6" s="443">
        <f>VLOOKUP(Ручки[[#This Row],[Категория]],Ценовые_категории_ручек[],2,0)</f>
        <v>257</v>
      </c>
      <c r="CG6" s="414" t="s">
        <v>1123</v>
      </c>
      <c r="CH6" s="436">
        <v>625</v>
      </c>
      <c r="CK6" s="438" t="s">
        <v>1206</v>
      </c>
      <c r="CL6" s="438" t="s">
        <v>184</v>
      </c>
      <c r="CM6" s="438" t="s">
        <v>1218</v>
      </c>
      <c r="CN6" s="426" t="s">
        <v>1227</v>
      </c>
      <c r="CO6" s="448">
        <v>3139</v>
      </c>
      <c r="CR6" s="446"/>
      <c r="CS6" s="288" t="s">
        <v>761</v>
      </c>
      <c r="CT6" s="280" t="s">
        <v>770</v>
      </c>
      <c r="CU6" s="280">
        <v>38</v>
      </c>
      <c r="CV6" s="280">
        <v>3000</v>
      </c>
      <c r="CW6" s="280">
        <v>1200</v>
      </c>
      <c r="CX6" s="289">
        <v>2536</v>
      </c>
      <c r="CY6" s="289">
        <v>4278</v>
      </c>
      <c r="CZ6" s="289">
        <v>6020</v>
      </c>
      <c r="DA6" s="289">
        <v>0</v>
      </c>
    </row>
    <row r="7" spans="2:123" ht="30" customHeight="1" x14ac:dyDescent="0.25">
      <c r="K7" s="280" t="s">
        <v>201</v>
      </c>
      <c r="L7" s="280">
        <v>1</v>
      </c>
      <c r="M7" s="291">
        <v>4900</v>
      </c>
      <c r="N7" s="291">
        <v>5387</v>
      </c>
      <c r="O7" s="291">
        <v>5880</v>
      </c>
      <c r="P7" s="282">
        <v>0.2</v>
      </c>
      <c r="S7" s="280" t="s">
        <v>356</v>
      </c>
      <c r="T7" s="280" t="s">
        <v>201</v>
      </c>
      <c r="U7" s="280">
        <v>4</v>
      </c>
      <c r="V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0">
        <v>77</v>
      </c>
      <c r="AB7" s="274" t="s">
        <v>226</v>
      </c>
      <c r="AC7" s="274" t="s">
        <v>216</v>
      </c>
      <c r="AD7" s="274">
        <v>19</v>
      </c>
      <c r="AE7" s="274">
        <v>0</v>
      </c>
      <c r="AF7" s="463">
        <v>100</v>
      </c>
      <c r="AG7" s="463">
        <v>2550</v>
      </c>
      <c r="AH7" s="463">
        <v>360</v>
      </c>
      <c r="AI7" s="463">
        <v>950</v>
      </c>
      <c r="AJ7" s="281" t="s">
        <v>87</v>
      </c>
      <c r="AK7" s="281" t="s">
        <v>10</v>
      </c>
      <c r="AM7" s="377" t="s">
        <v>1055</v>
      </c>
      <c r="AN7" s="377" t="s">
        <v>1050</v>
      </c>
      <c r="AO7" s="377">
        <f>VLOOKUP(Пластики_Acryline[[#This Row],[Ценовая группа]],Цены_по_категориям_Acryline[],2,0)</f>
        <v>4850</v>
      </c>
      <c r="AP7" s="377">
        <f>VLOOKUP(Пластики_Acryline[[#This Row],[Ценовая группа]],Цены_по_категориям_Acryline[],3,0)</f>
        <v>0</v>
      </c>
      <c r="AQ7" s="377" t="s">
        <v>1088</v>
      </c>
      <c r="AR7" s="407" t="s">
        <v>87</v>
      </c>
      <c r="AS7" s="407" t="s">
        <v>10</v>
      </c>
      <c r="AT7" s="274">
        <v>5</v>
      </c>
      <c r="BA7" s="376" t="s">
        <v>1237</v>
      </c>
      <c r="BB7" s="376" t="s">
        <v>10</v>
      </c>
      <c r="BC7" s="440">
        <v>2839</v>
      </c>
      <c r="BD7" s="440"/>
      <c r="BE7" s="380" t="s">
        <v>1245</v>
      </c>
      <c r="BJ7" s="285" t="s">
        <v>824</v>
      </c>
      <c r="BK7" s="431">
        <v>312</v>
      </c>
      <c r="BN7" s="450" t="s">
        <v>1190</v>
      </c>
      <c r="BO7" s="451">
        <v>104</v>
      </c>
      <c r="BQ7" s="450" t="s">
        <v>1196</v>
      </c>
      <c r="BR7" s="451">
        <v>561.6</v>
      </c>
      <c r="BY7" s="415" t="s">
        <v>1143</v>
      </c>
      <c r="BZ7" s="409" t="s">
        <v>1120</v>
      </c>
      <c r="CA7" s="377" t="s">
        <v>1050</v>
      </c>
      <c r="CB7" s="426" t="s">
        <v>1264</v>
      </c>
      <c r="CC7" s="443">
        <f>VLOOKUP(Ручки[[#This Row],[Категория]],Ценовые_категории_ручек[],2,0)</f>
        <v>257</v>
      </c>
      <c r="CG7" s="414" t="s">
        <v>1124</v>
      </c>
      <c r="CH7" s="436">
        <v>800</v>
      </c>
      <c r="CK7" s="438" t="s">
        <v>1207</v>
      </c>
      <c r="CL7" s="438" t="s">
        <v>184</v>
      </c>
      <c r="CM7" s="438" t="s">
        <v>1218</v>
      </c>
      <c r="CN7" s="426" t="s">
        <v>1220</v>
      </c>
      <c r="CO7" s="448">
        <v>3490</v>
      </c>
      <c r="CR7" s="447"/>
      <c r="CS7" s="288" t="s">
        <v>762</v>
      </c>
      <c r="CT7" s="280" t="s">
        <v>770</v>
      </c>
      <c r="CU7" s="280">
        <v>38</v>
      </c>
      <c r="CV7" s="280">
        <v>3000</v>
      </c>
      <c r="CW7" s="280">
        <v>1200</v>
      </c>
      <c r="CX7" s="289">
        <v>2536</v>
      </c>
      <c r="CY7" s="289">
        <v>4278</v>
      </c>
      <c r="CZ7" s="289">
        <v>6020</v>
      </c>
      <c r="DA7" s="289">
        <v>0</v>
      </c>
      <c r="DQ7" s="376"/>
      <c r="DR7" s="376"/>
      <c r="DS7" s="440"/>
    </row>
    <row r="8" spans="2:123" ht="30" customHeight="1" x14ac:dyDescent="0.25">
      <c r="K8" s="280" t="s">
        <v>201</v>
      </c>
      <c r="L8" s="280">
        <v>2</v>
      </c>
      <c r="M8" s="291">
        <v>5542</v>
      </c>
      <c r="N8" s="291">
        <v>6096</v>
      </c>
      <c r="O8" s="291">
        <v>6650</v>
      </c>
      <c r="P8" s="283">
        <v>0</v>
      </c>
      <c r="S8" s="280" t="s">
        <v>357</v>
      </c>
      <c r="T8" s="280" t="s">
        <v>201</v>
      </c>
      <c r="U8" s="280">
        <v>3</v>
      </c>
      <c r="V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0">
        <v>90</v>
      </c>
      <c r="AB8" s="274" t="s">
        <v>228</v>
      </c>
      <c r="AC8" s="274" t="s">
        <v>216</v>
      </c>
      <c r="AD8" s="274">
        <v>19</v>
      </c>
      <c r="AE8" s="274">
        <v>0</v>
      </c>
      <c r="AF8" s="463">
        <v>100</v>
      </c>
      <c r="AG8" s="463">
        <v>950</v>
      </c>
      <c r="AH8" s="463">
        <v>380</v>
      </c>
      <c r="AI8" s="463">
        <v>950</v>
      </c>
      <c r="AJ8" s="281" t="s">
        <v>87</v>
      </c>
      <c r="AK8" s="281" t="s">
        <v>10</v>
      </c>
      <c r="AM8" s="377" t="s">
        <v>1063</v>
      </c>
      <c r="AN8" s="377" t="s">
        <v>1094</v>
      </c>
      <c r="AO8" s="377">
        <f>VLOOKUP(Пластики_Acryline[[#This Row],[Ценовая группа]],Цены_по_категориям_Acryline[],2,0)</f>
        <v>7745</v>
      </c>
      <c r="AP8" s="377">
        <f>VLOOKUP(Пластики_Acryline[[#This Row],[Ценовая группа]],Цены_по_категориям_Acryline[],3,0)</f>
        <v>12274</v>
      </c>
      <c r="AQ8" s="377" t="s">
        <v>1089</v>
      </c>
      <c r="AR8" s="407" t="s">
        <v>87</v>
      </c>
      <c r="AS8" s="407" t="s">
        <v>10</v>
      </c>
      <c r="AT8" s="280">
        <v>5</v>
      </c>
      <c r="AW8" s="384"/>
      <c r="BE8" s="380" t="s">
        <v>1246</v>
      </c>
      <c r="BJ8" s="285" t="s">
        <v>1285</v>
      </c>
      <c r="BK8" s="431">
        <v>4576</v>
      </c>
      <c r="BN8" s="285" t="s">
        <v>1191</v>
      </c>
      <c r="BO8" s="432">
        <v>31.200000000000003</v>
      </c>
      <c r="BQ8" s="285" t="s">
        <v>1197</v>
      </c>
      <c r="BR8" s="432">
        <v>561.6</v>
      </c>
      <c r="BY8" s="415" t="s">
        <v>1142</v>
      </c>
      <c r="BZ8" s="409" t="s">
        <v>1120</v>
      </c>
      <c r="CA8" s="377" t="s">
        <v>1050</v>
      </c>
      <c r="CB8" s="426" t="s">
        <v>1264</v>
      </c>
      <c r="CC8" s="443">
        <f>VLOOKUP(Ручки[[#This Row],[Категория]],Ценовые_категории_ручек[],2,0)</f>
        <v>257</v>
      </c>
      <c r="CG8" s="423" t="s">
        <v>1125</v>
      </c>
      <c r="CH8" s="436">
        <v>450</v>
      </c>
      <c r="CK8" s="438" t="s">
        <v>1208</v>
      </c>
      <c r="CL8" s="438" t="s">
        <v>184</v>
      </c>
      <c r="CM8" s="438" t="s">
        <v>1218</v>
      </c>
      <c r="CN8" s="426" t="s">
        <v>1221</v>
      </c>
      <c r="CO8" s="448">
        <v>6278</v>
      </c>
      <c r="CR8" s="447"/>
      <c r="CS8" s="288" t="s">
        <v>763</v>
      </c>
      <c r="CT8" s="280" t="s">
        <v>770</v>
      </c>
      <c r="CU8" s="280">
        <v>38</v>
      </c>
      <c r="CV8" s="280">
        <v>3000</v>
      </c>
      <c r="CW8" s="280">
        <v>1200</v>
      </c>
      <c r="CX8" s="289">
        <v>2536</v>
      </c>
      <c r="CY8" s="289">
        <v>4278</v>
      </c>
      <c r="CZ8" s="289">
        <v>6020</v>
      </c>
      <c r="DA8" s="289">
        <v>0</v>
      </c>
    </row>
    <row r="9" spans="2:123" ht="30" customHeight="1" x14ac:dyDescent="0.25">
      <c r="B9" s="280" t="s">
        <v>160</v>
      </c>
      <c r="E9" s="280" t="s">
        <v>165</v>
      </c>
      <c r="H9" s="280" t="s">
        <v>166</v>
      </c>
      <c r="K9" s="280" t="s">
        <v>201</v>
      </c>
      <c r="L9" s="280">
        <v>3</v>
      </c>
      <c r="M9" s="291">
        <v>6433</v>
      </c>
      <c r="N9" s="291">
        <v>7078</v>
      </c>
      <c r="O9" s="291">
        <v>7700</v>
      </c>
      <c r="P9" s="283">
        <v>0</v>
      </c>
      <c r="S9" s="280" t="s">
        <v>212</v>
      </c>
      <c r="T9" s="280" t="s">
        <v>200</v>
      </c>
      <c r="U9" s="280">
        <v>1</v>
      </c>
      <c r="V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0">
        <v>101</v>
      </c>
      <c r="AB9" s="274" t="s">
        <v>230</v>
      </c>
      <c r="AC9" s="274" t="s">
        <v>214</v>
      </c>
      <c r="AD9" s="274">
        <v>19</v>
      </c>
      <c r="AE9" s="274">
        <v>0</v>
      </c>
      <c r="AF9" s="463">
        <v>236</v>
      </c>
      <c r="AG9" s="463">
        <v>2550</v>
      </c>
      <c r="AH9" s="463">
        <v>245</v>
      </c>
      <c r="AI9" s="463">
        <v>950</v>
      </c>
      <c r="AJ9" s="281" t="s">
        <v>87</v>
      </c>
      <c r="AK9" s="281" t="s">
        <v>87</v>
      </c>
      <c r="AM9" s="377" t="s">
        <v>1075</v>
      </c>
      <c r="AN9" s="377" t="s">
        <v>1094</v>
      </c>
      <c r="AO9" s="377">
        <f>VLOOKUP(Пластики_Acryline[[#This Row],[Ценовая группа]],Цены_по_категориям_Acryline[],2,0)</f>
        <v>7745</v>
      </c>
      <c r="AP9" s="377">
        <f>VLOOKUP(Пластики_Acryline[[#This Row],[Ценовая группа]],Цены_по_категориям_Acryline[],3,0)</f>
        <v>12274</v>
      </c>
      <c r="AQ9" s="377" t="s">
        <v>1088</v>
      </c>
      <c r="AR9" s="407" t="s">
        <v>87</v>
      </c>
      <c r="AS9" s="407" t="s">
        <v>10</v>
      </c>
      <c r="AT9" s="280">
        <v>5</v>
      </c>
      <c r="AW9" s="384"/>
      <c r="BE9" s="380" t="s">
        <v>1247</v>
      </c>
      <c r="BJ9" s="285" t="s">
        <v>1286</v>
      </c>
      <c r="BK9" s="431">
        <v>4160</v>
      </c>
      <c r="BQ9" s="450" t="s">
        <v>1198</v>
      </c>
      <c r="BR9" s="451">
        <v>156</v>
      </c>
      <c r="BY9" s="415" t="s">
        <v>1141</v>
      </c>
      <c r="BZ9" s="409" t="s">
        <v>1120</v>
      </c>
      <c r="CA9" s="377" t="s">
        <v>1050</v>
      </c>
      <c r="CB9" s="426" t="s">
        <v>1264</v>
      </c>
      <c r="CC9" s="443">
        <f>VLOOKUP(Ручки[[#This Row],[Категория]],Ценовые_категории_ручек[],2,0)</f>
        <v>257</v>
      </c>
      <c r="CG9" s="423" t="s">
        <v>1128</v>
      </c>
      <c r="CH9" s="436">
        <v>625</v>
      </c>
      <c r="CK9" s="438" t="s">
        <v>1209</v>
      </c>
      <c r="CL9" s="438" t="s">
        <v>184</v>
      </c>
      <c r="CM9" s="438" t="s">
        <v>1218</v>
      </c>
      <c r="CN9" s="426" t="s">
        <v>1228</v>
      </c>
      <c r="CO9" s="448">
        <v>2092</v>
      </c>
      <c r="CR9" s="447"/>
      <c r="CS9" s="288" t="s">
        <v>764</v>
      </c>
      <c r="CT9" s="280" t="s">
        <v>770</v>
      </c>
      <c r="CU9" s="280">
        <v>38</v>
      </c>
      <c r="CV9" s="280">
        <v>3000</v>
      </c>
      <c r="CW9" s="280">
        <v>1200</v>
      </c>
      <c r="CX9" s="289">
        <v>2536</v>
      </c>
      <c r="CY9" s="289">
        <v>4278</v>
      </c>
      <c r="CZ9" s="289">
        <v>6020</v>
      </c>
      <c r="DA9" s="289">
        <v>0</v>
      </c>
    </row>
    <row r="10" spans="2:123" ht="30" customHeight="1" x14ac:dyDescent="0.25">
      <c r="K10" s="280" t="s">
        <v>201</v>
      </c>
      <c r="L10" s="280">
        <v>4</v>
      </c>
      <c r="M10" s="291">
        <v>7327</v>
      </c>
      <c r="N10" s="291">
        <v>8060</v>
      </c>
      <c r="O10" s="291">
        <v>8790</v>
      </c>
      <c r="P10" s="284">
        <v>0</v>
      </c>
      <c r="S10" s="280" t="s">
        <v>215</v>
      </c>
      <c r="T10" s="280" t="s">
        <v>200</v>
      </c>
      <c r="U10" s="280">
        <v>1</v>
      </c>
      <c r="V1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0">
        <v>119</v>
      </c>
      <c r="AB10" s="274" t="s">
        <v>232</v>
      </c>
      <c r="AC10" s="274" t="s">
        <v>214</v>
      </c>
      <c r="AD10" s="274">
        <v>19</v>
      </c>
      <c r="AE10" s="274">
        <v>16</v>
      </c>
      <c r="AF10" s="463">
        <v>116</v>
      </c>
      <c r="AG10" s="463">
        <v>2550</v>
      </c>
      <c r="AH10" s="463">
        <v>296</v>
      </c>
      <c r="AI10" s="463">
        <v>950</v>
      </c>
      <c r="AJ10" s="281" t="s">
        <v>87</v>
      </c>
      <c r="AK10" s="281" t="s">
        <v>10</v>
      </c>
      <c r="AM10" s="377" t="s">
        <v>1076</v>
      </c>
      <c r="AN10" s="377" t="s">
        <v>1094</v>
      </c>
      <c r="AO10" s="377">
        <f>VLOOKUP(Пластики_Acryline[[#This Row],[Ценовая группа]],Цены_по_категориям_Acryline[],2,0)</f>
        <v>7745</v>
      </c>
      <c r="AP10" s="377">
        <f>VLOOKUP(Пластики_Acryline[[#This Row],[Ценовая группа]],Цены_по_категориям_Acryline[],3,0)</f>
        <v>12274</v>
      </c>
      <c r="AQ10" s="377" t="s">
        <v>1088</v>
      </c>
      <c r="AR10" s="407" t="s">
        <v>87</v>
      </c>
      <c r="AS10" s="407" t="s">
        <v>10</v>
      </c>
      <c r="AT10" s="280">
        <v>9</v>
      </c>
      <c r="AW10" s="382"/>
      <c r="BE10" s="380" t="s">
        <v>1248</v>
      </c>
      <c r="BJ10" s="285" t="s">
        <v>825</v>
      </c>
      <c r="BK10" s="431">
        <v>374.4</v>
      </c>
      <c r="BQ10" s="452" t="s">
        <v>1199</v>
      </c>
      <c r="BR10" s="452">
        <v>809</v>
      </c>
      <c r="BY10" s="415" t="s">
        <v>1140</v>
      </c>
      <c r="BZ10" s="409" t="s">
        <v>1120</v>
      </c>
      <c r="CA10" s="377" t="s">
        <v>1050</v>
      </c>
      <c r="CB10" s="426" t="s">
        <v>1264</v>
      </c>
      <c r="CC10" s="443">
        <f>VLOOKUP(Ручки[[#This Row],[Категория]],Ценовые_категории_ручек[],2,0)</f>
        <v>257</v>
      </c>
      <c r="CG10" s="423" t="s">
        <v>1129</v>
      </c>
      <c r="CH10" s="436">
        <v>800</v>
      </c>
      <c r="CK10" s="438" t="s">
        <v>1210</v>
      </c>
      <c r="CL10" s="438" t="s">
        <v>184</v>
      </c>
      <c r="CM10" s="438" t="s">
        <v>1218</v>
      </c>
      <c r="CN10" s="426" t="s">
        <v>1222</v>
      </c>
      <c r="CO10" s="448">
        <v>3490</v>
      </c>
      <c r="CR10" s="447"/>
      <c r="CS10" s="288" t="s">
        <v>765</v>
      </c>
      <c r="CT10" s="280" t="s">
        <v>770</v>
      </c>
      <c r="CU10" s="280">
        <v>38</v>
      </c>
      <c r="CV10" s="280">
        <v>3000</v>
      </c>
      <c r="CW10" s="280">
        <v>1200</v>
      </c>
      <c r="CX10" s="289">
        <v>2536</v>
      </c>
      <c r="CY10" s="289">
        <v>4278</v>
      </c>
      <c r="CZ10" s="289">
        <v>6020</v>
      </c>
      <c r="DA10" s="289">
        <v>0</v>
      </c>
    </row>
    <row r="11" spans="2:123" ht="30" customHeight="1" x14ac:dyDescent="0.25">
      <c r="S11" s="280" t="s">
        <v>217</v>
      </c>
      <c r="T11" s="280" t="s">
        <v>200</v>
      </c>
      <c r="U11" s="280">
        <v>1</v>
      </c>
      <c r="V1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0">
        <v>124</v>
      </c>
      <c r="AB11" s="274" t="s">
        <v>234</v>
      </c>
      <c r="AC11" s="274" t="s">
        <v>214</v>
      </c>
      <c r="AD11" s="274">
        <v>19</v>
      </c>
      <c r="AE11" s="274">
        <v>0</v>
      </c>
      <c r="AF11" s="463">
        <v>250</v>
      </c>
      <c r="AG11" s="463">
        <v>2550</v>
      </c>
      <c r="AH11" s="463">
        <v>250</v>
      </c>
      <c r="AI11" s="463">
        <v>950</v>
      </c>
      <c r="AJ11" s="281" t="s">
        <v>87</v>
      </c>
      <c r="AK11" s="281" t="s">
        <v>87</v>
      </c>
      <c r="AM11" s="377" t="s">
        <v>1056</v>
      </c>
      <c r="AN11" s="377" t="s">
        <v>1050</v>
      </c>
      <c r="AO11" s="377">
        <f>VLOOKUP(Пластики_Acryline[[#This Row],[Ценовая группа]],Цены_по_категориям_Acryline[],2,0)</f>
        <v>4850</v>
      </c>
      <c r="AP11" s="377">
        <f>VLOOKUP(Пластики_Acryline[[#This Row],[Ценовая группа]],Цены_по_категориям_Acryline[],3,0)</f>
        <v>0</v>
      </c>
      <c r="AQ11" s="377" t="s">
        <v>1088</v>
      </c>
      <c r="AR11" s="407" t="s">
        <v>87</v>
      </c>
      <c r="AS11" s="407" t="s">
        <v>10</v>
      </c>
      <c r="AT11" s="274">
        <v>12</v>
      </c>
      <c r="AW11" s="382"/>
      <c r="BE11" s="441" t="s">
        <v>1249</v>
      </c>
      <c r="BQ11" s="453" t="s">
        <v>1200</v>
      </c>
      <c r="BR11" s="453">
        <v>2100</v>
      </c>
      <c r="BY11" s="417" t="s">
        <v>1161</v>
      </c>
      <c r="BZ11" s="409" t="s">
        <v>1120</v>
      </c>
      <c r="CA11" s="417" t="s">
        <v>1123</v>
      </c>
      <c r="CB11" s="426" t="s">
        <v>1271</v>
      </c>
      <c r="CC11" s="443">
        <f>VLOOKUP(Ручки[[#This Row],[Категория]],Ценовые_категории_ручек[],2,0)</f>
        <v>625</v>
      </c>
      <c r="CG11" s="458" t="s">
        <v>804</v>
      </c>
      <c r="CH11" s="460">
        <v>770</v>
      </c>
      <c r="CK11" s="438" t="s">
        <v>1211</v>
      </c>
      <c r="CL11" s="438" t="s">
        <v>184</v>
      </c>
      <c r="CM11" s="438" t="s">
        <v>1213</v>
      </c>
      <c r="CN11" s="426" t="s">
        <v>1223</v>
      </c>
      <c r="CO11" s="449">
        <v>4362</v>
      </c>
      <c r="CR11" s="447"/>
      <c r="CS11" s="288" t="s">
        <v>766</v>
      </c>
      <c r="CT11" s="280" t="s">
        <v>770</v>
      </c>
      <c r="CU11" s="280">
        <v>38</v>
      </c>
      <c r="CV11" s="280">
        <v>3000</v>
      </c>
      <c r="CW11" s="280">
        <v>1200</v>
      </c>
      <c r="CX11" s="289">
        <v>2536</v>
      </c>
      <c r="CY11" s="289">
        <v>4278</v>
      </c>
      <c r="CZ11" s="289">
        <v>6020</v>
      </c>
      <c r="DA11" s="289">
        <v>0</v>
      </c>
    </row>
    <row r="12" spans="2:123" ht="30" customHeight="1" x14ac:dyDescent="0.25">
      <c r="S12" s="280" t="s">
        <v>219</v>
      </c>
      <c r="T12" s="280" t="s">
        <v>200</v>
      </c>
      <c r="U12" s="280">
        <v>1</v>
      </c>
      <c r="V1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0">
        <v>125</v>
      </c>
      <c r="AB12" s="274" t="s">
        <v>236</v>
      </c>
      <c r="AC12" s="274" t="s">
        <v>214</v>
      </c>
      <c r="AD12" s="274">
        <v>0</v>
      </c>
      <c r="AE12" s="274">
        <v>16</v>
      </c>
      <c r="AF12" s="463">
        <v>115</v>
      </c>
      <c r="AG12" s="463">
        <v>2400</v>
      </c>
      <c r="AH12" s="463">
        <v>205</v>
      </c>
      <c r="AI12" s="463">
        <v>950</v>
      </c>
      <c r="AJ12" s="281" t="s">
        <v>87</v>
      </c>
      <c r="AK12" s="281" t="s">
        <v>87</v>
      </c>
      <c r="AM12" s="377" t="s">
        <v>1077</v>
      </c>
      <c r="AN12" s="377" t="s">
        <v>1094</v>
      </c>
      <c r="AO12" s="377">
        <f>VLOOKUP(Пластики_Acryline[[#This Row],[Ценовая группа]],Цены_по_категориям_Acryline[],2,0)</f>
        <v>7745</v>
      </c>
      <c r="AP12" s="377">
        <f>VLOOKUP(Пластики_Acryline[[#This Row],[Ценовая группа]],Цены_по_категориям_Acryline[],3,0)</f>
        <v>12274</v>
      </c>
      <c r="AQ12" s="377" t="s">
        <v>1088</v>
      </c>
      <c r="AR12" s="406" t="s">
        <v>10</v>
      </c>
      <c r="AS12" s="407" t="s">
        <v>10</v>
      </c>
      <c r="AT12" s="280">
        <v>12</v>
      </c>
      <c r="AW12" s="382"/>
      <c r="BE12" s="380" t="s">
        <v>1250</v>
      </c>
      <c r="BQ12" s="452" t="s">
        <v>1201</v>
      </c>
      <c r="BR12" s="452">
        <v>350</v>
      </c>
      <c r="BY12" s="415" t="s">
        <v>1135</v>
      </c>
      <c r="BZ12" s="409" t="s">
        <v>1120</v>
      </c>
      <c r="CA12" s="377" t="s">
        <v>1050</v>
      </c>
      <c r="CB12" s="426" t="s">
        <v>1258</v>
      </c>
      <c r="CC12" s="443">
        <f>VLOOKUP(Ручки[[#This Row],[Категория]],Ценовые_категории_ручек[],2,0)</f>
        <v>257</v>
      </c>
      <c r="CG12" s="421"/>
      <c r="CH12" s="422"/>
      <c r="CI12" s="422"/>
      <c r="CK12" s="438" t="s">
        <v>1212</v>
      </c>
      <c r="CL12" s="438" t="s">
        <v>184</v>
      </c>
      <c r="CM12" s="438" t="s">
        <v>1229</v>
      </c>
      <c r="CN12" s="426" t="s">
        <v>1224</v>
      </c>
      <c r="CO12" s="449">
        <v>4362</v>
      </c>
      <c r="CR12" s="447"/>
      <c r="CS12" s="288" t="s">
        <v>767</v>
      </c>
      <c r="CT12" s="280" t="s">
        <v>770</v>
      </c>
      <c r="CU12" s="280">
        <v>38</v>
      </c>
      <c r="CV12" s="280">
        <v>3000</v>
      </c>
      <c r="CW12" s="280">
        <v>1200</v>
      </c>
      <c r="CX12" s="289">
        <v>2536</v>
      </c>
      <c r="CY12" s="289">
        <v>4278</v>
      </c>
      <c r="CZ12" s="289">
        <v>6020</v>
      </c>
      <c r="DA12" s="289">
        <v>0</v>
      </c>
    </row>
    <row r="13" spans="2:123" ht="30" customHeight="1" x14ac:dyDescent="0.25">
      <c r="B13" s="280" t="s">
        <v>164</v>
      </c>
      <c r="E13" s="280" t="s">
        <v>163</v>
      </c>
      <c r="H13" s="280" t="s">
        <v>162</v>
      </c>
      <c r="S13" s="280" t="s">
        <v>221</v>
      </c>
      <c r="T13" s="280" t="s">
        <v>201</v>
      </c>
      <c r="U13" s="280">
        <v>2</v>
      </c>
      <c r="V1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0">
        <v>127</v>
      </c>
      <c r="AB13" s="274" t="s">
        <v>1108</v>
      </c>
      <c r="AC13" s="274" t="s">
        <v>214</v>
      </c>
      <c r="AD13" s="274">
        <v>19</v>
      </c>
      <c r="AE13" s="274">
        <v>16</v>
      </c>
      <c r="AF13" s="463">
        <v>135</v>
      </c>
      <c r="AG13" s="463">
        <v>2550</v>
      </c>
      <c r="AH13" s="463">
        <v>284</v>
      </c>
      <c r="AI13" s="463">
        <v>950</v>
      </c>
      <c r="AJ13" s="281" t="s">
        <v>87</v>
      </c>
      <c r="AK13" s="281" t="s">
        <v>87</v>
      </c>
      <c r="AM13" s="377" t="s">
        <v>1058</v>
      </c>
      <c r="AN13" s="377" t="s">
        <v>1051</v>
      </c>
      <c r="AO13" s="377">
        <f>VLOOKUP(Пластики_Acryline[[#This Row],[Ценовая группа]],Цены_по_категориям_Acryline[],2,0)</f>
        <v>5808</v>
      </c>
      <c r="AP13" s="377">
        <f>VLOOKUP(Пластики_Acryline[[#This Row],[Ценовая группа]],Цены_по_категориям_Acryline[],3,0)</f>
        <v>9206</v>
      </c>
      <c r="AQ13" s="377" t="s">
        <v>1088</v>
      </c>
      <c r="AR13" s="407" t="s">
        <v>87</v>
      </c>
      <c r="AS13" s="407" t="s">
        <v>10</v>
      </c>
      <c r="AT13" s="274">
        <v>14</v>
      </c>
      <c r="AW13" s="383"/>
      <c r="BE13" s="378" t="s">
        <v>1251</v>
      </c>
      <c r="BQ13" s="453" t="s">
        <v>1202</v>
      </c>
      <c r="BR13" s="453">
        <v>450</v>
      </c>
      <c r="BY13" s="415" t="s">
        <v>1148</v>
      </c>
      <c r="BZ13" s="409" t="s">
        <v>1121</v>
      </c>
      <c r="CA13" s="377" t="s">
        <v>1050</v>
      </c>
      <c r="CB13" s="426" t="s">
        <v>1265</v>
      </c>
      <c r="CC13" s="443">
        <f>VLOOKUP(Ручки[[#This Row],[Категория]],Ценовые_категории_ручек[],2,0)</f>
        <v>257</v>
      </c>
      <c r="CG13" s="421"/>
      <c r="CH13" s="422"/>
      <c r="CI13" s="422"/>
      <c r="CQ13" s="442"/>
      <c r="CR13" s="445"/>
      <c r="CS13" s="288" t="s">
        <v>768</v>
      </c>
      <c r="CT13" s="280" t="s">
        <v>770</v>
      </c>
      <c r="CU13" s="280">
        <v>38</v>
      </c>
      <c r="CV13" s="280">
        <v>3600</v>
      </c>
      <c r="CW13" s="280">
        <v>1200</v>
      </c>
      <c r="CX13" s="289">
        <v>2536</v>
      </c>
      <c r="CY13" s="289">
        <v>4278</v>
      </c>
      <c r="CZ13" s="289">
        <v>6020</v>
      </c>
      <c r="DA13" s="289">
        <v>0</v>
      </c>
    </row>
    <row r="14" spans="2:123" ht="30" customHeight="1" x14ac:dyDescent="0.25">
      <c r="S14" s="280" t="s">
        <v>223</v>
      </c>
      <c r="T14" s="280" t="s">
        <v>200</v>
      </c>
      <c r="U14" s="280">
        <v>1</v>
      </c>
      <c r="V1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0">
        <v>165</v>
      </c>
      <c r="AB14" s="274" t="s">
        <v>239</v>
      </c>
      <c r="AC14" s="274" t="s">
        <v>214</v>
      </c>
      <c r="AD14" s="274">
        <v>19</v>
      </c>
      <c r="AE14" s="274">
        <v>0</v>
      </c>
      <c r="AF14" s="463">
        <v>235</v>
      </c>
      <c r="AG14" s="463">
        <v>2550</v>
      </c>
      <c r="AH14" s="463">
        <v>290</v>
      </c>
      <c r="AI14" s="463">
        <v>950</v>
      </c>
      <c r="AJ14" s="281" t="s">
        <v>87</v>
      </c>
      <c r="AK14" s="281" t="s">
        <v>10</v>
      </c>
      <c r="AM14" s="377" t="s">
        <v>1064</v>
      </c>
      <c r="AN14" s="377" t="s">
        <v>1094</v>
      </c>
      <c r="AO14" s="377">
        <f>VLOOKUP(Пластики_Acryline[[#This Row],[Ценовая группа]],Цены_по_категориям_Acryline[],2,0)</f>
        <v>7745</v>
      </c>
      <c r="AP14" s="377">
        <f>VLOOKUP(Пластики_Acryline[[#This Row],[Ценовая группа]],Цены_по_категориям_Acryline[],3,0)</f>
        <v>12274</v>
      </c>
      <c r="AQ14" s="377" t="s">
        <v>1089</v>
      </c>
      <c r="AR14" s="407" t="s">
        <v>87</v>
      </c>
      <c r="AS14" s="407" t="s">
        <v>10</v>
      </c>
      <c r="AT14" s="280">
        <v>14</v>
      </c>
      <c r="BY14" s="415" t="s">
        <v>1147</v>
      </c>
      <c r="BZ14" s="409" t="s">
        <v>1121</v>
      </c>
      <c r="CA14" s="377" t="s">
        <v>1050</v>
      </c>
      <c r="CB14" s="426" t="s">
        <v>1265</v>
      </c>
      <c r="CC14" s="443">
        <f>VLOOKUP(Ручки[[#This Row],[Категория]],Ценовые_категории_ручек[],2,0)</f>
        <v>257</v>
      </c>
      <c r="CQ14" s="446"/>
      <c r="CR14" s="446"/>
      <c r="CS14" s="288" t="s">
        <v>769</v>
      </c>
      <c r="CT14" s="280" t="s">
        <v>770</v>
      </c>
      <c r="CU14" s="280">
        <v>38</v>
      </c>
      <c r="CV14" s="280">
        <v>3600</v>
      </c>
      <c r="CW14" s="280">
        <v>1200</v>
      </c>
      <c r="CX14" s="289">
        <v>2536</v>
      </c>
      <c r="CY14" s="289">
        <v>4278</v>
      </c>
      <c r="CZ14" s="289">
        <v>6020</v>
      </c>
      <c r="DA14" s="289">
        <v>0</v>
      </c>
    </row>
    <row r="15" spans="2:123" ht="30" customHeight="1" x14ac:dyDescent="0.25">
      <c r="S15" s="280" t="s">
        <v>225</v>
      </c>
      <c r="T15" s="280" t="s">
        <v>201</v>
      </c>
      <c r="U15" s="280">
        <v>1</v>
      </c>
      <c r="V1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0">
        <v>168</v>
      </c>
      <c r="AB15" s="274" t="s">
        <v>241</v>
      </c>
      <c r="AC15" s="274" t="s">
        <v>216</v>
      </c>
      <c r="AD15" s="274">
        <v>19</v>
      </c>
      <c r="AE15" s="274">
        <v>16</v>
      </c>
      <c r="AF15" s="463">
        <v>135</v>
      </c>
      <c r="AG15" s="463">
        <v>2550</v>
      </c>
      <c r="AH15" s="463">
        <v>240</v>
      </c>
      <c r="AI15" s="463">
        <v>950</v>
      </c>
      <c r="AJ15" s="281" t="s">
        <v>87</v>
      </c>
      <c r="AK15" s="281" t="s">
        <v>10</v>
      </c>
      <c r="AM15" s="377" t="s">
        <v>1078</v>
      </c>
      <c r="AN15" s="377" t="s">
        <v>1094</v>
      </c>
      <c r="AO15" s="377">
        <f>VLOOKUP(Пластики_Acryline[[#This Row],[Ценовая группа]],Цены_по_категориям_Acryline[],2,0)</f>
        <v>7745</v>
      </c>
      <c r="AP15" s="377">
        <f>VLOOKUP(Пластики_Acryline[[#This Row],[Ценовая группа]],Цены_по_категориям_Acryline[],3,0)</f>
        <v>12274</v>
      </c>
      <c r="AQ15" s="377" t="s">
        <v>1088</v>
      </c>
      <c r="AR15" s="407" t="s">
        <v>87</v>
      </c>
      <c r="AS15" s="407" t="s">
        <v>10</v>
      </c>
      <c r="AT15" s="280">
        <v>14</v>
      </c>
      <c r="BY15" s="415" t="s">
        <v>1146</v>
      </c>
      <c r="BZ15" s="409" t="s">
        <v>1121</v>
      </c>
      <c r="CA15" s="377" t="s">
        <v>1050</v>
      </c>
      <c r="CB15" s="426" t="s">
        <v>1265</v>
      </c>
      <c r="CC15" s="443">
        <f>VLOOKUP(Ручки[[#This Row],[Категория]],Ценовые_категории_ручек[],2,0)</f>
        <v>257</v>
      </c>
      <c r="CQ15" s="437"/>
      <c r="CS15" s="280" t="s">
        <v>761</v>
      </c>
      <c r="CT15" s="280" t="s">
        <v>770</v>
      </c>
      <c r="CU15" s="280">
        <v>15</v>
      </c>
      <c r="CV15" s="280">
        <v>3600</v>
      </c>
      <c r="CW15" s="280">
        <v>1200</v>
      </c>
      <c r="CX15" s="289">
        <v>1268</v>
      </c>
      <c r="CY15" s="289">
        <v>2139</v>
      </c>
      <c r="CZ15" s="289">
        <v>3010</v>
      </c>
      <c r="DA15" s="289">
        <v>0</v>
      </c>
    </row>
    <row r="16" spans="2:123" ht="30" customHeight="1" x14ac:dyDescent="0.25">
      <c r="S16" s="280" t="s">
        <v>227</v>
      </c>
      <c r="T16" s="280" t="s">
        <v>201</v>
      </c>
      <c r="U16" s="280">
        <v>4</v>
      </c>
      <c r="V1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0">
        <v>169</v>
      </c>
      <c r="AB16" s="274" t="s">
        <v>243</v>
      </c>
      <c r="AC16" s="274" t="s">
        <v>216</v>
      </c>
      <c r="AD16" s="274">
        <v>19</v>
      </c>
      <c r="AE16" s="274">
        <v>16</v>
      </c>
      <c r="AF16" s="463">
        <v>135</v>
      </c>
      <c r="AG16" s="463">
        <v>2550</v>
      </c>
      <c r="AH16" s="463">
        <v>240</v>
      </c>
      <c r="AI16" s="463">
        <v>950</v>
      </c>
      <c r="AJ16" s="281" t="s">
        <v>87</v>
      </c>
      <c r="AK16" s="281" t="s">
        <v>87</v>
      </c>
      <c r="AM16" s="377" t="s">
        <v>1059</v>
      </c>
      <c r="AN16" s="377" t="s">
        <v>1051</v>
      </c>
      <c r="AO16" s="377">
        <f>VLOOKUP(Пластики_Acryline[[#This Row],[Ценовая группа]],Цены_по_категориям_Acryline[],2,0)</f>
        <v>5808</v>
      </c>
      <c r="AP16" s="377">
        <f>VLOOKUP(Пластики_Acryline[[#This Row],[Ценовая группа]],Цены_по_категориям_Acryline[],3,0)</f>
        <v>9206</v>
      </c>
      <c r="AQ16" s="377" t="s">
        <v>1088</v>
      </c>
      <c r="AR16" s="407" t="s">
        <v>87</v>
      </c>
      <c r="AS16" s="407" t="s">
        <v>10</v>
      </c>
      <c r="AT16" s="274">
        <v>26</v>
      </c>
      <c r="BY16" s="415" t="s">
        <v>1150</v>
      </c>
      <c r="BZ16" s="409" t="s">
        <v>1113</v>
      </c>
      <c r="CA16" s="415" t="s">
        <v>1122</v>
      </c>
      <c r="CB16" s="426" t="s">
        <v>1266</v>
      </c>
      <c r="CC16" s="443">
        <f>VLOOKUP(Ручки[[#This Row],[Категория]],Ценовые_категории_ручек[],2,0)</f>
        <v>450</v>
      </c>
      <c r="CS16" s="280" t="s">
        <v>773</v>
      </c>
      <c r="CT16" s="280" t="s">
        <v>770</v>
      </c>
      <c r="CU16" s="280">
        <v>15</v>
      </c>
      <c r="CV16" s="280">
        <v>3600</v>
      </c>
      <c r="CW16" s="280">
        <v>1200</v>
      </c>
      <c r="CX16" s="289">
        <v>1268</v>
      </c>
      <c r="CY16" s="289">
        <v>2139</v>
      </c>
      <c r="CZ16" s="289">
        <v>3010</v>
      </c>
      <c r="DA16" s="289">
        <v>0</v>
      </c>
    </row>
    <row r="17" spans="1:105" ht="30" customHeight="1" x14ac:dyDescent="0.25">
      <c r="S17" s="280" t="s">
        <v>229</v>
      </c>
      <c r="T17" s="280" t="s">
        <v>200</v>
      </c>
      <c r="U17" s="280">
        <v>1</v>
      </c>
      <c r="V1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0">
        <v>174</v>
      </c>
      <c r="AB17" s="274" t="s">
        <v>246</v>
      </c>
      <c r="AC17" s="274" t="s">
        <v>216</v>
      </c>
      <c r="AD17" s="274">
        <v>19</v>
      </c>
      <c r="AE17" s="274">
        <v>16</v>
      </c>
      <c r="AF17" s="463">
        <v>135</v>
      </c>
      <c r="AG17" s="463">
        <v>2550</v>
      </c>
      <c r="AH17" s="463">
        <v>240</v>
      </c>
      <c r="AI17" s="463">
        <v>950</v>
      </c>
      <c r="AJ17" s="281" t="s">
        <v>87</v>
      </c>
      <c r="AK17" s="281" t="s">
        <v>87</v>
      </c>
      <c r="AM17" s="377" t="s">
        <v>1065</v>
      </c>
      <c r="AN17" s="377" t="s">
        <v>1094</v>
      </c>
      <c r="AO17" s="377">
        <f>VLOOKUP(Пластики_Acryline[[#This Row],[Ценовая группа]],Цены_по_категориям_Acryline[],2,0)</f>
        <v>7745</v>
      </c>
      <c r="AP17" s="377">
        <f>VLOOKUP(Пластики_Acryline[[#This Row],[Ценовая группа]],Цены_по_категориям_Acryline[],3,0)</f>
        <v>12274</v>
      </c>
      <c r="AQ17" s="377" t="s">
        <v>1089</v>
      </c>
      <c r="AR17" s="407" t="s">
        <v>87</v>
      </c>
      <c r="AS17" s="407" t="s">
        <v>10</v>
      </c>
      <c r="AT17" s="280">
        <v>27</v>
      </c>
      <c r="BY17" s="377" t="s">
        <v>1138</v>
      </c>
      <c r="BZ17" s="409" t="s">
        <v>1120</v>
      </c>
      <c r="CA17" s="377" t="s">
        <v>1050</v>
      </c>
      <c r="CB17" s="426" t="s">
        <v>1262</v>
      </c>
      <c r="CC17" s="443">
        <f>VLOOKUP(Ручки[[#This Row],[Категория]],Ценовые_категории_ручек[],2,0)</f>
        <v>257</v>
      </c>
      <c r="CF17" s="412"/>
      <c r="CG17" s="377"/>
      <c r="CS17" s="280" t="s">
        <v>774</v>
      </c>
      <c r="CT17" s="280" t="s">
        <v>770</v>
      </c>
      <c r="CU17" s="280">
        <v>15</v>
      </c>
      <c r="CV17" s="280">
        <v>3600</v>
      </c>
      <c r="CW17" s="280">
        <v>1200</v>
      </c>
      <c r="CX17" s="289">
        <v>1268</v>
      </c>
      <c r="CY17" s="289">
        <v>2139</v>
      </c>
      <c r="CZ17" s="289">
        <v>3010</v>
      </c>
      <c r="DA17" s="289">
        <v>0</v>
      </c>
    </row>
    <row r="18" spans="1:105" ht="30" customHeight="1" x14ac:dyDescent="0.25">
      <c r="A18" s="280" t="s">
        <v>143</v>
      </c>
      <c r="S18" s="280" t="s">
        <v>231</v>
      </c>
      <c r="T18" s="280" t="s">
        <v>201</v>
      </c>
      <c r="U18" s="280">
        <v>1</v>
      </c>
      <c r="V1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0">
        <v>182</v>
      </c>
      <c r="AB18" s="274" t="s">
        <v>248</v>
      </c>
      <c r="AC18" s="274" t="s">
        <v>216</v>
      </c>
      <c r="AD18" s="274">
        <v>19</v>
      </c>
      <c r="AE18" s="274">
        <v>16</v>
      </c>
      <c r="AF18" s="463">
        <v>140</v>
      </c>
      <c r="AG18" s="463">
        <v>2550</v>
      </c>
      <c r="AH18" s="463">
        <v>290</v>
      </c>
      <c r="AI18" s="463">
        <v>950</v>
      </c>
      <c r="AJ18" s="281" t="s">
        <v>87</v>
      </c>
      <c r="AK18" s="281" t="s">
        <v>87</v>
      </c>
      <c r="AM18" s="377" t="s">
        <v>1079</v>
      </c>
      <c r="AN18" s="377" t="s">
        <v>1094</v>
      </c>
      <c r="AO18" s="377">
        <f>VLOOKUP(Пластики_Acryline[[#This Row],[Ценовая группа]],Цены_по_категориям_Acryline[],2,0)</f>
        <v>7745</v>
      </c>
      <c r="AP18" s="377">
        <f>VLOOKUP(Пластики_Acryline[[#This Row],[Ценовая группа]],Цены_по_категориям_Acryline[],3,0)</f>
        <v>12274</v>
      </c>
      <c r="AQ18" s="377" t="s">
        <v>1088</v>
      </c>
      <c r="AR18" s="407" t="s">
        <v>87</v>
      </c>
      <c r="AS18" s="407" t="s">
        <v>10</v>
      </c>
      <c r="AT18" s="280">
        <v>27</v>
      </c>
      <c r="BY18" s="417" t="s">
        <v>1159</v>
      </c>
      <c r="BZ18" s="409" t="s">
        <v>1120</v>
      </c>
      <c r="CA18" s="417" t="s">
        <v>1123</v>
      </c>
      <c r="CB18" s="426" t="s">
        <v>1270</v>
      </c>
      <c r="CC18" s="443">
        <f>VLOOKUP(Ручки[[#This Row],[Категория]],Ценовые_категории_ручек[],2,0)</f>
        <v>625</v>
      </c>
      <c r="CF18" s="412"/>
      <c r="CG18" s="377"/>
      <c r="CS18" s="280" t="s">
        <v>765</v>
      </c>
      <c r="CT18" s="280" t="s">
        <v>770</v>
      </c>
      <c r="CU18" s="280">
        <v>15</v>
      </c>
      <c r="CV18" s="280">
        <v>3600</v>
      </c>
      <c r="CW18" s="280">
        <v>1200</v>
      </c>
      <c r="CX18" s="289">
        <v>1268</v>
      </c>
      <c r="CY18" s="289">
        <v>2139</v>
      </c>
      <c r="CZ18" s="289">
        <v>3010</v>
      </c>
      <c r="DA18" s="289">
        <v>0</v>
      </c>
    </row>
    <row r="19" spans="1:105" ht="30" customHeight="1" x14ac:dyDescent="0.25">
      <c r="A19" s="280" t="s">
        <v>494</v>
      </c>
      <c r="B19" s="280" t="s">
        <v>741</v>
      </c>
      <c r="S19" s="280" t="s">
        <v>233</v>
      </c>
      <c r="T19" s="280" t="s">
        <v>201</v>
      </c>
      <c r="U19" s="280">
        <v>1</v>
      </c>
      <c r="V1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0">
        <v>185</v>
      </c>
      <c r="AB19" s="274" t="s">
        <v>250</v>
      </c>
      <c r="AC19" s="274" t="s">
        <v>216</v>
      </c>
      <c r="AD19" s="274">
        <v>19</v>
      </c>
      <c r="AE19" s="274">
        <v>16</v>
      </c>
      <c r="AF19" s="463">
        <v>175</v>
      </c>
      <c r="AG19" s="463">
        <v>2550</v>
      </c>
      <c r="AH19" s="463">
        <v>290</v>
      </c>
      <c r="AI19" s="463">
        <v>950</v>
      </c>
      <c r="AJ19" s="281" t="s">
        <v>87</v>
      </c>
      <c r="AK19" s="281" t="s">
        <v>10</v>
      </c>
      <c r="AM19" s="377" t="s">
        <v>1066</v>
      </c>
      <c r="AN19" s="377" t="s">
        <v>1094</v>
      </c>
      <c r="AO19" s="377">
        <f>VLOOKUP(Пластики_Acryline[[#This Row],[Ценовая группа]],Цены_по_категориям_Acryline[],2,0)</f>
        <v>7745</v>
      </c>
      <c r="AP19" s="377">
        <f>VLOOKUP(Пластики_Acryline[[#This Row],[Ценовая группа]],Цены_по_категориям_Acryline[],3,0)</f>
        <v>12274</v>
      </c>
      <c r="AQ19" s="377" t="s">
        <v>1089</v>
      </c>
      <c r="AR19" s="407" t="s">
        <v>87</v>
      </c>
      <c r="AS19" s="407" t="s">
        <v>10</v>
      </c>
      <c r="AT19" s="280">
        <v>28</v>
      </c>
      <c r="BY19" s="417" t="s">
        <v>1152</v>
      </c>
      <c r="BZ19" s="409" t="s">
        <v>1120</v>
      </c>
      <c r="CA19" s="415" t="s">
        <v>1122</v>
      </c>
      <c r="CB19" s="426" t="s">
        <v>1255</v>
      </c>
      <c r="CC19" s="443">
        <f>VLOOKUP(Ручки[[#This Row],[Категория]],Ценовые_категории_ручек[],2,0)</f>
        <v>450</v>
      </c>
      <c r="CF19" s="412"/>
      <c r="CG19" s="377"/>
      <c r="CS19" s="280" t="s">
        <v>775</v>
      </c>
      <c r="CT19" s="280" t="s">
        <v>770</v>
      </c>
      <c r="CU19" s="280">
        <v>15</v>
      </c>
      <c r="CV19" s="280">
        <v>3600</v>
      </c>
      <c r="CW19" s="280">
        <v>1200</v>
      </c>
      <c r="CX19" s="289">
        <v>1268</v>
      </c>
      <c r="CY19" s="289">
        <v>2139</v>
      </c>
      <c r="CZ19" s="289">
        <v>3010</v>
      </c>
      <c r="DA19" s="289">
        <v>0</v>
      </c>
    </row>
    <row r="20" spans="1:105" ht="30" customHeight="1" x14ac:dyDescent="0.25">
      <c r="A20" s="280" t="s">
        <v>742</v>
      </c>
      <c r="B20" s="443">
        <v>1872</v>
      </c>
      <c r="S20" s="280" t="s">
        <v>235</v>
      </c>
      <c r="T20" s="280" t="s">
        <v>200</v>
      </c>
      <c r="U20" s="280">
        <v>1</v>
      </c>
      <c r="V2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0">
        <v>186</v>
      </c>
      <c r="AB20" s="274" t="s">
        <v>252</v>
      </c>
      <c r="AC20" s="274" t="s">
        <v>214</v>
      </c>
      <c r="AD20" s="274">
        <v>19</v>
      </c>
      <c r="AE20" s="274">
        <v>0</v>
      </c>
      <c r="AF20" s="463">
        <v>275</v>
      </c>
      <c r="AG20" s="463">
        <v>2550</v>
      </c>
      <c r="AH20" s="463">
        <v>286</v>
      </c>
      <c r="AI20" s="463">
        <v>950</v>
      </c>
      <c r="AJ20" s="281" t="s">
        <v>87</v>
      </c>
      <c r="AK20" s="281" t="s">
        <v>10</v>
      </c>
      <c r="AM20" s="377" t="s">
        <v>1080</v>
      </c>
      <c r="AN20" s="377" t="s">
        <v>1094</v>
      </c>
      <c r="AO20" s="377">
        <f>VLOOKUP(Пластики_Acryline[[#This Row],[Ценовая группа]],Цены_по_категориям_Acryline[],2,0)</f>
        <v>7745</v>
      </c>
      <c r="AP20" s="377">
        <f>VLOOKUP(Пластики_Acryline[[#This Row],[Ценовая группа]],Цены_по_категориям_Acryline[],3,0)</f>
        <v>12274</v>
      </c>
      <c r="AQ20" s="377" t="s">
        <v>1088</v>
      </c>
      <c r="AR20" s="407" t="s">
        <v>87</v>
      </c>
      <c r="AS20" s="407" t="s">
        <v>10</v>
      </c>
      <c r="AT20" s="280">
        <v>28</v>
      </c>
      <c r="BY20" s="416" t="s">
        <v>1132</v>
      </c>
      <c r="BZ20" s="411" t="s">
        <v>1118</v>
      </c>
      <c r="CA20" s="377" t="s">
        <v>1050</v>
      </c>
      <c r="CB20" s="426" t="s">
        <v>1255</v>
      </c>
      <c r="CC20" s="443">
        <f>VLOOKUP(Ручки[[#This Row],[Категория]],Ценовые_категории_ручек[],2,0)</f>
        <v>257</v>
      </c>
      <c r="CF20" s="412"/>
      <c r="CG20" s="377"/>
      <c r="CS20" s="280" t="s">
        <v>776</v>
      </c>
      <c r="CT20" s="280" t="s">
        <v>770</v>
      </c>
      <c r="CU20" s="280">
        <v>15</v>
      </c>
      <c r="CV20" s="280">
        <v>3600</v>
      </c>
      <c r="CW20" s="280">
        <v>1200</v>
      </c>
      <c r="CX20" s="289">
        <v>1268</v>
      </c>
      <c r="CY20" s="289">
        <v>2139</v>
      </c>
      <c r="CZ20" s="289">
        <v>3010</v>
      </c>
      <c r="DA20" s="289">
        <v>0</v>
      </c>
    </row>
    <row r="21" spans="1:105" ht="30" customHeight="1" x14ac:dyDescent="0.25">
      <c r="A21" s="280" t="s">
        <v>1101</v>
      </c>
      <c r="B21" s="443">
        <v>2912</v>
      </c>
      <c r="N21" s="285"/>
      <c r="S21" s="280" t="s">
        <v>237</v>
      </c>
      <c r="T21" s="280" t="s">
        <v>201</v>
      </c>
      <c r="U21" s="280">
        <v>1</v>
      </c>
      <c r="V2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0">
        <v>192</v>
      </c>
      <c r="AB21" s="274" t="s">
        <v>254</v>
      </c>
      <c r="AC21" s="274" t="s">
        <v>214</v>
      </c>
      <c r="AD21" s="274">
        <v>19</v>
      </c>
      <c r="AE21" s="274">
        <v>0</v>
      </c>
      <c r="AF21" s="463">
        <v>275</v>
      </c>
      <c r="AG21" s="463">
        <v>1100</v>
      </c>
      <c r="AH21" s="463">
        <v>290</v>
      </c>
      <c r="AI21" s="463">
        <v>950</v>
      </c>
      <c r="AJ21" s="281" t="s">
        <v>87</v>
      </c>
      <c r="AK21" s="281" t="s">
        <v>10</v>
      </c>
      <c r="AM21" s="377" t="s">
        <v>1060</v>
      </c>
      <c r="AN21" s="377" t="s">
        <v>1051</v>
      </c>
      <c r="AO21" s="377">
        <f>VLOOKUP(Пластики_Acryline[[#This Row],[Ценовая группа]],Цены_по_категориям_Acryline[],2,0)</f>
        <v>5808</v>
      </c>
      <c r="AP21" s="377">
        <f>VLOOKUP(Пластики_Acryline[[#This Row],[Ценовая группа]],Цены_по_категориям_Acryline[],3,0)</f>
        <v>9206</v>
      </c>
      <c r="AQ21" s="377" t="s">
        <v>1088</v>
      </c>
      <c r="AR21" s="407" t="s">
        <v>87</v>
      </c>
      <c r="AS21" s="407" t="s">
        <v>10</v>
      </c>
      <c r="AT21" s="274">
        <v>36</v>
      </c>
      <c r="BL21" s="455"/>
      <c r="BM21" s="455"/>
      <c r="BN21" s="455"/>
      <c r="BO21" s="456"/>
      <c r="BY21" s="417" t="s">
        <v>1162</v>
      </c>
      <c r="BZ21" s="409" t="s">
        <v>1120</v>
      </c>
      <c r="CA21" s="417" t="s">
        <v>1123</v>
      </c>
      <c r="CB21" s="426" t="s">
        <v>1254</v>
      </c>
      <c r="CC21" s="443">
        <f>VLOOKUP(Ручки[[#This Row],[Категория]],Ценовые_категории_ручек[],2,0)</f>
        <v>625</v>
      </c>
      <c r="CF21" s="412"/>
      <c r="CG21" s="377"/>
      <c r="CS21" s="280" t="s">
        <v>768</v>
      </c>
      <c r="CT21" s="280" t="s">
        <v>770</v>
      </c>
      <c r="CU21" s="280">
        <v>15</v>
      </c>
      <c r="CV21" s="280">
        <v>3600</v>
      </c>
      <c r="CW21" s="280">
        <v>600</v>
      </c>
      <c r="CX21" s="289">
        <v>1268</v>
      </c>
      <c r="CY21" s="289">
        <v>2139</v>
      </c>
      <c r="CZ21" s="289">
        <v>3010</v>
      </c>
      <c r="DA21" s="289">
        <v>0</v>
      </c>
    </row>
    <row r="22" spans="1:105" ht="30" customHeight="1" x14ac:dyDescent="0.25">
      <c r="A22" s="280" t="s">
        <v>1091</v>
      </c>
      <c r="B22" s="443">
        <v>2618</v>
      </c>
      <c r="N22" s="285"/>
      <c r="S22" s="280" t="s">
        <v>238</v>
      </c>
      <c r="T22" s="280" t="s">
        <v>201</v>
      </c>
      <c r="U22" s="280">
        <v>1</v>
      </c>
      <c r="V2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0">
        <v>196</v>
      </c>
      <c r="AB22" s="274" t="s">
        <v>1296</v>
      </c>
      <c r="AC22" s="274" t="s">
        <v>214</v>
      </c>
      <c r="AD22" s="274">
        <v>19</v>
      </c>
      <c r="AE22" s="274">
        <v>0</v>
      </c>
      <c r="AF22" s="463">
        <v>116</v>
      </c>
      <c r="AG22" s="463">
        <v>2550</v>
      </c>
      <c r="AH22" s="463">
        <v>146</v>
      </c>
      <c r="AI22" s="463">
        <v>946</v>
      </c>
      <c r="AJ22" s="281" t="s">
        <v>10</v>
      </c>
      <c r="AK22" s="281" t="s">
        <v>10</v>
      </c>
      <c r="AM22" s="377" t="s">
        <v>1067</v>
      </c>
      <c r="AN22" s="377" t="s">
        <v>1094</v>
      </c>
      <c r="AO22" s="377">
        <f>VLOOKUP(Пластики_Acryline[[#This Row],[Ценовая группа]],Цены_по_категориям_Acryline[],2,0)</f>
        <v>7745</v>
      </c>
      <c r="AP22" s="377">
        <f>VLOOKUP(Пластики_Acryline[[#This Row],[Ценовая группа]],Цены_по_категориям_Acryline[],3,0)</f>
        <v>12274</v>
      </c>
      <c r="AQ22" s="377" t="s">
        <v>1089</v>
      </c>
      <c r="AR22" s="407" t="s">
        <v>87</v>
      </c>
      <c r="AS22" s="407" t="s">
        <v>10</v>
      </c>
      <c r="AT22" s="280">
        <v>39</v>
      </c>
      <c r="BJ22" s="455"/>
      <c r="BK22" s="455"/>
      <c r="BY22" s="415" t="s">
        <v>1151</v>
      </c>
      <c r="BZ22" s="409" t="s">
        <v>1120</v>
      </c>
      <c r="CA22" s="414" t="s">
        <v>1122</v>
      </c>
      <c r="CB22" s="426" t="s">
        <v>1254</v>
      </c>
      <c r="CC22" s="443">
        <f>VLOOKUP(Ручки[[#This Row],[Категория]],Ценовые_категории_ручек[],2,0)</f>
        <v>450</v>
      </c>
      <c r="CS22" s="280" t="s">
        <v>769</v>
      </c>
      <c r="CT22" s="280" t="s">
        <v>770</v>
      </c>
      <c r="CU22" s="280">
        <v>15</v>
      </c>
      <c r="CV22" s="280">
        <v>3600</v>
      </c>
      <c r="CW22" s="280">
        <v>1200</v>
      </c>
      <c r="CX22" s="289">
        <v>1268</v>
      </c>
      <c r="CY22" s="289">
        <v>2139</v>
      </c>
      <c r="CZ22" s="289">
        <v>3010</v>
      </c>
      <c r="DA22" s="289">
        <v>0</v>
      </c>
    </row>
    <row r="23" spans="1:105" ht="30" customHeight="1" x14ac:dyDescent="0.25">
      <c r="A23" s="274" t="s">
        <v>681</v>
      </c>
      <c r="B23" s="443">
        <f>'комплекты фурнитуры'!$Q$88</f>
        <v>1110</v>
      </c>
      <c r="N23" s="374"/>
      <c r="S23" s="280" t="s">
        <v>240</v>
      </c>
      <c r="T23" s="280" t="s">
        <v>201</v>
      </c>
      <c r="U23" s="280">
        <v>1</v>
      </c>
      <c r="V2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0">
        <v>197</v>
      </c>
      <c r="AB23" s="274" t="s">
        <v>257</v>
      </c>
      <c r="AC23" s="274" t="s">
        <v>214</v>
      </c>
      <c r="AD23" s="274">
        <v>19</v>
      </c>
      <c r="AE23" s="274">
        <v>0</v>
      </c>
      <c r="AF23" s="463">
        <v>116</v>
      </c>
      <c r="AG23" s="463">
        <v>2550</v>
      </c>
      <c r="AH23" s="463">
        <v>246</v>
      </c>
      <c r="AI23" s="463">
        <v>946</v>
      </c>
      <c r="AJ23" s="281" t="s">
        <v>10</v>
      </c>
      <c r="AK23" s="281" t="s">
        <v>10</v>
      </c>
      <c r="AM23" s="377" t="s">
        <v>1081</v>
      </c>
      <c r="AN23" s="377" t="s">
        <v>1094</v>
      </c>
      <c r="AO23" s="377">
        <f>VLOOKUP(Пластики_Acryline[[#This Row],[Ценовая группа]],Цены_по_категориям_Acryline[],2,0)</f>
        <v>7745</v>
      </c>
      <c r="AP23" s="377">
        <f>VLOOKUP(Пластики_Acryline[[#This Row],[Ценовая группа]],Цены_по_категориям_Acryline[],3,0)</f>
        <v>12274</v>
      </c>
      <c r="AQ23" s="377" t="s">
        <v>1088</v>
      </c>
      <c r="AR23" s="407" t="s">
        <v>87</v>
      </c>
      <c r="AS23" s="407" t="s">
        <v>10</v>
      </c>
      <c r="AT23" s="280">
        <v>40</v>
      </c>
      <c r="BY23" s="377" t="s">
        <v>1117</v>
      </c>
      <c r="BZ23" s="411" t="s">
        <v>1118</v>
      </c>
      <c r="CA23" s="377" t="s">
        <v>1050</v>
      </c>
      <c r="CB23" s="426" t="s">
        <v>1254</v>
      </c>
      <c r="CC23" s="443">
        <f>VLOOKUP(Ручки[[#This Row],[Категория]],Ценовые_категории_ручек[],2,0)</f>
        <v>257</v>
      </c>
      <c r="CS23" s="280" t="s">
        <v>763</v>
      </c>
      <c r="CT23" s="280" t="s">
        <v>770</v>
      </c>
      <c r="CU23" s="280">
        <v>15</v>
      </c>
      <c r="CV23" s="280">
        <v>3600</v>
      </c>
      <c r="CW23" s="280">
        <v>1200</v>
      </c>
      <c r="CX23" s="289">
        <v>1268</v>
      </c>
      <c r="CY23" s="289">
        <v>2139</v>
      </c>
      <c r="CZ23" s="289">
        <v>3010</v>
      </c>
      <c r="DA23" s="289">
        <v>0</v>
      </c>
    </row>
    <row r="24" spans="1:105" ht="30" customHeight="1" x14ac:dyDescent="0.25">
      <c r="A24" s="280" t="s">
        <v>1092</v>
      </c>
      <c r="B24" s="443">
        <v>2610</v>
      </c>
      <c r="N24" s="372"/>
      <c r="S24" s="280" t="s">
        <v>242</v>
      </c>
      <c r="T24" s="280" t="s">
        <v>201</v>
      </c>
      <c r="U24" s="280">
        <v>1</v>
      </c>
      <c r="V2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0">
        <v>198</v>
      </c>
      <c r="AB24" s="274" t="s">
        <v>259</v>
      </c>
      <c r="AC24" s="274" t="s">
        <v>214</v>
      </c>
      <c r="AD24" s="274">
        <v>22</v>
      </c>
      <c r="AE24" s="274">
        <v>0</v>
      </c>
      <c r="AF24" s="463">
        <v>100</v>
      </c>
      <c r="AG24" s="463">
        <v>2550</v>
      </c>
      <c r="AH24" s="463">
        <v>235</v>
      </c>
      <c r="AI24" s="463">
        <v>950</v>
      </c>
      <c r="AJ24" s="281" t="s">
        <v>87</v>
      </c>
      <c r="AK24" s="281" t="s">
        <v>10</v>
      </c>
      <c r="AM24" s="377" t="s">
        <v>1068</v>
      </c>
      <c r="AN24" s="377" t="s">
        <v>1094</v>
      </c>
      <c r="AO24" s="377">
        <f>VLOOKUP(Пластики_Acryline[[#This Row],[Ценовая группа]],Цены_по_категориям_Acryline[],2,0)</f>
        <v>7745</v>
      </c>
      <c r="AP24" s="377">
        <f>VLOOKUP(Пластики_Acryline[[#This Row],[Ценовая группа]],Цены_по_категориям_Acryline[],3,0)</f>
        <v>12274</v>
      </c>
      <c r="AQ24" s="377" t="s">
        <v>1089</v>
      </c>
      <c r="AR24" s="407" t="s">
        <v>87</v>
      </c>
      <c r="AS24" s="407" t="s">
        <v>10</v>
      </c>
      <c r="AT24" s="280">
        <v>41</v>
      </c>
      <c r="BY24" s="415" t="s">
        <v>1131</v>
      </c>
      <c r="BZ24" s="411" t="s">
        <v>1118</v>
      </c>
      <c r="CA24" s="377" t="s">
        <v>1050</v>
      </c>
      <c r="CB24" s="426" t="s">
        <v>1254</v>
      </c>
      <c r="CC24" s="443">
        <f>VLOOKUP(Ручки[[#This Row],[Категория]],Ценовые_категории_ручек[],2,0)</f>
        <v>257</v>
      </c>
      <c r="CS24" s="288" t="s">
        <v>777</v>
      </c>
      <c r="CT24" s="280" t="s">
        <v>784</v>
      </c>
      <c r="CU24" s="280">
        <v>38</v>
      </c>
      <c r="CV24" s="280">
        <v>4190</v>
      </c>
      <c r="CW24" s="280">
        <v>1200</v>
      </c>
      <c r="CX24" s="289">
        <v>5477</v>
      </c>
      <c r="CY24" s="289">
        <v>9240</v>
      </c>
      <c r="CZ24" s="289">
        <v>13003</v>
      </c>
      <c r="DA24" s="289">
        <v>18022</v>
      </c>
    </row>
    <row r="25" spans="1:105" ht="30" customHeight="1" x14ac:dyDescent="0.25">
      <c r="A25" s="280" t="s">
        <v>1280</v>
      </c>
      <c r="B25" s="444">
        <v>1040</v>
      </c>
      <c r="N25" s="372"/>
      <c r="S25" s="280" t="s">
        <v>244</v>
      </c>
      <c r="T25" s="280" t="s">
        <v>201</v>
      </c>
      <c r="U25" s="280">
        <v>1</v>
      </c>
      <c r="V2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0">
        <v>201</v>
      </c>
      <c r="AB25" s="274" t="s">
        <v>261</v>
      </c>
      <c r="AC25" s="274" t="s">
        <v>216</v>
      </c>
      <c r="AD25" s="274">
        <v>18</v>
      </c>
      <c r="AE25" s="274">
        <v>16</v>
      </c>
      <c r="AF25" s="463">
        <v>50</v>
      </c>
      <c r="AG25" s="463">
        <v>2550</v>
      </c>
      <c r="AH25" s="463">
        <v>50</v>
      </c>
      <c r="AI25" s="463">
        <v>950</v>
      </c>
      <c r="AJ25" s="281" t="s">
        <v>87</v>
      </c>
      <c r="AK25" s="281" t="s">
        <v>10</v>
      </c>
      <c r="AM25" s="377" t="s">
        <v>1082</v>
      </c>
      <c r="AN25" s="377" t="s">
        <v>1054</v>
      </c>
      <c r="AO25" s="377">
        <f>VLOOKUP(Пластики_Acryline[[#This Row],[Ценовая группа]],Цены_по_категориям_Acryline[],2,0)</f>
        <v>8520</v>
      </c>
      <c r="AP25" s="377">
        <f>VLOOKUP(Пластики_Acryline[[#This Row],[Ценовая группа]],Цены_по_категориям_Acryline[],3,0)</f>
        <v>13501</v>
      </c>
      <c r="AQ25" s="377" t="s">
        <v>1089</v>
      </c>
      <c r="AR25" s="407" t="s">
        <v>87</v>
      </c>
      <c r="AS25" s="407" t="s">
        <v>10</v>
      </c>
      <c r="AT25" s="280">
        <v>41</v>
      </c>
      <c r="BY25" s="416" t="s">
        <v>1164</v>
      </c>
      <c r="BZ25" s="409" t="s">
        <v>1120</v>
      </c>
      <c r="CA25" s="417" t="s">
        <v>1123</v>
      </c>
      <c r="CB25" s="426" t="s">
        <v>1257</v>
      </c>
      <c r="CC25" s="443">
        <f>VLOOKUP(Ручки[[#This Row],[Категория]],Ценовые_категории_ручек[],2,0)</f>
        <v>625</v>
      </c>
      <c r="CS25" s="288" t="s">
        <v>778</v>
      </c>
      <c r="CT25" s="280" t="s">
        <v>784</v>
      </c>
      <c r="CU25" s="280">
        <v>38</v>
      </c>
      <c r="CV25" s="280">
        <v>4190</v>
      </c>
      <c r="CW25" s="280">
        <v>1200</v>
      </c>
      <c r="CX25" s="289">
        <v>5477</v>
      </c>
      <c r="CY25" s="289">
        <v>9240</v>
      </c>
      <c r="CZ25" s="289">
        <v>13003</v>
      </c>
      <c r="DA25" s="289">
        <v>18022</v>
      </c>
    </row>
    <row r="26" spans="1:105" ht="30" customHeight="1" x14ac:dyDescent="0.25">
      <c r="F26" s="285"/>
      <c r="N26" s="375"/>
      <c r="S26" s="280" t="s">
        <v>245</v>
      </c>
      <c r="T26" s="280" t="s">
        <v>201</v>
      </c>
      <c r="U26" s="280">
        <v>3</v>
      </c>
      <c r="V2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0">
        <v>211</v>
      </c>
      <c r="AB26" s="274" t="s">
        <v>263</v>
      </c>
      <c r="AC26" s="274" t="s">
        <v>216</v>
      </c>
      <c r="AD26" s="274">
        <v>18</v>
      </c>
      <c r="AE26" s="274">
        <v>16</v>
      </c>
      <c r="AF26" s="463">
        <v>50</v>
      </c>
      <c r="AG26" s="463">
        <v>1200</v>
      </c>
      <c r="AH26" s="463">
        <v>50</v>
      </c>
      <c r="AI26" s="463">
        <v>2550</v>
      </c>
      <c r="AJ26" s="281" t="s">
        <v>87</v>
      </c>
      <c r="AK26" s="281" t="s">
        <v>10</v>
      </c>
      <c r="AM26" s="377" t="s">
        <v>1069</v>
      </c>
      <c r="AN26" s="377" t="s">
        <v>1094</v>
      </c>
      <c r="AO26" s="377">
        <f>VLOOKUP(Пластики_Acryline[[#This Row],[Ценовая группа]],Цены_по_категориям_Acryline[],2,0)</f>
        <v>7745</v>
      </c>
      <c r="AP26" s="377">
        <f>VLOOKUP(Пластики_Acryline[[#This Row],[Ценовая группа]],Цены_по_категориям_Acryline[],3,0)</f>
        <v>12274</v>
      </c>
      <c r="AQ26" s="377" t="s">
        <v>1089</v>
      </c>
      <c r="AR26" s="407" t="s">
        <v>87</v>
      </c>
      <c r="AS26" s="407" t="s">
        <v>10</v>
      </c>
      <c r="AT26" s="280">
        <v>42</v>
      </c>
      <c r="BY26" s="416" t="s">
        <v>1134</v>
      </c>
      <c r="BZ26" s="411" t="s">
        <v>1118</v>
      </c>
      <c r="CA26" s="377" t="s">
        <v>1050</v>
      </c>
      <c r="CB26" s="426" t="s">
        <v>1257</v>
      </c>
      <c r="CC26" s="443">
        <f>VLOOKUP(Ручки[[#This Row],[Категория]],Ценовые_категории_ручек[],2,0)</f>
        <v>257</v>
      </c>
      <c r="CS26" s="288" t="s">
        <v>779</v>
      </c>
      <c r="CT26" s="280" t="s">
        <v>784</v>
      </c>
      <c r="CU26" s="280">
        <v>38</v>
      </c>
      <c r="CV26" s="280">
        <v>4190</v>
      </c>
      <c r="CW26" s="280">
        <v>1200</v>
      </c>
      <c r="CX26" s="289">
        <v>5477</v>
      </c>
      <c r="CY26" s="289">
        <v>9240</v>
      </c>
      <c r="CZ26" s="289">
        <v>13003</v>
      </c>
      <c r="DA26" s="289">
        <v>18022</v>
      </c>
    </row>
    <row r="27" spans="1:105" ht="30" customHeight="1" x14ac:dyDescent="0.25">
      <c r="C27" s="285"/>
      <c r="D27" s="285"/>
      <c r="E27" s="285"/>
      <c r="F27" s="285"/>
      <c r="S27" s="280" t="s">
        <v>247</v>
      </c>
      <c r="T27" s="280" t="s">
        <v>201</v>
      </c>
      <c r="U27" s="280">
        <v>2</v>
      </c>
      <c r="V2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0">
        <v>212</v>
      </c>
      <c r="AB27" s="274" t="s">
        <v>265</v>
      </c>
      <c r="AC27" s="274" t="s">
        <v>216</v>
      </c>
      <c r="AD27" s="274">
        <v>19</v>
      </c>
      <c r="AE27" s="274">
        <v>16</v>
      </c>
      <c r="AF27" s="463">
        <v>116</v>
      </c>
      <c r="AG27" s="463">
        <v>2550</v>
      </c>
      <c r="AH27" s="463">
        <v>270</v>
      </c>
      <c r="AI27" s="463">
        <v>950</v>
      </c>
      <c r="AJ27" s="281" t="s">
        <v>87</v>
      </c>
      <c r="AK27" s="281" t="s">
        <v>10</v>
      </c>
      <c r="AM27" s="377" t="s">
        <v>1070</v>
      </c>
      <c r="AN27" s="377" t="s">
        <v>1094</v>
      </c>
      <c r="AO27" s="377">
        <f>VLOOKUP(Пластики_Acryline[[#This Row],[Ценовая группа]],Цены_по_категориям_Acryline[],2,0)</f>
        <v>7745</v>
      </c>
      <c r="AP27" s="377">
        <f>VLOOKUP(Пластики_Acryline[[#This Row],[Ценовая группа]],Цены_по_категориям_Acryline[],3,0)</f>
        <v>12274</v>
      </c>
      <c r="AQ27" s="377" t="s">
        <v>1089</v>
      </c>
      <c r="AR27" s="407" t="s">
        <v>87</v>
      </c>
      <c r="AS27" s="407" t="s">
        <v>10</v>
      </c>
      <c r="AT27" s="280">
        <v>43</v>
      </c>
      <c r="BY27" s="416" t="s">
        <v>1167</v>
      </c>
      <c r="BZ27" s="409" t="s">
        <v>1120</v>
      </c>
      <c r="CA27" s="417" t="s">
        <v>1124</v>
      </c>
      <c r="CB27" s="426" t="s">
        <v>1257</v>
      </c>
      <c r="CC27" s="443">
        <f>VLOOKUP(Ручки[[#This Row],[Категория]],Ценовые_категории_ручек[],2,0)</f>
        <v>800</v>
      </c>
      <c r="CS27" s="288" t="s">
        <v>780</v>
      </c>
      <c r="CT27" s="280" t="s">
        <v>784</v>
      </c>
      <c r="CU27" s="280">
        <v>38</v>
      </c>
      <c r="CV27" s="280">
        <v>4190</v>
      </c>
      <c r="CW27" s="280">
        <v>1200</v>
      </c>
      <c r="CX27" s="289">
        <v>5477</v>
      </c>
      <c r="CY27" s="289">
        <v>9240</v>
      </c>
      <c r="CZ27" s="289">
        <v>13003</v>
      </c>
      <c r="DA27" s="289">
        <v>18022</v>
      </c>
    </row>
    <row r="28" spans="1:105" ht="30" customHeight="1" x14ac:dyDescent="0.25">
      <c r="C28" s="285"/>
      <c r="D28" s="285"/>
      <c r="E28" s="285"/>
      <c r="F28" s="285"/>
      <c r="S28" s="280" t="s">
        <v>249</v>
      </c>
      <c r="T28" s="280" t="s">
        <v>201</v>
      </c>
      <c r="U28" s="280">
        <v>1</v>
      </c>
      <c r="V2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0">
        <v>217</v>
      </c>
      <c r="AB28" s="274" t="s">
        <v>267</v>
      </c>
      <c r="AC28" s="274" t="s">
        <v>216</v>
      </c>
      <c r="AD28" s="274">
        <v>19</v>
      </c>
      <c r="AE28" s="274">
        <v>0</v>
      </c>
      <c r="AF28" s="464">
        <v>70</v>
      </c>
      <c r="AG28" s="464">
        <v>950</v>
      </c>
      <c r="AH28" s="464">
        <v>90</v>
      </c>
      <c r="AI28" s="464">
        <v>950</v>
      </c>
      <c r="AJ28" s="281" t="s">
        <v>87</v>
      </c>
      <c r="AK28" s="281" t="s">
        <v>10</v>
      </c>
      <c r="AM28" s="377" t="s">
        <v>1071</v>
      </c>
      <c r="AN28" s="377" t="s">
        <v>1094</v>
      </c>
      <c r="AO28" s="377">
        <f>VLOOKUP(Пластики_Acryline[[#This Row],[Ценовая группа]],Цены_по_категориям_Acryline[],2,0)</f>
        <v>7745</v>
      </c>
      <c r="AP28" s="377">
        <f>VLOOKUP(Пластики_Acryline[[#This Row],[Ценовая группа]],Цены_по_категориям_Acryline[],3,0)</f>
        <v>12274</v>
      </c>
      <c r="AQ28" s="377" t="s">
        <v>1089</v>
      </c>
      <c r="AR28" s="407" t="s">
        <v>87</v>
      </c>
      <c r="AS28" s="407" t="s">
        <v>10</v>
      </c>
      <c r="AT28" s="280">
        <v>44</v>
      </c>
      <c r="BV28" s="434"/>
      <c r="BY28" s="416" t="s">
        <v>1154</v>
      </c>
      <c r="BZ28" s="411" t="s">
        <v>1118</v>
      </c>
      <c r="CA28" s="415" t="s">
        <v>1122</v>
      </c>
      <c r="CB28" s="426" t="s">
        <v>1257</v>
      </c>
      <c r="CC28" s="443">
        <f>VLOOKUP(Ручки[[#This Row],[Категория]],Ценовые_категории_ручек[],2,0)</f>
        <v>450</v>
      </c>
      <c r="CS28" s="288" t="s">
        <v>781</v>
      </c>
      <c r="CT28" s="280" t="s">
        <v>784</v>
      </c>
      <c r="CU28" s="280">
        <v>38</v>
      </c>
      <c r="CV28" s="280">
        <v>4190</v>
      </c>
      <c r="CW28" s="280">
        <v>1200</v>
      </c>
      <c r="CX28" s="289">
        <v>5477</v>
      </c>
      <c r="CY28" s="289">
        <v>9240</v>
      </c>
      <c r="CZ28" s="289">
        <v>13003</v>
      </c>
      <c r="DA28" s="289">
        <v>18022</v>
      </c>
    </row>
    <row r="29" spans="1:105" ht="30" customHeight="1" x14ac:dyDescent="0.25">
      <c r="C29" s="285"/>
      <c r="D29" s="285"/>
      <c r="E29" s="285"/>
      <c r="F29" s="285"/>
      <c r="S29" s="280" t="s">
        <v>251</v>
      </c>
      <c r="T29" s="280" t="s">
        <v>201</v>
      </c>
      <c r="U29" s="280">
        <v>3</v>
      </c>
      <c r="V2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0">
        <v>218</v>
      </c>
      <c r="AB29" s="274" t="s">
        <v>269</v>
      </c>
      <c r="AC29" s="274" t="s">
        <v>216</v>
      </c>
      <c r="AD29" s="274">
        <v>19</v>
      </c>
      <c r="AE29" s="274">
        <v>0</v>
      </c>
      <c r="AF29" s="463">
        <v>70</v>
      </c>
      <c r="AG29" s="463">
        <v>2400</v>
      </c>
      <c r="AH29" s="463">
        <v>230</v>
      </c>
      <c r="AI29" s="463">
        <v>950</v>
      </c>
      <c r="AJ29" s="281" t="s">
        <v>87</v>
      </c>
      <c r="AK29" s="281" t="s">
        <v>10</v>
      </c>
      <c r="AM29" s="377" t="s">
        <v>1083</v>
      </c>
      <c r="AN29" s="377" t="s">
        <v>1054</v>
      </c>
      <c r="AO29" s="377">
        <f>VLOOKUP(Пластики_Acryline[[#This Row],[Ценовая группа]],Цены_по_категориям_Acryline[],2,0)</f>
        <v>8520</v>
      </c>
      <c r="AP29" s="377">
        <f>VLOOKUP(Пластики_Acryline[[#This Row],[Ценовая группа]],Цены_по_категориям_Acryline[],3,0)</f>
        <v>13501</v>
      </c>
      <c r="AQ29" s="377" t="s">
        <v>1089</v>
      </c>
      <c r="AR29" s="407" t="s">
        <v>87</v>
      </c>
      <c r="AS29" s="407" t="s">
        <v>10</v>
      </c>
      <c r="AT29" s="280">
        <v>44</v>
      </c>
      <c r="BV29" s="434"/>
      <c r="BY29" s="415" t="s">
        <v>1176</v>
      </c>
      <c r="BZ29" s="409" t="s">
        <v>1120</v>
      </c>
      <c r="CA29" s="423" t="s">
        <v>1129</v>
      </c>
      <c r="CB29" s="426" t="s">
        <v>1276</v>
      </c>
      <c r="CC29" s="443">
        <f>VLOOKUP(Ручки[[#This Row],[Категория]],Ценовые_категории_ручек[],2,0)</f>
        <v>800</v>
      </c>
      <c r="CS29" s="288" t="s">
        <v>782</v>
      </c>
      <c r="CT29" s="280" t="s">
        <v>784</v>
      </c>
      <c r="CU29" s="280">
        <v>38</v>
      </c>
      <c r="CV29" s="280">
        <v>4190</v>
      </c>
      <c r="CW29" s="280">
        <v>1200</v>
      </c>
      <c r="CX29" s="289">
        <v>5477</v>
      </c>
      <c r="CY29" s="289">
        <v>9240</v>
      </c>
      <c r="CZ29" s="289">
        <v>13003</v>
      </c>
      <c r="DA29" s="289">
        <v>18022</v>
      </c>
    </row>
    <row r="30" spans="1:105" ht="30" customHeight="1" x14ac:dyDescent="0.25">
      <c r="C30" s="285"/>
      <c r="D30" s="285"/>
      <c r="E30" s="285"/>
      <c r="F30" s="285"/>
      <c r="S30" s="280" t="s">
        <v>255</v>
      </c>
      <c r="T30" s="280" t="s">
        <v>201</v>
      </c>
      <c r="U30" s="280">
        <v>1</v>
      </c>
      <c r="V3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0">
        <v>222</v>
      </c>
      <c r="AB30" s="274" t="s">
        <v>271</v>
      </c>
      <c r="AC30" s="274" t="s">
        <v>214</v>
      </c>
      <c r="AD30" s="274">
        <v>19</v>
      </c>
      <c r="AE30" s="274">
        <v>0</v>
      </c>
      <c r="AF30" s="463">
        <v>285</v>
      </c>
      <c r="AG30" s="463">
        <v>2550</v>
      </c>
      <c r="AH30" s="463">
        <v>296</v>
      </c>
      <c r="AI30" s="463">
        <v>950</v>
      </c>
      <c r="AJ30" s="281" t="s">
        <v>87</v>
      </c>
      <c r="AK30" s="281" t="s">
        <v>10</v>
      </c>
      <c r="AM30" s="377" t="s">
        <v>1084</v>
      </c>
      <c r="AN30" s="377" t="s">
        <v>1054</v>
      </c>
      <c r="AO30" s="377">
        <f>VLOOKUP(Пластики_Acryline[[#This Row],[Ценовая группа]],Цены_по_категориям_Acryline[],2,0)</f>
        <v>8520</v>
      </c>
      <c r="AP30" s="377">
        <f>VLOOKUP(Пластики_Acryline[[#This Row],[Ценовая группа]],Цены_по_категориям_Acryline[],3,0)</f>
        <v>13501</v>
      </c>
      <c r="AQ30" s="377" t="s">
        <v>1089</v>
      </c>
      <c r="AR30" s="407" t="s">
        <v>87</v>
      </c>
      <c r="AS30" s="407" t="s">
        <v>10</v>
      </c>
      <c r="AT30" s="280">
        <v>45</v>
      </c>
      <c r="BV30" s="434"/>
      <c r="BY30" s="415" t="s">
        <v>1175</v>
      </c>
      <c r="BZ30" s="409" t="s">
        <v>1120</v>
      </c>
      <c r="CA30" s="423" t="s">
        <v>1129</v>
      </c>
      <c r="CB30" s="426" t="s">
        <v>1276</v>
      </c>
      <c r="CC30" s="443">
        <f>VLOOKUP(Ручки[[#This Row],[Категория]],Ценовые_категории_ручек[],2,0)</f>
        <v>800</v>
      </c>
      <c r="CS30" s="288" t="s">
        <v>783</v>
      </c>
      <c r="CT30" s="280" t="s">
        <v>784</v>
      </c>
      <c r="CU30" s="280">
        <v>38</v>
      </c>
      <c r="CV30" s="280">
        <v>4190</v>
      </c>
      <c r="CW30" s="280">
        <v>1200</v>
      </c>
      <c r="CX30" s="289">
        <v>5477</v>
      </c>
      <c r="CY30" s="289">
        <v>9240</v>
      </c>
      <c r="CZ30" s="289">
        <v>13003</v>
      </c>
      <c r="DA30" s="289">
        <v>18022</v>
      </c>
    </row>
    <row r="31" spans="1:105" ht="30" customHeight="1" x14ac:dyDescent="0.25">
      <c r="C31" s="285"/>
      <c r="D31" s="285"/>
      <c r="E31" s="285"/>
      <c r="F31" s="285"/>
      <c r="S31" s="280" t="s">
        <v>256</v>
      </c>
      <c r="T31" s="280" t="s">
        <v>201</v>
      </c>
      <c r="U31" s="280">
        <v>3</v>
      </c>
      <c r="V3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0">
        <v>223</v>
      </c>
      <c r="AB31" s="274" t="s">
        <v>273</v>
      </c>
      <c r="AC31" s="274" t="s">
        <v>214</v>
      </c>
      <c r="AD31" s="274">
        <v>19</v>
      </c>
      <c r="AE31" s="274">
        <v>0</v>
      </c>
      <c r="AF31" s="463">
        <v>205</v>
      </c>
      <c r="AG31" s="463">
        <v>2400</v>
      </c>
      <c r="AH31" s="463">
        <v>205</v>
      </c>
      <c r="AI31" s="463">
        <v>950</v>
      </c>
      <c r="AJ31" s="281" t="s">
        <v>87</v>
      </c>
      <c r="AK31" s="281" t="s">
        <v>10</v>
      </c>
      <c r="AM31" s="377" t="s">
        <v>1085</v>
      </c>
      <c r="AN31" s="377" t="s">
        <v>1054</v>
      </c>
      <c r="AO31" s="377">
        <f>VLOOKUP(Пластики_Acryline[[#This Row],[Ценовая группа]],Цены_по_категориям_Acryline[],2,0)</f>
        <v>8520</v>
      </c>
      <c r="AP31" s="377">
        <f>VLOOKUP(Пластики_Acryline[[#This Row],[Ценовая группа]],Цены_по_категориям_Acryline[],3,0)</f>
        <v>13501</v>
      </c>
      <c r="AQ31" s="377" t="s">
        <v>1089</v>
      </c>
      <c r="AR31" s="407" t="s">
        <v>87</v>
      </c>
      <c r="AS31" s="407" t="s">
        <v>10</v>
      </c>
      <c r="AT31" s="280">
        <v>46</v>
      </c>
      <c r="BV31" s="434"/>
      <c r="BY31" s="417" t="s">
        <v>1160</v>
      </c>
      <c r="BZ31" s="409" t="s">
        <v>1120</v>
      </c>
      <c r="CA31" s="417" t="s">
        <v>1123</v>
      </c>
      <c r="CB31" s="426" t="s">
        <v>1181</v>
      </c>
      <c r="CC31" s="443">
        <f>VLOOKUP(Ручки[[#This Row],[Категория]],Ценовые_категории_ручек[],2,0)</f>
        <v>625</v>
      </c>
      <c r="CS31" s="280" t="s">
        <v>785</v>
      </c>
      <c r="CT31" s="280" t="s">
        <v>784</v>
      </c>
      <c r="CU31" s="280">
        <v>38</v>
      </c>
      <c r="CV31" s="280">
        <v>4190</v>
      </c>
      <c r="CW31" s="280">
        <v>1200</v>
      </c>
      <c r="CX31" s="289">
        <v>5477</v>
      </c>
      <c r="CY31" s="289">
        <v>9240</v>
      </c>
      <c r="CZ31" s="289">
        <v>13003</v>
      </c>
      <c r="DA31" s="289">
        <v>18022</v>
      </c>
    </row>
    <row r="32" spans="1:105" ht="30" customHeight="1" x14ac:dyDescent="0.25">
      <c r="C32" s="285"/>
      <c r="D32" s="285"/>
      <c r="E32" s="285"/>
      <c r="F32" s="285"/>
      <c r="S32" s="280" t="s">
        <v>258</v>
      </c>
      <c r="T32" s="280" t="s">
        <v>201</v>
      </c>
      <c r="U32" s="280">
        <v>2</v>
      </c>
      <c r="V3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0">
        <v>224</v>
      </c>
      <c r="AB32" s="274" t="s">
        <v>275</v>
      </c>
      <c r="AC32" s="274" t="s">
        <v>216</v>
      </c>
      <c r="AD32" s="274">
        <v>19</v>
      </c>
      <c r="AE32" s="274">
        <v>16</v>
      </c>
      <c r="AF32" s="463">
        <v>135</v>
      </c>
      <c r="AG32" s="463">
        <v>2550</v>
      </c>
      <c r="AH32" s="463">
        <v>285</v>
      </c>
      <c r="AI32" s="463">
        <v>950</v>
      </c>
      <c r="AJ32" s="281" t="s">
        <v>87</v>
      </c>
      <c r="AK32" s="281" t="s">
        <v>10</v>
      </c>
      <c r="AM32" s="377" t="s">
        <v>1086</v>
      </c>
      <c r="AN32" s="377" t="s">
        <v>1054</v>
      </c>
      <c r="AO32" s="377">
        <f>VLOOKUP(Пластики_Acryline[[#This Row],[Ценовая группа]],Цены_по_категориям_Acryline[],2,0)</f>
        <v>8520</v>
      </c>
      <c r="AP32" s="377">
        <f>VLOOKUP(Пластики_Acryline[[#This Row],[Ценовая группа]],Цены_по_категориям_Acryline[],3,0)</f>
        <v>13501</v>
      </c>
      <c r="AQ32" s="377" t="s">
        <v>1089</v>
      </c>
      <c r="AR32" s="407" t="s">
        <v>87</v>
      </c>
      <c r="AS32" s="407" t="s">
        <v>10</v>
      </c>
      <c r="AT32" s="280">
        <v>47</v>
      </c>
      <c r="BV32" s="434"/>
      <c r="BY32" s="377" t="s">
        <v>1116</v>
      </c>
      <c r="BZ32" s="411" t="s">
        <v>1118</v>
      </c>
      <c r="CA32" s="377" t="s">
        <v>1050</v>
      </c>
      <c r="CB32" s="426" t="s">
        <v>1181</v>
      </c>
      <c r="CC32" s="443">
        <f>VLOOKUP(Ручки[[#This Row],[Категория]],Ценовые_категории_ручек[],2,0)</f>
        <v>257</v>
      </c>
    </row>
    <row r="33" spans="1:134" ht="30" customHeight="1" x14ac:dyDescent="0.25">
      <c r="C33" s="285"/>
      <c r="D33" s="285"/>
      <c r="E33" s="285"/>
      <c r="F33" s="285"/>
      <c r="S33" s="280" t="s">
        <v>260</v>
      </c>
      <c r="T33" s="280" t="s">
        <v>201</v>
      </c>
      <c r="U33" s="280">
        <v>3</v>
      </c>
      <c r="V3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0">
        <v>226</v>
      </c>
      <c r="AB33" s="274" t="s">
        <v>277</v>
      </c>
      <c r="AC33" s="274" t="s">
        <v>216</v>
      </c>
      <c r="AD33" s="274">
        <v>19</v>
      </c>
      <c r="AE33" s="274">
        <v>16</v>
      </c>
      <c r="AF33" s="463">
        <v>137</v>
      </c>
      <c r="AG33" s="463">
        <v>2550</v>
      </c>
      <c r="AH33" s="463">
        <v>290</v>
      </c>
      <c r="AI33" s="463">
        <v>950</v>
      </c>
      <c r="AJ33" s="281" t="s">
        <v>87</v>
      </c>
      <c r="AK33" s="281" t="s">
        <v>10</v>
      </c>
      <c r="BV33" s="434"/>
      <c r="BY33" s="417" t="s">
        <v>1149</v>
      </c>
      <c r="BZ33" s="411" t="s">
        <v>1118</v>
      </c>
      <c r="CA33" s="414" t="s">
        <v>1122</v>
      </c>
      <c r="CB33" s="426" t="s">
        <v>1181</v>
      </c>
      <c r="CC33" s="443">
        <f>VLOOKUP(Ручки[[#This Row],[Категория]],Ценовые_категории_ручек[],2,0)</f>
        <v>450</v>
      </c>
    </row>
    <row r="34" spans="1:134" ht="30" customHeight="1" x14ac:dyDescent="0.25">
      <c r="C34" s="285"/>
      <c r="D34" s="285"/>
      <c r="E34" s="285"/>
      <c r="S34" s="280" t="s">
        <v>262</v>
      </c>
      <c r="T34" s="280" t="s">
        <v>200</v>
      </c>
      <c r="U34" s="280">
        <v>1</v>
      </c>
      <c r="V3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0">
        <v>229</v>
      </c>
      <c r="AB34" s="274" t="s">
        <v>279</v>
      </c>
      <c r="AC34" s="274" t="s">
        <v>216</v>
      </c>
      <c r="AD34" s="274">
        <v>19</v>
      </c>
      <c r="AE34" s="274">
        <v>0</v>
      </c>
      <c r="AF34" s="463">
        <v>90</v>
      </c>
      <c r="AG34" s="463">
        <v>950</v>
      </c>
      <c r="AH34" s="463">
        <v>270</v>
      </c>
      <c r="AI34" s="463">
        <v>950</v>
      </c>
      <c r="AJ34" s="281" t="s">
        <v>87</v>
      </c>
      <c r="AK34" s="281" t="s">
        <v>10</v>
      </c>
      <c r="BV34" s="434"/>
      <c r="BY34" s="377" t="s">
        <v>1115</v>
      </c>
      <c r="BZ34" s="411" t="s">
        <v>1118</v>
      </c>
      <c r="CA34" s="377" t="s">
        <v>1050</v>
      </c>
      <c r="CB34" s="426" t="s">
        <v>1181</v>
      </c>
      <c r="CC34" s="443">
        <f>VLOOKUP(Ручки[[#This Row],[Категория]],Ценовые_категории_ручек[],2,0)</f>
        <v>257</v>
      </c>
    </row>
    <row r="35" spans="1:134" ht="30" customHeight="1" x14ac:dyDescent="0.25">
      <c r="S35" s="280" t="s">
        <v>264</v>
      </c>
      <c r="T35" s="280" t="s">
        <v>201</v>
      </c>
      <c r="U35" s="280">
        <v>2</v>
      </c>
      <c r="V3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0">
        <v>230</v>
      </c>
      <c r="AB35" s="274" t="s">
        <v>281</v>
      </c>
      <c r="AC35" s="274" t="s">
        <v>216</v>
      </c>
      <c r="AD35" s="274">
        <v>19</v>
      </c>
      <c r="AE35" s="274">
        <v>0</v>
      </c>
      <c r="AF35" s="463">
        <v>90</v>
      </c>
      <c r="AG35" s="463">
        <v>2400</v>
      </c>
      <c r="AH35" s="463">
        <v>270</v>
      </c>
      <c r="AI35" s="463">
        <v>950</v>
      </c>
      <c r="AJ35" s="281" t="s">
        <v>87</v>
      </c>
      <c r="AK35" s="281" t="s">
        <v>10</v>
      </c>
      <c r="BV35" s="434"/>
      <c r="BY35" s="417" t="s">
        <v>1174</v>
      </c>
      <c r="BZ35" s="409" t="s">
        <v>1130</v>
      </c>
      <c r="CA35" s="423" t="s">
        <v>1129</v>
      </c>
      <c r="CB35" s="426" t="s">
        <v>1275</v>
      </c>
      <c r="CC35" s="443">
        <f>VLOOKUP(Ручки[[#This Row],[Категория]],Ценовые_категории_ручек[],2,0)</f>
        <v>800</v>
      </c>
    </row>
    <row r="36" spans="1:134" ht="30" customHeight="1" x14ac:dyDescent="0.25">
      <c r="C36" s="285"/>
      <c r="D36" s="285"/>
      <c r="E36" s="285"/>
      <c r="F36" s="285"/>
      <c r="G36" s="286"/>
      <c r="S36" s="280" t="s">
        <v>266</v>
      </c>
      <c r="T36" s="280" t="s">
        <v>201</v>
      </c>
      <c r="U36" s="280">
        <v>1</v>
      </c>
      <c r="V3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0">
        <v>232</v>
      </c>
      <c r="AB36" s="274" t="s">
        <v>283</v>
      </c>
      <c r="AC36" s="274" t="s">
        <v>216</v>
      </c>
      <c r="AD36" s="274">
        <v>19</v>
      </c>
      <c r="AE36" s="274">
        <v>16</v>
      </c>
      <c r="AF36" s="463">
        <v>135</v>
      </c>
      <c r="AG36" s="463">
        <v>2550</v>
      </c>
      <c r="AH36" s="463">
        <v>240</v>
      </c>
      <c r="AI36" s="463">
        <v>950</v>
      </c>
      <c r="AJ36" s="281" t="s">
        <v>87</v>
      </c>
      <c r="AK36" s="281" t="s">
        <v>87</v>
      </c>
      <c r="BV36" s="434"/>
      <c r="BY36" s="417" t="s">
        <v>1173</v>
      </c>
      <c r="BZ36" s="409" t="s">
        <v>1130</v>
      </c>
      <c r="CA36" s="423" t="s">
        <v>1129</v>
      </c>
      <c r="CB36" s="426" t="s">
        <v>1275</v>
      </c>
      <c r="CC36" s="443">
        <f>VLOOKUP(Ручки[[#This Row],[Категория]],Ценовые_категории_ручек[],2,0)</f>
        <v>800</v>
      </c>
      <c r="CD36" s="413"/>
    </row>
    <row r="37" spans="1:134" ht="30" customHeight="1" x14ac:dyDescent="0.25">
      <c r="S37" s="280" t="s">
        <v>268</v>
      </c>
      <c r="T37" s="280" t="s">
        <v>201</v>
      </c>
      <c r="U37" s="280">
        <v>1</v>
      </c>
      <c r="V3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0">
        <v>233</v>
      </c>
      <c r="AB37" s="274" t="s">
        <v>285</v>
      </c>
      <c r="AC37" s="274" t="s">
        <v>216</v>
      </c>
      <c r="AD37" s="274">
        <v>19</v>
      </c>
      <c r="AE37" s="274">
        <v>16</v>
      </c>
      <c r="AF37" s="463">
        <v>135</v>
      </c>
      <c r="AG37" s="463">
        <v>2550</v>
      </c>
      <c r="AH37" s="463">
        <v>285</v>
      </c>
      <c r="AI37" s="463">
        <v>950</v>
      </c>
      <c r="AJ37" s="281" t="s">
        <v>87</v>
      </c>
      <c r="AK37" s="281" t="s">
        <v>10</v>
      </c>
      <c r="BV37" s="434"/>
      <c r="BY37" s="415" t="s">
        <v>1172</v>
      </c>
      <c r="BZ37" s="409" t="s">
        <v>1130</v>
      </c>
      <c r="CA37" s="423" t="s">
        <v>1129</v>
      </c>
      <c r="CB37" s="426" t="s">
        <v>1275</v>
      </c>
      <c r="CC37" s="443">
        <f>VLOOKUP(Ручки[[#This Row],[Категория]],Ценовые_категории_ручек[],2,0)</f>
        <v>800</v>
      </c>
      <c r="CD37" s="410"/>
    </row>
    <row r="38" spans="1:134" ht="30" customHeight="1" x14ac:dyDescent="0.25">
      <c r="C38" s="285"/>
      <c r="D38" s="285"/>
      <c r="E38" s="285"/>
      <c r="F38" s="285"/>
      <c r="S38" s="280" t="s">
        <v>270</v>
      </c>
      <c r="T38" s="280" t="s">
        <v>201</v>
      </c>
      <c r="U38" s="280">
        <v>1</v>
      </c>
      <c r="V3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0">
        <v>236</v>
      </c>
      <c r="AB38" s="274" t="s">
        <v>287</v>
      </c>
      <c r="AC38" s="274" t="s">
        <v>216</v>
      </c>
      <c r="AD38" s="274">
        <v>19</v>
      </c>
      <c r="AE38" s="274">
        <v>16</v>
      </c>
      <c r="AF38" s="463">
        <v>135</v>
      </c>
      <c r="AG38" s="463">
        <v>2550</v>
      </c>
      <c r="AH38" s="463">
        <v>228</v>
      </c>
      <c r="AI38" s="463">
        <v>950</v>
      </c>
      <c r="AJ38" s="281" t="s">
        <v>87</v>
      </c>
      <c r="AK38" s="281" t="s">
        <v>87</v>
      </c>
      <c r="BV38" s="434"/>
      <c r="BY38" s="416" t="s">
        <v>1157</v>
      </c>
      <c r="BZ38" s="409" t="s">
        <v>1120</v>
      </c>
      <c r="CA38" s="414" t="s">
        <v>1122</v>
      </c>
      <c r="CB38" s="426" t="s">
        <v>1259</v>
      </c>
      <c r="CC38" s="443">
        <f>VLOOKUP(Ручки[[#This Row],[Категория]],Ценовые_категории_ручек[],2,0)</f>
        <v>450</v>
      </c>
      <c r="CD38" s="410"/>
    </row>
    <row r="39" spans="1:134" ht="30" customHeight="1" x14ac:dyDescent="0.25">
      <c r="A39" s="386" t="s">
        <v>1097</v>
      </c>
      <c r="B39" s="285"/>
      <c r="C39" s="285"/>
      <c r="D39" s="285"/>
      <c r="E39" s="285"/>
      <c r="F39" s="285"/>
      <c r="S39" s="280" t="s">
        <v>272</v>
      </c>
      <c r="T39" s="280" t="s">
        <v>201</v>
      </c>
      <c r="U39" s="280">
        <v>2</v>
      </c>
      <c r="V3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0">
        <v>276</v>
      </c>
      <c r="AB39" s="274" t="s">
        <v>289</v>
      </c>
      <c r="AC39" s="274" t="s">
        <v>216</v>
      </c>
      <c r="AD39" s="274">
        <v>19</v>
      </c>
      <c r="AE39" s="274">
        <v>16</v>
      </c>
      <c r="AF39" s="463">
        <v>70</v>
      </c>
      <c r="AG39" s="463">
        <v>2550</v>
      </c>
      <c r="AH39" s="463">
        <v>278</v>
      </c>
      <c r="AI39" s="463">
        <v>950</v>
      </c>
      <c r="AJ39" s="281" t="s">
        <v>87</v>
      </c>
      <c r="AK39" s="281" t="s">
        <v>10</v>
      </c>
      <c r="BV39" s="434"/>
      <c r="BY39" s="416" t="s">
        <v>1136</v>
      </c>
      <c r="BZ39" s="411" t="s">
        <v>1118</v>
      </c>
      <c r="CA39" s="377" t="s">
        <v>1050</v>
      </c>
      <c r="CB39" s="426" t="s">
        <v>1259</v>
      </c>
      <c r="CC39" s="443">
        <f>VLOOKUP(Ручки[[#This Row],[Категория]],Ценовые_категории_ручек[],2,0)</f>
        <v>257</v>
      </c>
    </row>
    <row r="40" spans="1:134" ht="30" customHeight="1" x14ac:dyDescent="0.25">
      <c r="A40" s="387" t="s">
        <v>1098</v>
      </c>
      <c r="S40" s="280" t="s">
        <v>274</v>
      </c>
      <c r="T40" s="280" t="s">
        <v>201</v>
      </c>
      <c r="U40" s="280">
        <v>2</v>
      </c>
      <c r="V4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0">
        <v>277</v>
      </c>
      <c r="AB40" s="274" t="s">
        <v>291</v>
      </c>
      <c r="AC40" s="274" t="s">
        <v>216</v>
      </c>
      <c r="AD40" s="274">
        <v>19</v>
      </c>
      <c r="AE40" s="274">
        <v>16</v>
      </c>
      <c r="AF40" s="463">
        <v>70</v>
      </c>
      <c r="AG40" s="463">
        <v>2550</v>
      </c>
      <c r="AH40" s="463">
        <v>205</v>
      </c>
      <c r="AI40" s="463">
        <v>950</v>
      </c>
      <c r="AJ40" s="281" t="s">
        <v>87</v>
      </c>
      <c r="AK40" s="281" t="s">
        <v>87</v>
      </c>
      <c r="BY40" s="416" t="s">
        <v>1166</v>
      </c>
      <c r="BZ40" s="409" t="s">
        <v>1120</v>
      </c>
      <c r="CA40" s="417" t="s">
        <v>1124</v>
      </c>
      <c r="CB40" s="426" t="s">
        <v>1263</v>
      </c>
      <c r="CC40" s="443">
        <f>VLOOKUP(Ручки[[#This Row],[Категория]],Ценовые_категории_ручек[],2,0)</f>
        <v>800</v>
      </c>
    </row>
    <row r="41" spans="1:134" ht="30" customHeight="1" x14ac:dyDescent="0.25">
      <c r="A41" s="274" t="s">
        <v>821</v>
      </c>
      <c r="B41" s="274" t="s">
        <v>180</v>
      </c>
      <c r="C41" s="287"/>
      <c r="D41" s="287"/>
      <c r="E41" s="287"/>
      <c r="S41" s="280" t="s">
        <v>276</v>
      </c>
      <c r="T41" s="280" t="s">
        <v>201</v>
      </c>
      <c r="U41" s="280">
        <v>2</v>
      </c>
      <c r="V4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0">
        <v>278</v>
      </c>
      <c r="AB41" s="274" t="s">
        <v>293</v>
      </c>
      <c r="AC41" s="274" t="s">
        <v>214</v>
      </c>
      <c r="AD41" s="274">
        <v>19</v>
      </c>
      <c r="AE41" s="274">
        <v>0</v>
      </c>
      <c r="AF41" s="463">
        <v>250</v>
      </c>
      <c r="AG41" s="463">
        <v>2550</v>
      </c>
      <c r="AH41" s="463">
        <v>250</v>
      </c>
      <c r="AI41" s="463">
        <v>950</v>
      </c>
      <c r="AJ41" s="281" t="s">
        <v>87</v>
      </c>
      <c r="AK41" s="281" t="s">
        <v>87</v>
      </c>
      <c r="BY41" s="377" t="s">
        <v>1139</v>
      </c>
      <c r="BZ41" s="411" t="s">
        <v>1118</v>
      </c>
      <c r="CA41" s="377" t="s">
        <v>1050</v>
      </c>
      <c r="CB41" s="426" t="s">
        <v>1263</v>
      </c>
      <c r="CC41" s="443">
        <f>VLOOKUP(Ручки[[#This Row],[Категория]],Ценовые_категории_ручек[],2,0)</f>
        <v>257</v>
      </c>
    </row>
    <row r="42" spans="1:134" ht="30" customHeight="1" thickBot="1" x14ac:dyDescent="0.3">
      <c r="A42" s="388" t="s">
        <v>807</v>
      </c>
      <c r="B42" s="275">
        <v>1179</v>
      </c>
      <c r="C42" s="287"/>
      <c r="D42" s="292"/>
      <c r="E42" s="287"/>
      <c r="S42" s="280" t="s">
        <v>278</v>
      </c>
      <c r="T42" s="280" t="s">
        <v>201</v>
      </c>
      <c r="U42" s="280">
        <v>1</v>
      </c>
      <c r="V4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0">
        <v>281</v>
      </c>
      <c r="AB42" s="274" t="s">
        <v>295</v>
      </c>
      <c r="AC42" s="274" t="s">
        <v>214</v>
      </c>
      <c r="AD42" s="274">
        <v>19</v>
      </c>
      <c r="AE42" s="274">
        <v>0</v>
      </c>
      <c r="AF42" s="463">
        <v>186</v>
      </c>
      <c r="AG42" s="463">
        <v>2550</v>
      </c>
      <c r="AH42" s="463">
        <v>254</v>
      </c>
      <c r="AI42" s="463">
        <v>950</v>
      </c>
      <c r="AJ42" s="281" t="s">
        <v>87</v>
      </c>
      <c r="AK42" s="281" t="s">
        <v>87</v>
      </c>
      <c r="BY42" s="416" t="s">
        <v>1179</v>
      </c>
      <c r="BZ42" s="409" t="s">
        <v>1113</v>
      </c>
      <c r="CA42" s="423" t="s">
        <v>1129</v>
      </c>
      <c r="CB42" s="426" t="s">
        <v>1278</v>
      </c>
      <c r="CC42" s="443">
        <f>VLOOKUP(Ручки[[#This Row],[Категория]],Ценовые_категории_ручек[],2,0)</f>
        <v>800</v>
      </c>
    </row>
    <row r="43" spans="1:134" ht="30" customHeight="1" thickBot="1" x14ac:dyDescent="0.3">
      <c r="A43" s="389" t="s">
        <v>808</v>
      </c>
      <c r="B43" s="276">
        <v>2024</v>
      </c>
      <c r="C43" s="287"/>
      <c r="D43" s="292"/>
      <c r="E43" s="287"/>
      <c r="S43" s="280" t="s">
        <v>280</v>
      </c>
      <c r="T43" s="280" t="s">
        <v>201</v>
      </c>
      <c r="U43" s="280">
        <v>4</v>
      </c>
      <c r="V4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0">
        <v>283</v>
      </c>
      <c r="AB43" s="274" t="s">
        <v>297</v>
      </c>
      <c r="AC43" s="274" t="s">
        <v>214</v>
      </c>
      <c r="AD43" s="274">
        <v>19</v>
      </c>
      <c r="AE43" s="274">
        <v>0</v>
      </c>
      <c r="AF43" s="463">
        <v>70</v>
      </c>
      <c r="AG43" s="463">
        <v>2550</v>
      </c>
      <c r="AH43" s="463">
        <v>70</v>
      </c>
      <c r="AI43" s="463">
        <v>2550</v>
      </c>
      <c r="AJ43" s="281" t="s">
        <v>87</v>
      </c>
      <c r="AK43" s="281" t="s">
        <v>10</v>
      </c>
      <c r="BY43" s="415" t="s">
        <v>1169</v>
      </c>
      <c r="BZ43" s="409" t="s">
        <v>1126</v>
      </c>
      <c r="CA43" s="423" t="s">
        <v>1128</v>
      </c>
      <c r="CB43" s="426" t="s">
        <v>1273</v>
      </c>
      <c r="CC43" s="443">
        <f>VLOOKUP(Ручки[[#This Row],[Категория]],Ценовые_категории_ручек[],2,0)</f>
        <v>625</v>
      </c>
    </row>
    <row r="44" spans="1:134" ht="30" customHeight="1" thickBot="1" x14ac:dyDescent="0.3">
      <c r="A44" s="390" t="s">
        <v>809</v>
      </c>
      <c r="B44" s="276">
        <v>2024</v>
      </c>
      <c r="C44" s="287"/>
      <c r="D44" s="292"/>
      <c r="E44" s="287"/>
      <c r="S44" s="280" t="s">
        <v>282</v>
      </c>
      <c r="T44" s="280" t="s">
        <v>201</v>
      </c>
      <c r="U44" s="280">
        <v>4</v>
      </c>
      <c r="V4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0">
        <v>284</v>
      </c>
      <c r="BY44" s="415" t="s">
        <v>1171</v>
      </c>
      <c r="BZ44" s="409" t="s">
        <v>1126</v>
      </c>
      <c r="CA44" s="423" t="s">
        <v>1128</v>
      </c>
      <c r="CB44" s="426" t="s">
        <v>1273</v>
      </c>
      <c r="CC44" s="443">
        <f>VLOOKUP(Ручки[[#This Row],[Категория]],Ценовые_категории_ручек[],2,0)</f>
        <v>625</v>
      </c>
      <c r="DR44" s="433"/>
      <c r="DS44" s="433"/>
      <c r="DT44" s="433"/>
      <c r="DU44" s="433"/>
      <c r="DV44" s="433"/>
      <c r="DW44" s="433"/>
      <c r="DX44" s="433"/>
      <c r="DY44" s="433"/>
      <c r="DZ44" s="433"/>
      <c r="EA44" s="433"/>
      <c r="EB44" s="433"/>
      <c r="EC44" s="433"/>
      <c r="ED44" s="433"/>
    </row>
    <row r="45" spans="1:134" ht="30" customHeight="1" thickBot="1" x14ac:dyDescent="0.3">
      <c r="A45" s="391" t="s">
        <v>810</v>
      </c>
      <c r="B45" s="276">
        <v>2024</v>
      </c>
      <c r="C45" s="293"/>
      <c r="D45" s="292"/>
      <c r="E45" s="287"/>
      <c r="S45" s="280" t="s">
        <v>284</v>
      </c>
      <c r="T45" s="280" t="s">
        <v>201</v>
      </c>
      <c r="U45" s="280">
        <v>1</v>
      </c>
      <c r="V4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0">
        <v>285</v>
      </c>
      <c r="BY45" s="416" t="s">
        <v>1168</v>
      </c>
      <c r="BZ45" s="409" t="s">
        <v>1120</v>
      </c>
      <c r="CA45" s="423" t="s">
        <v>1125</v>
      </c>
      <c r="CB45" s="426" t="s">
        <v>1272</v>
      </c>
      <c r="CC45" s="443">
        <f>VLOOKUP(Ручки[[#This Row],[Категория]],Ценовые_категории_ручек[],2,0)</f>
        <v>450</v>
      </c>
      <c r="DR45" s="433"/>
      <c r="DS45" s="433"/>
      <c r="DT45" s="433"/>
      <c r="DU45" s="433"/>
      <c r="DV45" s="433"/>
      <c r="DW45" s="433"/>
      <c r="DX45" s="433"/>
      <c r="DY45" s="433"/>
      <c r="DZ45" s="433"/>
      <c r="EA45" s="433"/>
      <c r="EB45" s="433"/>
      <c r="EC45" s="433"/>
      <c r="ED45" s="433"/>
    </row>
    <row r="46" spans="1:134" ht="30" customHeight="1" thickBot="1" x14ac:dyDescent="0.3">
      <c r="A46" s="392" t="s">
        <v>811</v>
      </c>
      <c r="B46" s="277">
        <v>2931</v>
      </c>
      <c r="C46" s="287"/>
      <c r="D46" s="405"/>
      <c r="E46" s="287"/>
      <c r="S46" s="280" t="s">
        <v>286</v>
      </c>
      <c r="T46" s="280" t="s">
        <v>201</v>
      </c>
      <c r="U46" s="280">
        <v>3</v>
      </c>
      <c r="V4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0">
        <v>286</v>
      </c>
      <c r="BY46" s="416" t="s">
        <v>1156</v>
      </c>
      <c r="BZ46" s="409" t="s">
        <v>1120</v>
      </c>
      <c r="CA46" s="415" t="s">
        <v>1122</v>
      </c>
      <c r="CB46" s="426" t="s">
        <v>1269</v>
      </c>
      <c r="CC46" s="443">
        <f>VLOOKUP(Ручки[[#This Row],[Категория]],Ценовые_категории_ручек[],2,0)</f>
        <v>450</v>
      </c>
      <c r="DR46" s="433"/>
      <c r="DS46" s="433"/>
      <c r="DT46" s="433"/>
      <c r="DU46" s="433"/>
      <c r="DV46" s="433"/>
      <c r="DW46" s="433"/>
      <c r="DX46" s="433"/>
      <c r="DY46" s="433"/>
      <c r="DZ46" s="433"/>
      <c r="EA46" s="433"/>
      <c r="EB46" s="433"/>
      <c r="EC46" s="433"/>
      <c r="ED46" s="433"/>
    </row>
    <row r="47" spans="1:134" ht="30" customHeight="1" thickBot="1" x14ac:dyDescent="0.3">
      <c r="A47" s="393" t="s">
        <v>812</v>
      </c>
      <c r="B47" s="276">
        <v>4373</v>
      </c>
      <c r="C47" s="287"/>
      <c r="D47" s="405"/>
      <c r="E47" s="287"/>
      <c r="S47" s="280" t="s">
        <v>288</v>
      </c>
      <c r="T47" s="280" t="s">
        <v>201</v>
      </c>
      <c r="U47" s="280">
        <v>3</v>
      </c>
      <c r="V4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0">
        <v>296</v>
      </c>
      <c r="BY47" s="377" t="s">
        <v>1137</v>
      </c>
      <c r="BZ47" s="409" t="s">
        <v>1120</v>
      </c>
      <c r="CA47" s="377" t="s">
        <v>1050</v>
      </c>
      <c r="CB47" s="426" t="s">
        <v>1261</v>
      </c>
      <c r="CC47" s="443">
        <f>VLOOKUP(Ручки[[#This Row],[Категория]],Ценовые_категории_ручек[],2,0)</f>
        <v>257</v>
      </c>
      <c r="DR47" s="433"/>
      <c r="DS47" s="433"/>
      <c r="DT47" s="433"/>
      <c r="DU47" s="433"/>
      <c r="DV47" s="433"/>
      <c r="DW47" s="433"/>
      <c r="DX47" s="433"/>
      <c r="DY47" s="433"/>
      <c r="DZ47" s="433"/>
      <c r="EA47" s="433"/>
      <c r="EB47" s="433"/>
      <c r="EC47" s="433"/>
      <c r="ED47" s="433"/>
    </row>
    <row r="48" spans="1:134" ht="30" customHeight="1" thickBot="1" x14ac:dyDescent="0.3">
      <c r="A48" s="394" t="s">
        <v>813</v>
      </c>
      <c r="B48" s="276">
        <v>4373</v>
      </c>
      <c r="C48" s="287"/>
      <c r="D48" s="405"/>
      <c r="E48" s="287"/>
      <c r="S48" s="280" t="s">
        <v>290</v>
      </c>
      <c r="T48" s="280" t="s">
        <v>201</v>
      </c>
      <c r="U48" s="280">
        <v>3</v>
      </c>
      <c r="V4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0">
        <v>300</v>
      </c>
      <c r="BY48" s="416" t="s">
        <v>1178</v>
      </c>
      <c r="BZ48" s="409" t="s">
        <v>1120</v>
      </c>
      <c r="CA48" s="423" t="s">
        <v>1129</v>
      </c>
      <c r="CB48" s="426" t="s">
        <v>1277</v>
      </c>
      <c r="CC48" s="443">
        <f>VLOOKUP(Ручки[[#This Row],[Категория]],Ценовые_категории_ручек[],2,0)</f>
        <v>800</v>
      </c>
    </row>
    <row r="49" spans="1:81" ht="30" customHeight="1" thickBot="1" x14ac:dyDescent="0.3">
      <c r="A49" s="395" t="s">
        <v>814</v>
      </c>
      <c r="B49" s="278">
        <v>4033</v>
      </c>
      <c r="C49" s="287"/>
      <c r="D49" s="405"/>
      <c r="E49" s="287"/>
      <c r="S49" s="280" t="s">
        <v>292</v>
      </c>
      <c r="T49" s="280" t="s">
        <v>201</v>
      </c>
      <c r="U49" s="280">
        <v>2</v>
      </c>
      <c r="V4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0">
        <v>301</v>
      </c>
      <c r="BY49" s="415" t="s">
        <v>1177</v>
      </c>
      <c r="BZ49" s="409" t="s">
        <v>1120</v>
      </c>
      <c r="CA49" s="423" t="s">
        <v>1129</v>
      </c>
      <c r="CB49" s="426" t="s">
        <v>1277</v>
      </c>
      <c r="CC49" s="443">
        <f>VLOOKUP(Ручки[[#This Row],[Категория]],Ценовые_категории_ручек[],2,0)</f>
        <v>800</v>
      </c>
    </row>
    <row r="50" spans="1:81" ht="30" customHeight="1" thickBot="1" x14ac:dyDescent="0.3">
      <c r="A50" s="395" t="s">
        <v>815</v>
      </c>
      <c r="B50" s="278">
        <v>4915</v>
      </c>
      <c r="C50" s="287"/>
      <c r="D50" s="405"/>
      <c r="E50" s="287"/>
      <c r="S50" s="280" t="s">
        <v>294</v>
      </c>
      <c r="T50" s="280" t="s">
        <v>200</v>
      </c>
      <c r="U50" s="280">
        <v>1</v>
      </c>
      <c r="V5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0">
        <v>307</v>
      </c>
      <c r="BY50" s="377" t="s">
        <v>1119</v>
      </c>
      <c r="BZ50" s="409" t="s">
        <v>1120</v>
      </c>
      <c r="CA50" s="377" t="s">
        <v>1050</v>
      </c>
      <c r="CB50" s="426" t="s">
        <v>1260</v>
      </c>
      <c r="CC50" s="443">
        <f>VLOOKUP(Ручки[[#This Row],[Категория]],Ценовые_категории_ручек[],2,0)</f>
        <v>257</v>
      </c>
    </row>
    <row r="51" spans="1:81" ht="30" customHeight="1" thickBot="1" x14ac:dyDescent="0.3">
      <c r="A51" s="389" t="s">
        <v>816</v>
      </c>
      <c r="B51" s="276">
        <v>4660</v>
      </c>
      <c r="C51" s="287"/>
      <c r="D51" s="292"/>
      <c r="E51" s="287"/>
      <c r="S51" s="280" t="s">
        <v>296</v>
      </c>
      <c r="T51" s="280" t="s">
        <v>200</v>
      </c>
      <c r="U51" s="280">
        <v>1</v>
      </c>
      <c r="V5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0">
        <v>308</v>
      </c>
      <c r="BY51" s="416" t="s">
        <v>1158</v>
      </c>
      <c r="BZ51" s="409" t="s">
        <v>1120</v>
      </c>
      <c r="CA51" s="415" t="s">
        <v>1122</v>
      </c>
      <c r="CB51" s="426" t="s">
        <v>1267</v>
      </c>
      <c r="CC51" s="443">
        <f>VLOOKUP(Ручки[[#This Row],[Категория]],Ценовые_категории_ручек[],2,0)</f>
        <v>450</v>
      </c>
    </row>
    <row r="52" spans="1:81" ht="30" customHeight="1" thickBot="1" x14ac:dyDescent="0.3">
      <c r="A52" s="396" t="s">
        <v>817</v>
      </c>
      <c r="B52" s="276">
        <v>4660</v>
      </c>
      <c r="C52" s="293"/>
      <c r="D52" s="292"/>
      <c r="E52" s="287"/>
      <c r="S52" s="280" t="s">
        <v>298</v>
      </c>
      <c r="T52" s="280" t="s">
        <v>201</v>
      </c>
      <c r="U52" s="280">
        <v>4</v>
      </c>
      <c r="V5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0">
        <v>384</v>
      </c>
      <c r="BY52" s="417" t="s">
        <v>1153</v>
      </c>
      <c r="BZ52" s="409" t="s">
        <v>1120</v>
      </c>
      <c r="CA52" s="414" t="s">
        <v>1122</v>
      </c>
      <c r="CB52" s="426" t="s">
        <v>1267</v>
      </c>
      <c r="CC52" s="443">
        <f>VLOOKUP(Ручки[[#This Row],[Категория]],Ценовые_категории_ручек[],2,0)</f>
        <v>450</v>
      </c>
    </row>
    <row r="53" spans="1:81" ht="30" customHeight="1" thickBot="1" x14ac:dyDescent="0.3">
      <c r="A53" s="397" t="s">
        <v>818</v>
      </c>
      <c r="B53" s="277">
        <v>5423</v>
      </c>
      <c r="C53" s="287"/>
      <c r="D53" s="405"/>
      <c r="E53" s="287"/>
      <c r="S53" s="280" t="s">
        <v>300</v>
      </c>
      <c r="T53" s="280" t="s">
        <v>201</v>
      </c>
      <c r="U53" s="280">
        <v>1</v>
      </c>
      <c r="V5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0">
        <v>419</v>
      </c>
      <c r="BY53" s="416" t="s">
        <v>1163</v>
      </c>
      <c r="BZ53" s="409" t="s">
        <v>1120</v>
      </c>
      <c r="CA53" s="417" t="s">
        <v>1123</v>
      </c>
      <c r="CB53" s="426" t="s">
        <v>1256</v>
      </c>
      <c r="CC53" s="443">
        <f>VLOOKUP(Ручки[[#This Row],[Категория]],Ценовые_категории_ручек[],2,0)</f>
        <v>625</v>
      </c>
    </row>
    <row r="54" spans="1:81" ht="30" customHeight="1" x14ac:dyDescent="0.25">
      <c r="A54" s="398" t="s">
        <v>819</v>
      </c>
      <c r="B54" s="276">
        <v>9200</v>
      </c>
      <c r="S54" s="280" t="s">
        <v>302</v>
      </c>
      <c r="T54" s="280" t="s">
        <v>200</v>
      </c>
      <c r="U54" s="280">
        <v>3</v>
      </c>
      <c r="V5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0">
        <v>500</v>
      </c>
      <c r="BY54" s="416" t="s">
        <v>1133</v>
      </c>
      <c r="BZ54" s="411" t="s">
        <v>1118</v>
      </c>
      <c r="CA54" s="377" t="s">
        <v>1050</v>
      </c>
      <c r="CB54" s="426" t="s">
        <v>1256</v>
      </c>
      <c r="CC54" s="443">
        <f>VLOOKUP(Ручки[[#This Row],[Категория]],Ценовые_категории_ручек[],2,0)</f>
        <v>257</v>
      </c>
    </row>
    <row r="55" spans="1:81" ht="30" customHeight="1" x14ac:dyDescent="0.25">
      <c r="S55" s="280" t="s">
        <v>303</v>
      </c>
      <c r="T55" s="280" t="s">
        <v>200</v>
      </c>
      <c r="U55" s="280">
        <v>3</v>
      </c>
      <c r="V5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0">
        <v>501</v>
      </c>
      <c r="BY55" s="416" t="s">
        <v>1180</v>
      </c>
      <c r="BZ55" s="409" t="s">
        <v>1120</v>
      </c>
      <c r="CA55" s="423" t="s">
        <v>1129</v>
      </c>
      <c r="CB55" s="426" t="s">
        <v>1279</v>
      </c>
      <c r="CC55" s="443">
        <f>VLOOKUP(Ручки[[#This Row],[Категория]],Ценовые_категории_ручек[],2,0)</f>
        <v>800</v>
      </c>
    </row>
    <row r="56" spans="1:81" ht="30" customHeight="1" x14ac:dyDescent="0.25">
      <c r="S56" s="280" t="s">
        <v>304</v>
      </c>
      <c r="T56" s="280" t="s">
        <v>200</v>
      </c>
      <c r="U56" s="280">
        <v>3</v>
      </c>
      <c r="V5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0">
        <v>503</v>
      </c>
      <c r="BY56" s="417" t="s">
        <v>1165</v>
      </c>
      <c r="BZ56" s="409" t="s">
        <v>1120</v>
      </c>
      <c r="CA56" s="417" t="s">
        <v>1124</v>
      </c>
      <c r="CB56" s="426" t="s">
        <v>1268</v>
      </c>
      <c r="CC56" s="443">
        <f>VLOOKUP(Ручки[[#This Row],[Категория]],Ценовые_категории_ручек[],2,0)</f>
        <v>800</v>
      </c>
    </row>
    <row r="57" spans="1:81" ht="30" customHeight="1" x14ac:dyDescent="0.25">
      <c r="S57" s="280" t="s">
        <v>305</v>
      </c>
      <c r="T57" s="280" t="s">
        <v>200</v>
      </c>
      <c r="U57" s="280">
        <v>3</v>
      </c>
      <c r="V5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0">
        <v>504</v>
      </c>
      <c r="BY57" s="416" t="s">
        <v>1155</v>
      </c>
      <c r="BZ57" s="411" t="s">
        <v>1118</v>
      </c>
      <c r="CA57" s="414" t="s">
        <v>1122</v>
      </c>
      <c r="CB57" s="426" t="s">
        <v>1268</v>
      </c>
      <c r="CC57" s="443">
        <f>VLOOKUP(Ручки[[#This Row],[Категория]],Ценовые_категории_ручек[],2,0)</f>
        <v>450</v>
      </c>
    </row>
    <row r="58" spans="1:81" ht="30" customHeight="1" x14ac:dyDescent="0.25">
      <c r="S58" s="280" t="s">
        <v>306</v>
      </c>
      <c r="T58" s="280" t="s">
        <v>200</v>
      </c>
      <c r="U58" s="280">
        <v>3</v>
      </c>
      <c r="V5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0">
        <v>505</v>
      </c>
      <c r="BY58" s="415" t="s">
        <v>1170</v>
      </c>
      <c r="BZ58" s="409" t="s">
        <v>1127</v>
      </c>
      <c r="CA58" s="423" t="s">
        <v>1128</v>
      </c>
      <c r="CB58" s="426" t="s">
        <v>1274</v>
      </c>
      <c r="CC58" s="443">
        <f>VLOOKUP(Ручки[[#This Row],[Категория]],Ценовые_категории_ручек[],2,0)</f>
        <v>625</v>
      </c>
    </row>
    <row r="59" spans="1:81" ht="30" customHeight="1" x14ac:dyDescent="0.25">
      <c r="S59" s="280" t="s">
        <v>307</v>
      </c>
      <c r="T59" s="280" t="s">
        <v>200</v>
      </c>
      <c r="U59" s="280">
        <v>3</v>
      </c>
      <c r="V5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0">
        <v>506</v>
      </c>
      <c r="BY59" s="377" t="s">
        <v>1112</v>
      </c>
      <c r="BZ59" s="409" t="s">
        <v>1113</v>
      </c>
      <c r="CA59" s="426" t="s">
        <v>1114</v>
      </c>
      <c r="CB59" s="426" t="s">
        <v>1183</v>
      </c>
      <c r="CC59" s="443">
        <f>VLOOKUP(Ручки[[#This Row],[Категория]],Ценовые_категории_ручек[],2,0)</f>
        <v>50</v>
      </c>
    </row>
    <row r="60" spans="1:81" ht="30" customHeight="1" x14ac:dyDescent="0.25">
      <c r="S60" s="280" t="s">
        <v>308</v>
      </c>
      <c r="T60" s="280" t="s">
        <v>200</v>
      </c>
      <c r="U60" s="280">
        <v>3</v>
      </c>
      <c r="V6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0">
        <v>507</v>
      </c>
    </row>
    <row r="61" spans="1:81" ht="30" customHeight="1" x14ac:dyDescent="0.25">
      <c r="S61" s="280" t="s">
        <v>309</v>
      </c>
      <c r="T61" s="280" t="s">
        <v>200</v>
      </c>
      <c r="U61" s="280">
        <v>3</v>
      </c>
      <c r="V6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0">
        <v>508</v>
      </c>
    </row>
    <row r="62" spans="1:81" ht="30" customHeight="1" x14ac:dyDescent="0.25">
      <c r="S62" s="280" t="s">
        <v>310</v>
      </c>
      <c r="T62" s="280" t="s">
        <v>200</v>
      </c>
      <c r="U62" s="280">
        <v>3</v>
      </c>
      <c r="V6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0">
        <v>509</v>
      </c>
    </row>
    <row r="63" spans="1:81" ht="30" customHeight="1" x14ac:dyDescent="0.25">
      <c r="S63" s="280" t="s">
        <v>311</v>
      </c>
      <c r="T63" s="280" t="s">
        <v>200</v>
      </c>
      <c r="U63" s="280">
        <v>3</v>
      </c>
      <c r="V6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0">
        <v>510</v>
      </c>
    </row>
    <row r="64" spans="1:81" ht="30" customHeight="1" x14ac:dyDescent="0.25">
      <c r="S64" s="280" t="s">
        <v>312</v>
      </c>
      <c r="T64" s="280" t="s">
        <v>200</v>
      </c>
      <c r="U64" s="280">
        <v>2</v>
      </c>
      <c r="V6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0">
        <v>511</v>
      </c>
    </row>
    <row r="65" spans="19:26" ht="30" customHeight="1" x14ac:dyDescent="0.25">
      <c r="S65" s="280" t="s">
        <v>313</v>
      </c>
      <c r="T65" s="280" t="s">
        <v>200</v>
      </c>
      <c r="U65" s="280">
        <v>3</v>
      </c>
      <c r="V6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0">
        <v>513</v>
      </c>
    </row>
    <row r="66" spans="19:26" ht="30" customHeight="1" x14ac:dyDescent="0.25">
      <c r="S66" s="280" t="s">
        <v>314</v>
      </c>
      <c r="T66" s="280" t="s">
        <v>200</v>
      </c>
      <c r="U66" s="280">
        <v>2</v>
      </c>
      <c r="V6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0">
        <v>514</v>
      </c>
    </row>
    <row r="67" spans="19:26" ht="30" customHeight="1" x14ac:dyDescent="0.25">
      <c r="S67" s="280" t="s">
        <v>315</v>
      </c>
      <c r="T67" s="280" t="s">
        <v>200</v>
      </c>
      <c r="U67" s="280">
        <v>3</v>
      </c>
      <c r="V6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0">
        <v>515</v>
      </c>
    </row>
    <row r="68" spans="19:26" ht="30" customHeight="1" x14ac:dyDescent="0.25">
      <c r="S68" s="280" t="s">
        <v>316</v>
      </c>
      <c r="T68" s="280" t="s">
        <v>200</v>
      </c>
      <c r="U68" s="280">
        <v>2</v>
      </c>
      <c r="V6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0">
        <v>516</v>
      </c>
    </row>
    <row r="69" spans="19:26" ht="30" customHeight="1" x14ac:dyDescent="0.25">
      <c r="S69" s="280" t="s">
        <v>317</v>
      </c>
      <c r="T69" s="280" t="s">
        <v>200</v>
      </c>
      <c r="U69" s="280">
        <v>1</v>
      </c>
      <c r="V6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0">
        <v>518</v>
      </c>
    </row>
    <row r="70" spans="19:26" ht="30" customHeight="1" x14ac:dyDescent="0.25">
      <c r="S70" s="280" t="s">
        <v>318</v>
      </c>
      <c r="T70" s="280" t="s">
        <v>200</v>
      </c>
      <c r="U70" s="280">
        <v>2</v>
      </c>
      <c r="V7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0">
        <v>519</v>
      </c>
    </row>
    <row r="71" spans="19:26" ht="30" customHeight="1" x14ac:dyDescent="0.25">
      <c r="S71" s="280" t="s">
        <v>319</v>
      </c>
      <c r="T71" s="280" t="s">
        <v>200</v>
      </c>
      <c r="U71" s="280">
        <v>2</v>
      </c>
      <c r="V7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0">
        <v>520</v>
      </c>
    </row>
    <row r="72" spans="19:26" ht="30" customHeight="1" x14ac:dyDescent="0.25">
      <c r="S72" s="280" t="s">
        <v>321</v>
      </c>
      <c r="T72" s="280" t="s">
        <v>200</v>
      </c>
      <c r="U72" s="280">
        <v>2</v>
      </c>
      <c r="V7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0">
        <v>522</v>
      </c>
    </row>
    <row r="73" spans="19:26" ht="30" customHeight="1" x14ac:dyDescent="0.25">
      <c r="S73" s="280" t="s">
        <v>322</v>
      </c>
      <c r="T73" s="280" t="s">
        <v>200</v>
      </c>
      <c r="U73" s="280">
        <v>3</v>
      </c>
      <c r="V7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0">
        <v>524</v>
      </c>
    </row>
    <row r="74" spans="19:26" ht="30" customHeight="1" x14ac:dyDescent="0.25">
      <c r="S74" s="280" t="s">
        <v>323</v>
      </c>
      <c r="T74" s="280" t="s">
        <v>200</v>
      </c>
      <c r="U74" s="280">
        <v>3</v>
      </c>
      <c r="V7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0">
        <v>525</v>
      </c>
    </row>
    <row r="75" spans="19:26" ht="30" customHeight="1" x14ac:dyDescent="0.25">
      <c r="S75" s="280" t="s">
        <v>324</v>
      </c>
      <c r="T75" s="280" t="s">
        <v>200</v>
      </c>
      <c r="U75" s="280">
        <v>3</v>
      </c>
      <c r="V7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0">
        <v>526</v>
      </c>
    </row>
    <row r="76" spans="19:26" ht="30" customHeight="1" x14ac:dyDescent="0.25">
      <c r="S76" s="280" t="s">
        <v>325</v>
      </c>
      <c r="T76" s="280" t="s">
        <v>200</v>
      </c>
      <c r="U76" s="280">
        <v>3</v>
      </c>
      <c r="V7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0">
        <v>528</v>
      </c>
    </row>
    <row r="77" spans="19:26" ht="30" customHeight="1" x14ac:dyDescent="0.25">
      <c r="S77" s="280" t="s">
        <v>326</v>
      </c>
      <c r="T77" s="280" t="s">
        <v>200</v>
      </c>
      <c r="U77" s="280">
        <v>3</v>
      </c>
      <c r="V7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0">
        <v>529</v>
      </c>
    </row>
    <row r="78" spans="19:26" ht="30" customHeight="1" x14ac:dyDescent="0.25">
      <c r="S78" s="280" t="s">
        <v>327</v>
      </c>
      <c r="T78" s="280" t="s">
        <v>201</v>
      </c>
      <c r="U78" s="280">
        <v>4</v>
      </c>
      <c r="V7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0">
        <v>530</v>
      </c>
    </row>
    <row r="79" spans="19:26" ht="30" customHeight="1" x14ac:dyDescent="0.25">
      <c r="S79" s="280" t="s">
        <v>328</v>
      </c>
      <c r="T79" s="280" t="s">
        <v>201</v>
      </c>
      <c r="U79" s="280">
        <v>3</v>
      </c>
      <c r="V7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0">
        <v>533</v>
      </c>
    </row>
    <row r="80" spans="19:26" ht="30" customHeight="1" x14ac:dyDescent="0.25">
      <c r="S80" s="280" t="s">
        <v>329</v>
      </c>
      <c r="T80" s="280" t="s">
        <v>201</v>
      </c>
      <c r="U80" s="280">
        <v>2</v>
      </c>
      <c r="V8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0">
        <v>534</v>
      </c>
    </row>
    <row r="81" spans="1:26" ht="30" customHeight="1" x14ac:dyDescent="0.25">
      <c r="S81" s="280" t="s">
        <v>330</v>
      </c>
      <c r="T81" s="280" t="s">
        <v>201</v>
      </c>
      <c r="U81" s="280">
        <v>2</v>
      </c>
      <c r="V8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0">
        <v>535</v>
      </c>
    </row>
    <row r="82" spans="1:26" ht="30" customHeight="1" x14ac:dyDescent="0.25">
      <c r="S82" s="280" t="s">
        <v>331</v>
      </c>
      <c r="T82" s="280" t="s">
        <v>201</v>
      </c>
      <c r="U82" s="280">
        <v>4</v>
      </c>
      <c r="V8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0">
        <v>536</v>
      </c>
    </row>
    <row r="83" spans="1:26" ht="30" customHeight="1" x14ac:dyDescent="0.25">
      <c r="S83" s="280" t="s">
        <v>332</v>
      </c>
      <c r="T83" s="280" t="s">
        <v>201</v>
      </c>
      <c r="U83" s="280">
        <v>4</v>
      </c>
      <c r="V8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0">
        <v>537</v>
      </c>
    </row>
    <row r="84" spans="1:26" ht="30" customHeight="1" x14ac:dyDescent="0.25">
      <c r="S84" s="280" t="s">
        <v>333</v>
      </c>
      <c r="T84" s="280" t="s">
        <v>200</v>
      </c>
      <c r="U84" s="280">
        <v>2</v>
      </c>
      <c r="V8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0">
        <v>538</v>
      </c>
    </row>
    <row r="85" spans="1:26" ht="30" customHeight="1" x14ac:dyDescent="0.25">
      <c r="S85" s="280" t="s">
        <v>334</v>
      </c>
      <c r="T85" s="280" t="s">
        <v>200</v>
      </c>
      <c r="U85" s="280">
        <v>3</v>
      </c>
      <c r="V8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0">
        <v>539</v>
      </c>
    </row>
    <row r="86" spans="1:26" ht="30" customHeight="1" x14ac:dyDescent="0.25">
      <c r="S86" s="280" t="s">
        <v>335</v>
      </c>
      <c r="T86" s="280" t="s">
        <v>200</v>
      </c>
      <c r="U86" s="280">
        <v>3</v>
      </c>
      <c r="V8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0">
        <v>540</v>
      </c>
    </row>
    <row r="87" spans="1:26" ht="30" customHeight="1" x14ac:dyDescent="0.25">
      <c r="S87" s="280" t="s">
        <v>336</v>
      </c>
      <c r="T87" s="280" t="s">
        <v>200</v>
      </c>
      <c r="U87" s="280">
        <v>3</v>
      </c>
      <c r="V8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0">
        <v>541</v>
      </c>
    </row>
    <row r="88" spans="1:26" ht="30" customHeight="1" x14ac:dyDescent="0.25">
      <c r="S88" s="280" t="s">
        <v>337</v>
      </c>
      <c r="T88" s="280" t="s">
        <v>200</v>
      </c>
      <c r="U88" s="280">
        <v>3</v>
      </c>
      <c r="V8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0">
        <v>543</v>
      </c>
    </row>
    <row r="89" spans="1:26" ht="30" customHeight="1" x14ac:dyDescent="0.25">
      <c r="C89" s="274"/>
      <c r="D89" s="274"/>
      <c r="S89" s="280" t="s">
        <v>338</v>
      </c>
      <c r="T89" s="280" t="s">
        <v>200</v>
      </c>
      <c r="U89" s="280">
        <v>3</v>
      </c>
      <c r="V8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0">
        <v>544</v>
      </c>
    </row>
    <row r="90" spans="1:26" ht="30" customHeight="1" x14ac:dyDescent="0.25">
      <c r="A90" s="274"/>
      <c r="B90" s="274"/>
      <c r="C90" s="274"/>
      <c r="D90" s="274"/>
      <c r="S90" s="280" t="s">
        <v>339</v>
      </c>
      <c r="T90" s="280" t="s">
        <v>200</v>
      </c>
      <c r="U90" s="280">
        <v>2</v>
      </c>
      <c r="V9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0">
        <v>545</v>
      </c>
    </row>
    <row r="91" spans="1:26" ht="30" customHeight="1" x14ac:dyDescent="0.25">
      <c r="A91" s="274"/>
      <c r="B91" s="274"/>
      <c r="C91" s="274"/>
      <c r="D91" s="274"/>
      <c r="S91" s="280" t="s">
        <v>340</v>
      </c>
      <c r="T91" s="280" t="s">
        <v>200</v>
      </c>
      <c r="U91" s="280">
        <v>3</v>
      </c>
      <c r="V9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0">
        <v>546</v>
      </c>
    </row>
    <row r="92" spans="1:26" ht="30" customHeight="1" x14ac:dyDescent="0.25">
      <c r="A92" s="274"/>
      <c r="B92" s="274"/>
      <c r="C92" s="274"/>
      <c r="D92" s="274"/>
      <c r="S92" s="280" t="s">
        <v>341</v>
      </c>
      <c r="T92" s="280" t="s">
        <v>200</v>
      </c>
      <c r="U92" s="280">
        <v>3</v>
      </c>
      <c r="V9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0">
        <v>547</v>
      </c>
    </row>
    <row r="93" spans="1:26" ht="30" customHeight="1" x14ac:dyDescent="0.25">
      <c r="A93" s="274"/>
      <c r="B93" s="274"/>
      <c r="C93" s="274"/>
      <c r="D93" s="274"/>
      <c r="S93" s="280" t="s">
        <v>342</v>
      </c>
      <c r="T93" s="280" t="s">
        <v>201</v>
      </c>
      <c r="U93" s="280">
        <v>4</v>
      </c>
      <c r="V9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0">
        <v>548</v>
      </c>
    </row>
    <row r="94" spans="1:26" ht="30" customHeight="1" x14ac:dyDescent="0.25">
      <c r="A94" s="274"/>
      <c r="B94" s="274"/>
      <c r="C94" s="274"/>
      <c r="D94" s="274"/>
      <c r="S94" s="280" t="s">
        <v>343</v>
      </c>
      <c r="T94" s="280" t="s">
        <v>200</v>
      </c>
      <c r="U94" s="280">
        <v>3</v>
      </c>
      <c r="V9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0">
        <v>549</v>
      </c>
    </row>
    <row r="95" spans="1:26" ht="30" customHeight="1" x14ac:dyDescent="0.25">
      <c r="A95" s="274"/>
      <c r="B95" s="274"/>
      <c r="C95" s="274"/>
      <c r="D95" s="274"/>
      <c r="S95" s="280" t="s">
        <v>344</v>
      </c>
      <c r="T95" s="280" t="s">
        <v>200</v>
      </c>
      <c r="U95" s="280">
        <v>3</v>
      </c>
      <c r="V9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0">
        <v>550</v>
      </c>
    </row>
    <row r="96" spans="1:26" ht="30" customHeight="1" x14ac:dyDescent="0.25">
      <c r="A96" s="274"/>
      <c r="B96" s="274"/>
      <c r="C96" s="274"/>
      <c r="D96" s="274"/>
      <c r="S96" s="280" t="s">
        <v>345</v>
      </c>
      <c r="T96" s="280" t="s">
        <v>200</v>
      </c>
      <c r="U96" s="280">
        <v>3</v>
      </c>
      <c r="V9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0">
        <v>551</v>
      </c>
    </row>
    <row r="97" spans="1:26" ht="30" customHeight="1" x14ac:dyDescent="0.25">
      <c r="A97" s="274"/>
      <c r="B97" s="274"/>
      <c r="C97" s="274"/>
      <c r="D97" s="274"/>
      <c r="S97" s="280" t="s">
        <v>346</v>
      </c>
      <c r="T97" s="280" t="s">
        <v>200</v>
      </c>
      <c r="U97" s="280">
        <v>3</v>
      </c>
      <c r="V9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0">
        <v>552</v>
      </c>
    </row>
    <row r="98" spans="1:26" ht="30" customHeight="1" x14ac:dyDescent="0.25">
      <c r="A98" s="274"/>
      <c r="B98" s="274"/>
      <c r="C98" s="274"/>
      <c r="D98" s="274"/>
      <c r="S98" s="280" t="s">
        <v>347</v>
      </c>
      <c r="T98" s="280" t="s">
        <v>200</v>
      </c>
      <c r="U98" s="280">
        <v>3</v>
      </c>
      <c r="V9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0">
        <v>553</v>
      </c>
    </row>
    <row r="99" spans="1:26" ht="30" customHeight="1" x14ac:dyDescent="0.25">
      <c r="A99" s="274"/>
      <c r="B99" s="274"/>
      <c r="C99" s="274"/>
      <c r="D99" s="274"/>
      <c r="S99" s="280" t="s">
        <v>348</v>
      </c>
      <c r="T99" s="280" t="s">
        <v>200</v>
      </c>
      <c r="U99" s="280">
        <v>3</v>
      </c>
      <c r="V9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0">
        <v>554</v>
      </c>
    </row>
    <row r="100" spans="1:26" ht="30" customHeight="1" x14ac:dyDescent="0.25">
      <c r="A100" s="274"/>
      <c r="B100" s="274"/>
      <c r="C100" s="274"/>
      <c r="D100" s="274"/>
      <c r="S100" s="280" t="s">
        <v>349</v>
      </c>
      <c r="T100" s="280" t="s">
        <v>200</v>
      </c>
      <c r="U100" s="280">
        <v>3</v>
      </c>
      <c r="V10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0">
        <v>555</v>
      </c>
    </row>
    <row r="101" spans="1:26" ht="30" customHeight="1" x14ac:dyDescent="0.25">
      <c r="A101" s="274"/>
      <c r="B101" s="274"/>
      <c r="C101" s="274"/>
      <c r="D101" s="274"/>
      <c r="S101" s="280" t="s">
        <v>350</v>
      </c>
      <c r="T101" s="280" t="s">
        <v>200</v>
      </c>
      <c r="U101" s="280">
        <v>2</v>
      </c>
      <c r="V10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0">
        <v>556</v>
      </c>
    </row>
    <row r="102" spans="1:26" ht="30" customHeight="1" x14ac:dyDescent="0.25">
      <c r="A102" s="274"/>
      <c r="B102" s="274"/>
      <c r="C102" s="274"/>
      <c r="D102" s="274"/>
      <c r="S102" s="280" t="s">
        <v>351</v>
      </c>
      <c r="T102" s="280" t="s">
        <v>200</v>
      </c>
      <c r="U102" s="280">
        <v>3</v>
      </c>
      <c r="V10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0">
        <v>557</v>
      </c>
    </row>
    <row r="103" spans="1:26" ht="30" customHeight="1" x14ac:dyDescent="0.25">
      <c r="A103" s="274"/>
      <c r="B103" s="274"/>
      <c r="C103" s="274"/>
      <c r="D103" s="274"/>
      <c r="S103" s="280" t="s">
        <v>352</v>
      </c>
      <c r="T103" s="280" t="s">
        <v>200</v>
      </c>
      <c r="U103" s="280">
        <v>2</v>
      </c>
      <c r="V10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0">
        <v>558</v>
      </c>
    </row>
    <row r="104" spans="1:26" ht="30" customHeight="1" x14ac:dyDescent="0.25">
      <c r="A104" s="274"/>
      <c r="B104" s="274"/>
      <c r="C104" s="274"/>
      <c r="D104" s="274"/>
      <c r="S104" s="280" t="s">
        <v>355</v>
      </c>
      <c r="T104" s="280" t="s">
        <v>200</v>
      </c>
      <c r="U104" s="280">
        <v>1</v>
      </c>
      <c r="V10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0">
        <v>709</v>
      </c>
    </row>
    <row r="105" spans="1:26" ht="30" customHeight="1" x14ac:dyDescent="0.25">
      <c r="A105" s="274"/>
      <c r="B105" s="274"/>
      <c r="C105" s="274"/>
      <c r="D105" s="274"/>
      <c r="S105" s="280" t="s">
        <v>320</v>
      </c>
      <c r="T105" s="280" t="s">
        <v>200</v>
      </c>
      <c r="U105" s="280">
        <v>2</v>
      </c>
      <c r="V10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0">
        <v>5211</v>
      </c>
    </row>
    <row r="106" spans="1:26" ht="30" customHeight="1" x14ac:dyDescent="0.25">
      <c r="A106" s="274"/>
      <c r="B106" s="274"/>
      <c r="C106" s="274"/>
      <c r="D106" s="274"/>
    </row>
    <row r="107" spans="1:26" ht="30" customHeight="1" x14ac:dyDescent="0.25">
      <c r="A107" s="274"/>
      <c r="B107" s="274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K1:P1"/>
    <mergeCell ref="BY1:CC1"/>
    <mergeCell ref="CG1:CH1"/>
    <mergeCell ref="CK1:CO1"/>
    <mergeCell ref="AV1:AY1"/>
    <mergeCell ref="BA2:BC2"/>
    <mergeCell ref="BJ1:BK1"/>
    <mergeCell ref="BN1:BO1"/>
    <mergeCell ref="BQ1:BR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 x14ac:dyDescent="0.2"/>
  <cols>
    <col min="1" max="1" width="7.140625" style="329" customWidth="1"/>
    <col min="2" max="2" width="36.85546875" style="329" customWidth="1"/>
    <col min="3" max="3" width="48.85546875" style="329" customWidth="1"/>
    <col min="4" max="4" width="11.85546875" style="329" customWidth="1"/>
    <col min="5" max="5" width="9.7109375" style="329" customWidth="1"/>
    <col min="6" max="6" width="10.5703125" style="329" customWidth="1"/>
    <col min="7" max="7" width="13.140625" style="363" bestFit="1" customWidth="1"/>
    <col min="8" max="16384" width="9" style="318"/>
  </cols>
  <sheetData>
    <row r="1" spans="1:7" ht="12.95" customHeight="1" x14ac:dyDescent="0.2">
      <c r="A1" s="340" t="s">
        <v>874</v>
      </c>
      <c r="B1" s="340" t="s">
        <v>175</v>
      </c>
      <c r="C1" s="340" t="s">
        <v>875</v>
      </c>
      <c r="D1" s="340" t="s">
        <v>876</v>
      </c>
      <c r="E1" s="340" t="s">
        <v>820</v>
      </c>
      <c r="F1" s="340" t="s">
        <v>877</v>
      </c>
    </row>
    <row r="2" spans="1:7" ht="12" customHeight="1" x14ac:dyDescent="0.2">
      <c r="A2" s="335">
        <v>1</v>
      </c>
      <c r="B2" s="336" t="s">
        <v>890</v>
      </c>
      <c r="C2" s="337"/>
      <c r="D2" s="335">
        <v>1</v>
      </c>
      <c r="E2" s="338">
        <v>4640.3900000000003</v>
      </c>
      <c r="F2" s="338">
        <v>4640.3900000000003</v>
      </c>
      <c r="G2" s="363">
        <f>F2*1.15</f>
        <v>5336.4484999999995</v>
      </c>
    </row>
    <row r="3" spans="1:7" ht="12" customHeight="1" x14ac:dyDescent="0.2">
      <c r="A3" s="337"/>
      <c r="B3" s="337"/>
      <c r="C3" s="339" t="s">
        <v>878</v>
      </c>
      <c r="D3" s="342">
        <v>4</v>
      </c>
      <c r="E3" s="343">
        <v>0.01</v>
      </c>
      <c r="F3" s="343">
        <v>0.04</v>
      </c>
      <c r="G3" s="363">
        <f t="shared" ref="G3:G66" si="0">F3*1.15</f>
        <v>4.5999999999999999E-2</v>
      </c>
    </row>
    <row r="4" spans="1:7" ht="12" customHeight="1" x14ac:dyDescent="0.2">
      <c r="A4" s="337"/>
      <c r="B4" s="337"/>
      <c r="C4" s="339" t="s">
        <v>950</v>
      </c>
      <c r="D4" s="342">
        <v>1</v>
      </c>
      <c r="E4" s="344"/>
      <c r="F4" s="344"/>
      <c r="G4" s="363">
        <f t="shared" si="0"/>
        <v>0</v>
      </c>
    </row>
    <row r="5" spans="1:7" ht="12" customHeight="1" x14ac:dyDescent="0.2">
      <c r="A5" s="337"/>
      <c r="B5" s="337"/>
      <c r="C5" s="339" t="s">
        <v>951</v>
      </c>
      <c r="D5" s="342">
        <v>1</v>
      </c>
      <c r="E5" s="344"/>
      <c r="F5" s="344"/>
      <c r="G5" s="363">
        <f t="shared" si="0"/>
        <v>0</v>
      </c>
    </row>
    <row r="6" spans="1:7" ht="12" customHeight="1" x14ac:dyDescent="0.2">
      <c r="A6" s="337"/>
      <c r="B6" s="337"/>
      <c r="C6" s="339" t="s">
        <v>880</v>
      </c>
      <c r="D6" s="342">
        <v>2</v>
      </c>
      <c r="E6" s="344"/>
      <c r="F6" s="344"/>
      <c r="G6" s="363">
        <f t="shared" si="0"/>
        <v>0</v>
      </c>
    </row>
    <row r="7" spans="1:7" ht="12" customHeight="1" x14ac:dyDescent="0.2">
      <c r="A7" s="337"/>
      <c r="B7" s="337"/>
      <c r="C7" s="339" t="s">
        <v>881</v>
      </c>
      <c r="D7" s="342">
        <v>1</v>
      </c>
      <c r="E7" s="344"/>
      <c r="F7" s="344"/>
      <c r="G7" s="363">
        <f t="shared" si="0"/>
        <v>0</v>
      </c>
    </row>
    <row r="8" spans="1:7" ht="12" customHeight="1" x14ac:dyDescent="0.2">
      <c r="A8" s="337"/>
      <c r="B8" s="337"/>
      <c r="C8" s="339" t="s">
        <v>952</v>
      </c>
      <c r="D8" s="342">
        <v>1</v>
      </c>
      <c r="E8" s="344"/>
      <c r="F8" s="344"/>
      <c r="G8" s="363">
        <f t="shared" si="0"/>
        <v>0</v>
      </c>
    </row>
    <row r="9" spans="1:7" ht="12" customHeight="1" x14ac:dyDescent="0.2">
      <c r="A9" s="337"/>
      <c r="B9" s="337"/>
      <c r="C9" s="339" t="s">
        <v>482</v>
      </c>
      <c r="D9" s="342">
        <v>1</v>
      </c>
      <c r="E9" s="361">
        <v>790.5</v>
      </c>
      <c r="F9" s="361">
        <v>790.5</v>
      </c>
      <c r="G9" s="363">
        <f t="shared" si="0"/>
        <v>909.07499999999993</v>
      </c>
    </row>
    <row r="10" spans="1:7" ht="12" customHeight="1" x14ac:dyDescent="0.2">
      <c r="A10" s="337"/>
      <c r="B10" s="337"/>
      <c r="C10" s="339" t="s">
        <v>394</v>
      </c>
      <c r="D10" s="342">
        <v>2</v>
      </c>
      <c r="E10" s="361">
        <v>229.5</v>
      </c>
      <c r="F10" s="342">
        <v>459</v>
      </c>
      <c r="G10" s="363">
        <f t="shared" si="0"/>
        <v>527.84999999999991</v>
      </c>
    </row>
    <row r="11" spans="1:7" ht="12" customHeight="1" x14ac:dyDescent="0.2">
      <c r="A11" s="337"/>
      <c r="B11" s="337"/>
      <c r="C11" s="339" t="s">
        <v>885</v>
      </c>
      <c r="D11" s="342">
        <v>1</v>
      </c>
      <c r="E11" s="344"/>
      <c r="F11" s="344"/>
      <c r="G11" s="363">
        <f t="shared" si="0"/>
        <v>0</v>
      </c>
    </row>
    <row r="12" spans="1:7" ht="12" customHeight="1" x14ac:dyDescent="0.2">
      <c r="A12" s="337"/>
      <c r="B12" s="337"/>
      <c r="C12" s="339" t="s">
        <v>882</v>
      </c>
      <c r="D12" s="342">
        <v>1</v>
      </c>
      <c r="E12" s="344"/>
      <c r="F12" s="344"/>
      <c r="G12" s="363">
        <f t="shared" si="0"/>
        <v>0</v>
      </c>
    </row>
    <row r="13" spans="1:7" ht="12" customHeight="1" x14ac:dyDescent="0.2">
      <c r="A13" s="337"/>
      <c r="B13" s="337"/>
      <c r="C13" s="339" t="s">
        <v>429</v>
      </c>
      <c r="D13" s="342">
        <v>5</v>
      </c>
      <c r="E13" s="342">
        <v>425</v>
      </c>
      <c r="F13" s="345">
        <v>2125</v>
      </c>
      <c r="G13" s="363">
        <f t="shared" si="0"/>
        <v>2443.75</v>
      </c>
    </row>
    <row r="14" spans="1:7" ht="12" customHeight="1" x14ac:dyDescent="0.2">
      <c r="A14" s="337"/>
      <c r="B14" s="337"/>
      <c r="C14" s="339" t="s">
        <v>953</v>
      </c>
      <c r="D14" s="342">
        <v>1</v>
      </c>
      <c r="E14" s="344"/>
      <c r="F14" s="344"/>
      <c r="G14" s="363">
        <f t="shared" si="0"/>
        <v>0</v>
      </c>
    </row>
    <row r="15" spans="1:7" ht="12" customHeight="1" x14ac:dyDescent="0.2">
      <c r="A15" s="337"/>
      <c r="B15" s="337"/>
      <c r="C15" s="339" t="s">
        <v>886</v>
      </c>
      <c r="D15" s="342">
        <v>1</v>
      </c>
      <c r="E15" s="344"/>
      <c r="F15" s="344"/>
      <c r="G15" s="363">
        <f t="shared" si="0"/>
        <v>0</v>
      </c>
    </row>
    <row r="16" spans="1:7" ht="12" customHeight="1" x14ac:dyDescent="0.2">
      <c r="A16" s="337"/>
      <c r="B16" s="337"/>
      <c r="C16" s="339" t="s">
        <v>879</v>
      </c>
      <c r="D16" s="342">
        <v>3</v>
      </c>
      <c r="E16" s="343">
        <v>0.01</v>
      </c>
      <c r="F16" s="343">
        <v>0.03</v>
      </c>
      <c r="G16" s="363">
        <f t="shared" si="0"/>
        <v>3.4499999999999996E-2</v>
      </c>
    </row>
    <row r="17" spans="1:7" ht="12.95" customHeight="1" x14ac:dyDescent="0.2">
      <c r="A17" s="346"/>
      <c r="B17" s="346"/>
      <c r="C17" s="346"/>
      <c r="D17" s="346"/>
      <c r="E17" s="347">
        <v>8014.96</v>
      </c>
      <c r="F17" s="347">
        <v>8014.96</v>
      </c>
      <c r="G17" s="363">
        <f t="shared" si="0"/>
        <v>9217.2039999999997</v>
      </c>
    </row>
    <row r="18" spans="1:7" ht="12" customHeight="1" x14ac:dyDescent="0.2">
      <c r="A18" s="319">
        <v>2</v>
      </c>
      <c r="B18" s="320" t="s">
        <v>954</v>
      </c>
      <c r="C18" s="321"/>
      <c r="D18" s="319">
        <v>1</v>
      </c>
      <c r="E18" s="322">
        <v>4659.7700000000004</v>
      </c>
      <c r="F18" s="322">
        <v>4659.7700000000004</v>
      </c>
      <c r="G18" s="363">
        <f t="shared" si="0"/>
        <v>5358.7354999999998</v>
      </c>
    </row>
    <row r="19" spans="1:7" ht="12.95" customHeight="1" x14ac:dyDescent="0.2">
      <c r="E19" s="334"/>
      <c r="F19" s="334"/>
      <c r="G19" s="363">
        <f t="shared" si="0"/>
        <v>0</v>
      </c>
    </row>
    <row r="20" spans="1:7" ht="12" customHeight="1" x14ac:dyDescent="0.2">
      <c r="A20" s="319">
        <v>3</v>
      </c>
      <c r="B20" s="320" t="s">
        <v>955</v>
      </c>
      <c r="C20" s="321"/>
      <c r="D20" s="319">
        <v>1</v>
      </c>
      <c r="E20" s="322">
        <v>2460.48</v>
      </c>
      <c r="F20" s="322">
        <v>2460.48</v>
      </c>
      <c r="G20" s="363">
        <f t="shared" si="0"/>
        <v>2829.5519999999997</v>
      </c>
    </row>
    <row r="21" spans="1:7" ht="12.95" customHeight="1" x14ac:dyDescent="0.2">
      <c r="E21" s="334"/>
      <c r="F21" s="334"/>
      <c r="G21" s="363">
        <f t="shared" si="0"/>
        <v>0</v>
      </c>
    </row>
    <row r="22" spans="1:7" ht="12" customHeight="1" x14ac:dyDescent="0.2">
      <c r="A22" s="335">
        <v>4</v>
      </c>
      <c r="B22" s="336" t="s">
        <v>891</v>
      </c>
      <c r="C22" s="337"/>
      <c r="D22" s="335">
        <v>1</v>
      </c>
      <c r="E22" s="338">
        <v>2549.36</v>
      </c>
      <c r="F22" s="338">
        <v>2549.36</v>
      </c>
      <c r="G22" s="363">
        <f t="shared" si="0"/>
        <v>2931.7640000000001</v>
      </c>
    </row>
    <row r="23" spans="1:7" ht="12" customHeight="1" x14ac:dyDescent="0.2">
      <c r="A23" s="337"/>
      <c r="B23" s="337"/>
      <c r="C23" s="339" t="s">
        <v>905</v>
      </c>
      <c r="D23" s="342">
        <v>1</v>
      </c>
      <c r="E23" s="343">
        <v>0.01</v>
      </c>
      <c r="F23" s="343">
        <v>0.01</v>
      </c>
      <c r="G23" s="363">
        <f t="shared" si="0"/>
        <v>1.15E-2</v>
      </c>
    </row>
    <row r="24" spans="1:7" ht="12" customHeight="1" x14ac:dyDescent="0.2">
      <c r="A24" s="337"/>
      <c r="B24" s="337"/>
      <c r="C24" s="339" t="s">
        <v>956</v>
      </c>
      <c r="D24" s="342">
        <v>1</v>
      </c>
      <c r="E24" s="344"/>
      <c r="F24" s="344"/>
      <c r="G24" s="363">
        <f t="shared" si="0"/>
        <v>0</v>
      </c>
    </row>
    <row r="25" spans="1:7" ht="12" customHeight="1" x14ac:dyDescent="0.2">
      <c r="A25" s="337"/>
      <c r="B25" s="337"/>
      <c r="C25" s="339" t="s">
        <v>957</v>
      </c>
      <c r="D25" s="342">
        <v>1</v>
      </c>
      <c r="E25" s="344"/>
      <c r="F25" s="344"/>
      <c r="G25" s="363">
        <f t="shared" si="0"/>
        <v>0</v>
      </c>
    </row>
    <row r="26" spans="1:7" ht="12" customHeight="1" x14ac:dyDescent="0.2">
      <c r="A26" s="337"/>
      <c r="B26" s="337"/>
      <c r="C26" s="339" t="s">
        <v>958</v>
      </c>
      <c r="D26" s="342">
        <v>1</v>
      </c>
      <c r="E26" s="344"/>
      <c r="F26" s="344"/>
      <c r="G26" s="363">
        <f t="shared" si="0"/>
        <v>0</v>
      </c>
    </row>
    <row r="27" spans="1:7" ht="12" customHeight="1" x14ac:dyDescent="0.2">
      <c r="A27" s="337"/>
      <c r="B27" s="337"/>
      <c r="C27" s="339" t="s">
        <v>959</v>
      </c>
      <c r="D27" s="342">
        <v>2</v>
      </c>
      <c r="E27" s="344"/>
      <c r="F27" s="344"/>
      <c r="G27" s="363">
        <f t="shared" si="0"/>
        <v>0</v>
      </c>
    </row>
    <row r="28" spans="1:7" ht="12" customHeight="1" x14ac:dyDescent="0.2">
      <c r="A28" s="337"/>
      <c r="B28" s="337"/>
      <c r="C28" s="339" t="s">
        <v>394</v>
      </c>
      <c r="D28" s="342">
        <v>2</v>
      </c>
      <c r="E28" s="361">
        <v>229.5</v>
      </c>
      <c r="F28" s="342">
        <v>459</v>
      </c>
      <c r="G28" s="363">
        <f t="shared" si="0"/>
        <v>527.84999999999991</v>
      </c>
    </row>
    <row r="29" spans="1:7" ht="12" customHeight="1" x14ac:dyDescent="0.2">
      <c r="A29" s="337"/>
      <c r="B29" s="337"/>
      <c r="C29" s="339" t="s">
        <v>960</v>
      </c>
      <c r="D29" s="342">
        <v>1</v>
      </c>
      <c r="E29" s="344"/>
      <c r="F29" s="344"/>
      <c r="G29" s="363">
        <f t="shared" si="0"/>
        <v>0</v>
      </c>
    </row>
    <row r="30" spans="1:7" ht="12" customHeight="1" x14ac:dyDescent="0.2">
      <c r="A30" s="337"/>
      <c r="B30" s="337"/>
      <c r="C30" s="339" t="s">
        <v>882</v>
      </c>
      <c r="D30" s="342">
        <v>1</v>
      </c>
      <c r="E30" s="344"/>
      <c r="F30" s="344"/>
      <c r="G30" s="363">
        <f t="shared" si="0"/>
        <v>0</v>
      </c>
    </row>
    <row r="31" spans="1:7" ht="12" customHeight="1" x14ac:dyDescent="0.2">
      <c r="A31" s="337"/>
      <c r="B31" s="337"/>
      <c r="C31" s="339" t="s">
        <v>883</v>
      </c>
      <c r="D31" s="342">
        <v>1</v>
      </c>
      <c r="E31" s="362">
        <v>4938.5</v>
      </c>
      <c r="F31" s="362">
        <v>4938.5</v>
      </c>
      <c r="G31" s="363">
        <f t="shared" si="0"/>
        <v>5679.2749999999996</v>
      </c>
    </row>
    <row r="32" spans="1:7" ht="12" customHeight="1" x14ac:dyDescent="0.2">
      <c r="A32" s="337"/>
      <c r="B32" s="337"/>
      <c r="C32" s="339" t="s">
        <v>961</v>
      </c>
      <c r="D32" s="342">
        <v>2</v>
      </c>
      <c r="E32" s="344"/>
      <c r="F32" s="344"/>
      <c r="G32" s="363">
        <f t="shared" si="0"/>
        <v>0</v>
      </c>
    </row>
    <row r="33" spans="1:7" ht="12" customHeight="1" x14ac:dyDescent="0.2">
      <c r="A33" s="337"/>
      <c r="B33" s="337"/>
      <c r="C33" s="339" t="s">
        <v>962</v>
      </c>
      <c r="D33" s="342">
        <v>1</v>
      </c>
      <c r="E33" s="344"/>
      <c r="F33" s="344"/>
      <c r="G33" s="363">
        <f t="shared" si="0"/>
        <v>0</v>
      </c>
    </row>
    <row r="34" spans="1:7" ht="12" customHeight="1" x14ac:dyDescent="0.2">
      <c r="A34" s="337"/>
      <c r="B34" s="337"/>
      <c r="C34" s="339" t="s">
        <v>963</v>
      </c>
      <c r="D34" s="342">
        <v>2</v>
      </c>
      <c r="E34" s="344"/>
      <c r="F34" s="344"/>
      <c r="G34" s="363">
        <f t="shared" si="0"/>
        <v>0</v>
      </c>
    </row>
    <row r="35" spans="1:7" ht="12" customHeight="1" x14ac:dyDescent="0.2">
      <c r="A35" s="337"/>
      <c r="B35" s="337"/>
      <c r="C35" s="339" t="s">
        <v>434</v>
      </c>
      <c r="D35" s="342">
        <v>1</v>
      </c>
      <c r="E35" s="342">
        <v>459</v>
      </c>
      <c r="F35" s="342">
        <v>459</v>
      </c>
      <c r="G35" s="363">
        <f t="shared" si="0"/>
        <v>527.84999999999991</v>
      </c>
    </row>
    <row r="36" spans="1:7" ht="12" customHeight="1" x14ac:dyDescent="0.2">
      <c r="A36" s="337"/>
      <c r="B36" s="337"/>
      <c r="C36" s="339" t="s">
        <v>884</v>
      </c>
      <c r="D36" s="342">
        <v>2</v>
      </c>
      <c r="E36" s="343">
        <v>0.01</v>
      </c>
      <c r="F36" s="343">
        <v>0.02</v>
      </c>
      <c r="G36" s="363">
        <f t="shared" si="0"/>
        <v>2.3E-2</v>
      </c>
    </row>
    <row r="37" spans="1:7" ht="12" customHeight="1" x14ac:dyDescent="0.2">
      <c r="A37" s="337"/>
      <c r="B37" s="337"/>
      <c r="C37" s="339" t="s">
        <v>883</v>
      </c>
      <c r="D37" s="342">
        <v>1</v>
      </c>
      <c r="E37" s="362">
        <v>4938.5</v>
      </c>
      <c r="F37" s="362">
        <v>4938.5</v>
      </c>
      <c r="G37" s="363">
        <f t="shared" si="0"/>
        <v>5679.2749999999996</v>
      </c>
    </row>
    <row r="38" spans="1:7" ht="12" customHeight="1" x14ac:dyDescent="0.2">
      <c r="A38" s="337"/>
      <c r="B38" s="337"/>
      <c r="C38" s="339" t="s">
        <v>964</v>
      </c>
      <c r="D38" s="342">
        <v>1</v>
      </c>
      <c r="E38" s="344"/>
      <c r="F38" s="344"/>
      <c r="G38" s="363">
        <f t="shared" si="0"/>
        <v>0</v>
      </c>
    </row>
    <row r="39" spans="1:7" ht="12.95" customHeight="1" x14ac:dyDescent="0.2">
      <c r="A39" s="346"/>
      <c r="B39" s="346"/>
      <c r="C39" s="346"/>
      <c r="D39" s="346"/>
      <c r="E39" s="347">
        <v>13344.39</v>
      </c>
      <c r="F39" s="347">
        <v>13344.39</v>
      </c>
      <c r="G39" s="363">
        <f t="shared" si="0"/>
        <v>15346.048499999999</v>
      </c>
    </row>
    <row r="40" spans="1:7" ht="12" customHeight="1" x14ac:dyDescent="0.2">
      <c r="A40" s="319">
        <v>5</v>
      </c>
      <c r="B40" s="320" t="s">
        <v>965</v>
      </c>
      <c r="C40" s="321"/>
      <c r="D40" s="319">
        <v>2</v>
      </c>
      <c r="E40" s="322">
        <v>1120.75</v>
      </c>
      <c r="F40" s="332">
        <v>2241.5</v>
      </c>
      <c r="G40" s="363">
        <f t="shared" si="0"/>
        <v>2577.7249999999999</v>
      </c>
    </row>
    <row r="41" spans="1:7" ht="12.95" customHeight="1" x14ac:dyDescent="0.2">
      <c r="E41" s="334"/>
      <c r="F41" s="334"/>
      <c r="G41" s="363">
        <f t="shared" si="0"/>
        <v>0</v>
      </c>
    </row>
    <row r="42" spans="1:7" ht="12" customHeight="1" x14ac:dyDescent="0.2">
      <c r="A42" s="335">
        <v>6</v>
      </c>
      <c r="B42" s="336" t="s">
        <v>892</v>
      </c>
      <c r="C42" s="337"/>
      <c r="D42" s="335">
        <v>1</v>
      </c>
      <c r="E42" s="338">
        <v>2341.52</v>
      </c>
      <c r="F42" s="338">
        <v>2341.52</v>
      </c>
      <c r="G42" s="364">
        <f t="shared" si="0"/>
        <v>2692.7479999999996</v>
      </c>
    </row>
    <row r="43" spans="1:7" ht="12" customHeight="1" x14ac:dyDescent="0.2">
      <c r="A43" s="337"/>
      <c r="B43" s="337"/>
      <c r="C43" s="339" t="s">
        <v>905</v>
      </c>
      <c r="D43" s="342">
        <v>1</v>
      </c>
      <c r="E43" s="343">
        <v>0.01</v>
      </c>
      <c r="F43" s="343">
        <v>0.01</v>
      </c>
      <c r="G43" s="364">
        <f t="shared" si="0"/>
        <v>1.15E-2</v>
      </c>
    </row>
    <row r="44" spans="1:7" ht="12" customHeight="1" x14ac:dyDescent="0.2">
      <c r="A44" s="337"/>
      <c r="B44" s="337"/>
      <c r="C44" s="339" t="s">
        <v>956</v>
      </c>
      <c r="D44" s="342">
        <v>1</v>
      </c>
      <c r="E44" s="344"/>
      <c r="F44" s="344"/>
      <c r="G44" s="364">
        <f t="shared" si="0"/>
        <v>0</v>
      </c>
    </row>
    <row r="45" spans="1:7" ht="12" customHeight="1" x14ac:dyDescent="0.2">
      <c r="A45" s="337"/>
      <c r="B45" s="337"/>
      <c r="C45" s="339" t="s">
        <v>957</v>
      </c>
      <c r="D45" s="342">
        <v>1</v>
      </c>
      <c r="E45" s="344"/>
      <c r="F45" s="344"/>
      <c r="G45" s="364">
        <f t="shared" si="0"/>
        <v>0</v>
      </c>
    </row>
    <row r="46" spans="1:7" ht="12" customHeight="1" x14ac:dyDescent="0.2">
      <c r="A46" s="337"/>
      <c r="B46" s="337"/>
      <c r="C46" s="339" t="s">
        <v>966</v>
      </c>
      <c r="D46" s="342">
        <v>1</v>
      </c>
      <c r="E46" s="344"/>
      <c r="F46" s="344"/>
      <c r="G46" s="364">
        <f t="shared" si="0"/>
        <v>0</v>
      </c>
    </row>
    <row r="47" spans="1:7" ht="12" customHeight="1" x14ac:dyDescent="0.2">
      <c r="A47" s="337"/>
      <c r="B47" s="337"/>
      <c r="C47" s="339" t="s">
        <v>402</v>
      </c>
      <c r="D47" s="342">
        <v>1</v>
      </c>
      <c r="E47" s="342">
        <v>391</v>
      </c>
      <c r="F47" s="342">
        <v>391</v>
      </c>
      <c r="G47" s="364">
        <f t="shared" si="0"/>
        <v>449.65</v>
      </c>
    </row>
    <row r="48" spans="1:7" ht="12" customHeight="1" x14ac:dyDescent="0.2">
      <c r="A48" s="337"/>
      <c r="B48" s="337"/>
      <c r="C48" s="339" t="s">
        <v>394</v>
      </c>
      <c r="D48" s="342">
        <v>2</v>
      </c>
      <c r="E48" s="361">
        <v>229.5</v>
      </c>
      <c r="F48" s="342">
        <v>459</v>
      </c>
      <c r="G48" s="364">
        <f t="shared" si="0"/>
        <v>527.84999999999991</v>
      </c>
    </row>
    <row r="49" spans="1:7" ht="12" customHeight="1" x14ac:dyDescent="0.2">
      <c r="A49" s="337"/>
      <c r="B49" s="337"/>
      <c r="C49" s="339" t="s">
        <v>967</v>
      </c>
      <c r="D49" s="342">
        <v>1</v>
      </c>
      <c r="E49" s="344"/>
      <c r="F49" s="344"/>
      <c r="G49" s="364">
        <f t="shared" si="0"/>
        <v>0</v>
      </c>
    </row>
    <row r="50" spans="1:7" ht="12" customHeight="1" x14ac:dyDescent="0.2">
      <c r="A50" s="337"/>
      <c r="B50" s="337"/>
      <c r="C50" s="339" t="s">
        <v>968</v>
      </c>
      <c r="D50" s="342">
        <v>1</v>
      </c>
      <c r="E50" s="344"/>
      <c r="F50" s="344"/>
      <c r="G50" s="364">
        <f t="shared" si="0"/>
        <v>0</v>
      </c>
    </row>
    <row r="51" spans="1:7" ht="12" customHeight="1" x14ac:dyDescent="0.2">
      <c r="A51" s="337"/>
      <c r="B51" s="337"/>
      <c r="C51" s="339" t="s">
        <v>882</v>
      </c>
      <c r="D51" s="342">
        <v>1</v>
      </c>
      <c r="E51" s="344"/>
      <c r="F51" s="344"/>
      <c r="G51" s="364">
        <f t="shared" si="0"/>
        <v>0</v>
      </c>
    </row>
    <row r="52" spans="1:7" ht="12" customHeight="1" x14ac:dyDescent="0.2">
      <c r="A52" s="337"/>
      <c r="B52" s="337"/>
      <c r="C52" s="339" t="s">
        <v>969</v>
      </c>
      <c r="D52" s="342">
        <v>1</v>
      </c>
      <c r="E52" s="344"/>
      <c r="F52" s="344"/>
      <c r="G52" s="364">
        <f t="shared" si="0"/>
        <v>0</v>
      </c>
    </row>
    <row r="53" spans="1:7" ht="12" customHeight="1" x14ac:dyDescent="0.2">
      <c r="A53" s="337"/>
      <c r="B53" s="337"/>
      <c r="C53" s="339" t="s">
        <v>970</v>
      </c>
      <c r="D53" s="342">
        <v>1</v>
      </c>
      <c r="E53" s="344"/>
      <c r="F53" s="344"/>
      <c r="G53" s="364">
        <f t="shared" si="0"/>
        <v>0</v>
      </c>
    </row>
    <row r="54" spans="1:7" ht="12" customHeight="1" x14ac:dyDescent="0.2">
      <c r="A54" s="337"/>
      <c r="B54" s="337"/>
      <c r="C54" s="339" t="s">
        <v>422</v>
      </c>
      <c r="D54" s="342">
        <v>1</v>
      </c>
      <c r="E54" s="342">
        <v>408</v>
      </c>
      <c r="F54" s="342">
        <v>408</v>
      </c>
      <c r="G54" s="364">
        <f t="shared" si="0"/>
        <v>469.2</v>
      </c>
    </row>
    <row r="55" spans="1:7" ht="12" customHeight="1" x14ac:dyDescent="0.2">
      <c r="A55" s="337"/>
      <c r="B55" s="337"/>
      <c r="C55" s="339" t="s">
        <v>415</v>
      </c>
      <c r="D55" s="342">
        <v>1</v>
      </c>
      <c r="E55" s="361">
        <v>144.5</v>
      </c>
      <c r="F55" s="361">
        <v>144.5</v>
      </c>
      <c r="G55" s="364">
        <f t="shared" si="0"/>
        <v>166.17499999999998</v>
      </c>
    </row>
    <row r="56" spans="1:7" ht="12" customHeight="1" x14ac:dyDescent="0.2">
      <c r="A56" s="337"/>
      <c r="B56" s="337"/>
      <c r="C56" s="339" t="s">
        <v>971</v>
      </c>
      <c r="D56" s="342">
        <v>1</v>
      </c>
      <c r="E56" s="344"/>
      <c r="F56" s="344"/>
      <c r="G56" s="364">
        <f t="shared" si="0"/>
        <v>0</v>
      </c>
    </row>
    <row r="57" spans="1:7" ht="12.95" customHeight="1" x14ac:dyDescent="0.2">
      <c r="A57" s="346"/>
      <c r="B57" s="346"/>
      <c r="C57" s="346"/>
      <c r="D57" s="346"/>
      <c r="E57" s="347">
        <v>3744.03</v>
      </c>
      <c r="F57" s="347">
        <v>3744.03</v>
      </c>
      <c r="G57" s="364">
        <f t="shared" si="0"/>
        <v>4305.6345000000001</v>
      </c>
    </row>
    <row r="58" spans="1:7" ht="12" customHeight="1" x14ac:dyDescent="0.2">
      <c r="A58" s="335">
        <v>7</v>
      </c>
      <c r="B58" s="336" t="s">
        <v>972</v>
      </c>
      <c r="C58" s="337"/>
      <c r="D58" s="335">
        <v>1</v>
      </c>
      <c r="E58" s="365">
        <v>398.65</v>
      </c>
      <c r="F58" s="365">
        <v>398.65</v>
      </c>
      <c r="G58" s="364">
        <f t="shared" si="0"/>
        <v>458.44749999999993</v>
      </c>
    </row>
    <row r="59" spans="1:7" ht="12.95" customHeight="1" x14ac:dyDescent="0.2">
      <c r="E59" s="334"/>
      <c r="F59" s="334"/>
      <c r="G59" s="363">
        <f t="shared" si="0"/>
        <v>0</v>
      </c>
    </row>
    <row r="60" spans="1:7" ht="12" customHeight="1" x14ac:dyDescent="0.2">
      <c r="A60" s="335">
        <v>8</v>
      </c>
      <c r="B60" s="336" t="s">
        <v>893</v>
      </c>
      <c r="C60" s="337"/>
      <c r="D60" s="335">
        <v>1</v>
      </c>
      <c r="E60" s="338">
        <v>2667.94</v>
      </c>
      <c r="F60" s="338">
        <v>2667.94</v>
      </c>
      <c r="G60" s="364">
        <f t="shared" si="0"/>
        <v>3068.1309999999999</v>
      </c>
    </row>
    <row r="61" spans="1:7" ht="12" customHeight="1" x14ac:dyDescent="0.2">
      <c r="A61" s="337"/>
      <c r="B61" s="337"/>
      <c r="C61" s="339" t="s">
        <v>905</v>
      </c>
      <c r="D61" s="342">
        <v>1</v>
      </c>
      <c r="E61" s="343">
        <v>0.01</v>
      </c>
      <c r="F61" s="343">
        <v>0.01</v>
      </c>
      <c r="G61" s="364">
        <f t="shared" si="0"/>
        <v>1.15E-2</v>
      </c>
    </row>
    <row r="62" spans="1:7" ht="12" customHeight="1" x14ac:dyDescent="0.2">
      <c r="A62" s="337"/>
      <c r="B62" s="337"/>
      <c r="C62" s="339" t="s">
        <v>956</v>
      </c>
      <c r="D62" s="342">
        <v>1</v>
      </c>
      <c r="E62" s="344"/>
      <c r="F62" s="344"/>
      <c r="G62" s="364">
        <f t="shared" si="0"/>
        <v>0</v>
      </c>
    </row>
    <row r="63" spans="1:7" ht="12" customHeight="1" x14ac:dyDescent="0.2">
      <c r="A63" s="337"/>
      <c r="B63" s="337"/>
      <c r="C63" s="339" t="s">
        <v>957</v>
      </c>
      <c r="D63" s="342">
        <v>1</v>
      </c>
      <c r="E63" s="344"/>
      <c r="F63" s="344"/>
      <c r="G63" s="364">
        <f t="shared" si="0"/>
        <v>0</v>
      </c>
    </row>
    <row r="64" spans="1:7" ht="12" customHeight="1" x14ac:dyDescent="0.2">
      <c r="A64" s="337"/>
      <c r="B64" s="337"/>
      <c r="C64" s="339" t="s">
        <v>962</v>
      </c>
      <c r="D64" s="342">
        <v>1</v>
      </c>
      <c r="E64" s="344"/>
      <c r="F64" s="344"/>
      <c r="G64" s="364">
        <f t="shared" si="0"/>
        <v>0</v>
      </c>
    </row>
    <row r="65" spans="1:7" ht="12" customHeight="1" x14ac:dyDescent="0.2">
      <c r="A65" s="337"/>
      <c r="B65" s="337"/>
      <c r="C65" s="339" t="s">
        <v>961</v>
      </c>
      <c r="D65" s="342">
        <v>3</v>
      </c>
      <c r="E65" s="344"/>
      <c r="F65" s="344"/>
      <c r="G65" s="364">
        <f t="shared" si="0"/>
        <v>0</v>
      </c>
    </row>
    <row r="66" spans="1:7" ht="12" customHeight="1" x14ac:dyDescent="0.2">
      <c r="A66" s="337"/>
      <c r="B66" s="337"/>
      <c r="C66" s="339" t="s">
        <v>958</v>
      </c>
      <c r="D66" s="342">
        <v>1</v>
      </c>
      <c r="E66" s="344"/>
      <c r="F66" s="344"/>
      <c r="G66" s="364">
        <f t="shared" si="0"/>
        <v>0</v>
      </c>
    </row>
    <row r="67" spans="1:7" ht="12" customHeight="1" x14ac:dyDescent="0.2">
      <c r="A67" s="337"/>
      <c r="B67" s="337"/>
      <c r="C67" s="339" t="s">
        <v>973</v>
      </c>
      <c r="D67" s="342">
        <v>2</v>
      </c>
      <c r="E67" s="344"/>
      <c r="F67" s="344"/>
      <c r="G67" s="364">
        <f t="shared" ref="G67:G130" si="1">F67*1.15</f>
        <v>0</v>
      </c>
    </row>
    <row r="68" spans="1:7" ht="12" customHeight="1" x14ac:dyDescent="0.2">
      <c r="A68" s="337"/>
      <c r="B68" s="337"/>
      <c r="C68" s="339" t="s">
        <v>394</v>
      </c>
      <c r="D68" s="342">
        <v>2</v>
      </c>
      <c r="E68" s="361">
        <v>229.5</v>
      </c>
      <c r="F68" s="342">
        <v>459</v>
      </c>
      <c r="G68" s="364">
        <f t="shared" si="1"/>
        <v>527.84999999999991</v>
      </c>
    </row>
    <row r="69" spans="1:7" ht="12" customHeight="1" x14ac:dyDescent="0.2">
      <c r="A69" s="337"/>
      <c r="B69" s="337"/>
      <c r="C69" s="339" t="s">
        <v>883</v>
      </c>
      <c r="D69" s="342">
        <v>1</v>
      </c>
      <c r="E69" s="362">
        <v>4938.5</v>
      </c>
      <c r="F69" s="362">
        <v>4938.5</v>
      </c>
      <c r="G69" s="364">
        <f t="shared" si="1"/>
        <v>5679.2749999999996</v>
      </c>
    </row>
    <row r="70" spans="1:7" ht="12" customHeight="1" x14ac:dyDescent="0.2">
      <c r="A70" s="337"/>
      <c r="B70" s="337"/>
      <c r="C70" s="339" t="s">
        <v>889</v>
      </c>
      <c r="D70" s="342">
        <v>1</v>
      </c>
      <c r="E70" s="362">
        <v>4037.5</v>
      </c>
      <c r="F70" s="362">
        <v>4037.5</v>
      </c>
      <c r="G70" s="364">
        <f t="shared" si="1"/>
        <v>4643.125</v>
      </c>
    </row>
    <row r="71" spans="1:7" ht="12" customHeight="1" x14ac:dyDescent="0.2">
      <c r="A71" s="337"/>
      <c r="B71" s="337"/>
      <c r="C71" s="339" t="s">
        <v>963</v>
      </c>
      <c r="D71" s="342">
        <v>2</v>
      </c>
      <c r="E71" s="344"/>
      <c r="F71" s="344"/>
      <c r="G71" s="364">
        <f t="shared" si="1"/>
        <v>0</v>
      </c>
    </row>
    <row r="72" spans="1:7" ht="12" customHeight="1" x14ac:dyDescent="0.2">
      <c r="A72" s="337"/>
      <c r="B72" s="337"/>
      <c r="C72" s="339" t="s">
        <v>959</v>
      </c>
      <c r="D72" s="342">
        <v>1</v>
      </c>
      <c r="E72" s="344"/>
      <c r="F72" s="344"/>
      <c r="G72" s="364">
        <f t="shared" si="1"/>
        <v>0</v>
      </c>
    </row>
    <row r="73" spans="1:7" ht="12" customHeight="1" x14ac:dyDescent="0.2">
      <c r="A73" s="337"/>
      <c r="B73" s="337"/>
      <c r="C73" s="339" t="s">
        <v>960</v>
      </c>
      <c r="D73" s="342">
        <v>1</v>
      </c>
      <c r="E73" s="344"/>
      <c r="F73" s="344"/>
      <c r="G73" s="364">
        <f t="shared" si="1"/>
        <v>0</v>
      </c>
    </row>
    <row r="74" spans="1:7" ht="12" customHeight="1" x14ac:dyDescent="0.2">
      <c r="A74" s="337"/>
      <c r="B74" s="337"/>
      <c r="C74" s="339" t="s">
        <v>882</v>
      </c>
      <c r="D74" s="342">
        <v>1</v>
      </c>
      <c r="E74" s="344"/>
      <c r="F74" s="344"/>
      <c r="G74" s="364">
        <f t="shared" si="1"/>
        <v>0</v>
      </c>
    </row>
    <row r="75" spans="1:7" ht="12" customHeight="1" x14ac:dyDescent="0.2">
      <c r="A75" s="337"/>
      <c r="B75" s="337"/>
      <c r="C75" s="339" t="s">
        <v>889</v>
      </c>
      <c r="D75" s="342">
        <v>1</v>
      </c>
      <c r="E75" s="362">
        <v>4037.5</v>
      </c>
      <c r="F75" s="362">
        <v>4037.5</v>
      </c>
      <c r="G75" s="364">
        <f t="shared" si="1"/>
        <v>4643.125</v>
      </c>
    </row>
    <row r="76" spans="1:7" ht="12" customHeight="1" x14ac:dyDescent="0.2">
      <c r="A76" s="337"/>
      <c r="B76" s="337"/>
      <c r="C76" s="339" t="s">
        <v>434</v>
      </c>
      <c r="D76" s="342">
        <v>1</v>
      </c>
      <c r="E76" s="342">
        <v>459</v>
      </c>
      <c r="F76" s="342">
        <v>459</v>
      </c>
      <c r="G76" s="364">
        <f t="shared" si="1"/>
        <v>527.84999999999991</v>
      </c>
    </row>
    <row r="77" spans="1:7" ht="12" customHeight="1" x14ac:dyDescent="0.2">
      <c r="A77" s="337"/>
      <c r="B77" s="337"/>
      <c r="C77" s="339" t="s">
        <v>884</v>
      </c>
      <c r="D77" s="342">
        <v>3</v>
      </c>
      <c r="E77" s="343">
        <v>0.01</v>
      </c>
      <c r="F77" s="343">
        <v>0.03</v>
      </c>
      <c r="G77" s="364">
        <f t="shared" si="1"/>
        <v>3.4499999999999996E-2</v>
      </c>
    </row>
    <row r="78" spans="1:7" ht="12" customHeight="1" x14ac:dyDescent="0.2">
      <c r="A78" s="337"/>
      <c r="B78" s="337"/>
      <c r="C78" s="339" t="s">
        <v>974</v>
      </c>
      <c r="D78" s="342">
        <v>1</v>
      </c>
      <c r="E78" s="344"/>
      <c r="F78" s="344"/>
      <c r="G78" s="364">
        <f t="shared" si="1"/>
        <v>0</v>
      </c>
    </row>
    <row r="79" spans="1:7" ht="12.95" customHeight="1" x14ac:dyDescent="0.2">
      <c r="A79" s="346"/>
      <c r="B79" s="346"/>
      <c r="C79" s="346"/>
      <c r="D79" s="346"/>
      <c r="E79" s="347">
        <v>16599.48</v>
      </c>
      <c r="F79" s="347">
        <v>16599.48</v>
      </c>
      <c r="G79" s="364">
        <f t="shared" si="1"/>
        <v>19089.401999999998</v>
      </c>
    </row>
    <row r="80" spans="1:7" ht="12" customHeight="1" x14ac:dyDescent="0.2">
      <c r="A80" s="319">
        <v>9</v>
      </c>
      <c r="B80" s="320" t="s">
        <v>975</v>
      </c>
      <c r="C80" s="321"/>
      <c r="D80" s="319">
        <v>2</v>
      </c>
      <c r="E80" s="357">
        <v>554.09</v>
      </c>
      <c r="F80" s="322">
        <v>1108.18</v>
      </c>
      <c r="G80" s="363">
        <f t="shared" si="1"/>
        <v>1274.4069999999999</v>
      </c>
    </row>
    <row r="81" spans="1:8" ht="12.95" customHeight="1" x14ac:dyDescent="0.2">
      <c r="E81" s="334"/>
      <c r="F81" s="334"/>
      <c r="G81" s="363">
        <f t="shared" si="1"/>
        <v>0</v>
      </c>
    </row>
    <row r="82" spans="1:8" ht="12" customHeight="1" x14ac:dyDescent="0.2">
      <c r="A82" s="319">
        <v>10</v>
      </c>
      <c r="B82" s="320" t="s">
        <v>965</v>
      </c>
      <c r="C82" s="321"/>
      <c r="D82" s="319">
        <v>1</v>
      </c>
      <c r="E82" s="322">
        <v>1120.75</v>
      </c>
      <c r="F82" s="322">
        <v>1120.75</v>
      </c>
      <c r="G82" s="363">
        <f t="shared" si="1"/>
        <v>1288.8625</v>
      </c>
    </row>
    <row r="83" spans="1:8" ht="12.95" customHeight="1" x14ac:dyDescent="0.2">
      <c r="E83" s="334"/>
      <c r="F83" s="334"/>
      <c r="G83" s="363">
        <f t="shared" si="1"/>
        <v>0</v>
      </c>
    </row>
    <row r="84" spans="1:8" ht="12" customHeight="1" x14ac:dyDescent="0.2">
      <c r="A84" s="319">
        <v>11</v>
      </c>
      <c r="B84" s="320" t="s">
        <v>894</v>
      </c>
      <c r="C84" s="321"/>
      <c r="D84" s="319">
        <v>1</v>
      </c>
      <c r="E84" s="322">
        <v>3118.35</v>
      </c>
      <c r="F84" s="322">
        <v>3118.35</v>
      </c>
      <c r="G84" s="363">
        <f t="shared" si="1"/>
        <v>3586.1024999999995</v>
      </c>
    </row>
    <row r="85" spans="1:8" ht="12" customHeight="1" x14ac:dyDescent="0.2">
      <c r="A85" s="324"/>
      <c r="B85" s="324"/>
      <c r="C85" s="323" t="s">
        <v>406</v>
      </c>
      <c r="D85" s="325">
        <v>1</v>
      </c>
      <c r="E85" s="355">
        <v>25.5</v>
      </c>
      <c r="F85" s="355">
        <v>25.5</v>
      </c>
      <c r="G85" s="363">
        <f t="shared" si="1"/>
        <v>29.324999999999999</v>
      </c>
    </row>
    <row r="86" spans="1:8" ht="12" customHeight="1" x14ac:dyDescent="0.2">
      <c r="A86" s="324"/>
      <c r="B86" s="324"/>
      <c r="C86" s="323" t="s">
        <v>878</v>
      </c>
      <c r="D86" s="325">
        <v>4</v>
      </c>
      <c r="E86" s="326">
        <v>0.01</v>
      </c>
      <c r="F86" s="326">
        <v>0.04</v>
      </c>
      <c r="G86" s="363">
        <f t="shared" si="1"/>
        <v>4.5999999999999999E-2</v>
      </c>
    </row>
    <row r="87" spans="1:8" ht="12" customHeight="1" x14ac:dyDescent="0.2">
      <c r="A87" s="324"/>
      <c r="B87" s="324"/>
      <c r="C87" s="323" t="s">
        <v>879</v>
      </c>
      <c r="D87" s="325">
        <v>2</v>
      </c>
      <c r="E87" s="326">
        <v>0.01</v>
      </c>
      <c r="F87" s="326">
        <v>0.02</v>
      </c>
      <c r="G87" s="363">
        <f t="shared" si="1"/>
        <v>2.3E-2</v>
      </c>
    </row>
    <row r="88" spans="1:8" ht="12" customHeight="1" x14ac:dyDescent="0.2">
      <c r="A88" s="324"/>
      <c r="B88" s="324"/>
      <c r="C88" s="323" t="s">
        <v>666</v>
      </c>
      <c r="D88" s="325">
        <v>2</v>
      </c>
      <c r="E88" s="328">
        <v>1105</v>
      </c>
      <c r="F88" s="328">
        <v>2210</v>
      </c>
      <c r="G88" s="363">
        <f t="shared" si="1"/>
        <v>2541.5</v>
      </c>
      <c r="H88" s="318">
        <f>1300*0.85</f>
        <v>1105</v>
      </c>
    </row>
    <row r="89" spans="1:8" ht="12" customHeight="1" x14ac:dyDescent="0.2">
      <c r="A89" s="324"/>
      <c r="B89" s="324"/>
      <c r="C89" s="323" t="s">
        <v>956</v>
      </c>
      <c r="D89" s="325">
        <v>1</v>
      </c>
      <c r="E89" s="327"/>
      <c r="F89" s="327"/>
      <c r="G89" s="363">
        <f t="shared" si="1"/>
        <v>0</v>
      </c>
    </row>
    <row r="90" spans="1:8" ht="12" customHeight="1" x14ac:dyDescent="0.2">
      <c r="A90" s="324"/>
      <c r="B90" s="324"/>
      <c r="C90" s="323" t="s">
        <v>976</v>
      </c>
      <c r="D90" s="325">
        <v>1</v>
      </c>
      <c r="E90" s="327"/>
      <c r="F90" s="327"/>
      <c r="G90" s="363">
        <f t="shared" si="1"/>
        <v>0</v>
      </c>
    </row>
    <row r="91" spans="1:8" ht="12" customHeight="1" x14ac:dyDescent="0.2">
      <c r="A91" s="324"/>
      <c r="B91" s="324"/>
      <c r="C91" s="323" t="s">
        <v>977</v>
      </c>
      <c r="D91" s="325">
        <v>1</v>
      </c>
      <c r="E91" s="327"/>
      <c r="F91" s="327"/>
      <c r="G91" s="363">
        <f t="shared" si="1"/>
        <v>0</v>
      </c>
    </row>
    <row r="92" spans="1:8" ht="12" customHeight="1" x14ac:dyDescent="0.2">
      <c r="A92" s="324"/>
      <c r="B92" s="324"/>
      <c r="C92" s="323" t="s">
        <v>882</v>
      </c>
      <c r="D92" s="325">
        <v>1</v>
      </c>
      <c r="E92" s="327"/>
      <c r="F92" s="327"/>
      <c r="G92" s="363">
        <f t="shared" si="1"/>
        <v>0</v>
      </c>
    </row>
    <row r="93" spans="1:8" ht="12" customHeight="1" x14ac:dyDescent="0.2">
      <c r="A93" s="324"/>
      <c r="B93" s="324"/>
      <c r="C93" s="323" t="s">
        <v>403</v>
      </c>
      <c r="D93" s="325">
        <v>1</v>
      </c>
      <c r="E93" s="355">
        <v>688.5</v>
      </c>
      <c r="F93" s="355">
        <v>688.5</v>
      </c>
      <c r="G93" s="363">
        <f t="shared" si="1"/>
        <v>791.77499999999998</v>
      </c>
    </row>
    <row r="94" spans="1:8" ht="12" customHeight="1" x14ac:dyDescent="0.2">
      <c r="A94" s="324"/>
      <c r="B94" s="324"/>
      <c r="C94" s="323" t="s">
        <v>394</v>
      </c>
      <c r="D94" s="325">
        <v>3</v>
      </c>
      <c r="E94" s="355">
        <v>229.5</v>
      </c>
      <c r="F94" s="355">
        <v>688.5</v>
      </c>
      <c r="G94" s="363">
        <f t="shared" si="1"/>
        <v>791.77499999999998</v>
      </c>
    </row>
    <row r="95" spans="1:8" ht="12" customHeight="1" x14ac:dyDescent="0.2">
      <c r="A95" s="324"/>
      <c r="B95" s="324"/>
      <c r="C95" s="323" t="s">
        <v>978</v>
      </c>
      <c r="D95" s="325">
        <v>1</v>
      </c>
      <c r="E95" s="327"/>
      <c r="F95" s="327"/>
      <c r="G95" s="363">
        <f t="shared" si="1"/>
        <v>0</v>
      </c>
    </row>
    <row r="96" spans="1:8" ht="12" customHeight="1" x14ac:dyDescent="0.2">
      <c r="A96" s="324"/>
      <c r="B96" s="324"/>
      <c r="C96" s="323" t="s">
        <v>979</v>
      </c>
      <c r="D96" s="325">
        <v>2</v>
      </c>
      <c r="E96" s="327"/>
      <c r="F96" s="327"/>
      <c r="G96" s="363">
        <f t="shared" si="1"/>
        <v>0</v>
      </c>
    </row>
    <row r="97" spans="1:9" ht="12" customHeight="1" x14ac:dyDescent="0.2">
      <c r="A97" s="324"/>
      <c r="B97" s="324"/>
      <c r="C97" s="323" t="s">
        <v>980</v>
      </c>
      <c r="D97" s="325">
        <v>1</v>
      </c>
      <c r="E97" s="327"/>
      <c r="F97" s="327"/>
      <c r="G97" s="363">
        <f t="shared" si="1"/>
        <v>0</v>
      </c>
    </row>
    <row r="98" spans="1:9" ht="12" customHeight="1" x14ac:dyDescent="0.2">
      <c r="A98" s="324"/>
      <c r="B98" s="324"/>
      <c r="C98" s="323" t="s">
        <v>981</v>
      </c>
      <c r="D98" s="325">
        <v>1</v>
      </c>
      <c r="E98" s="327"/>
      <c r="F98" s="327"/>
      <c r="G98" s="363">
        <f t="shared" si="1"/>
        <v>0</v>
      </c>
    </row>
    <row r="99" spans="1:9" ht="12" customHeight="1" x14ac:dyDescent="0.2">
      <c r="A99" s="324"/>
      <c r="B99" s="324"/>
      <c r="C99" s="323" t="s">
        <v>957</v>
      </c>
      <c r="D99" s="325">
        <v>1</v>
      </c>
      <c r="E99" s="327"/>
      <c r="F99" s="327"/>
      <c r="G99" s="363">
        <f t="shared" si="1"/>
        <v>0</v>
      </c>
    </row>
    <row r="100" spans="1:9" s="341" customFormat="1" ht="12" customHeight="1" x14ac:dyDescent="0.2">
      <c r="A100" s="337"/>
      <c r="B100" s="337"/>
      <c r="C100" s="339" t="s">
        <v>906</v>
      </c>
      <c r="D100" s="342">
        <v>1</v>
      </c>
      <c r="E100" s="343">
        <v>892.98</v>
      </c>
      <c r="F100" s="343">
        <v>892.98</v>
      </c>
      <c r="G100" s="364">
        <f t="shared" si="1"/>
        <v>1026.9269999999999</v>
      </c>
      <c r="I100" s="341">
        <f>1017*535/1000000</f>
        <v>0.544095</v>
      </c>
    </row>
    <row r="101" spans="1:9" ht="12" customHeight="1" x14ac:dyDescent="0.2">
      <c r="A101" s="324"/>
      <c r="B101" s="324"/>
      <c r="C101" s="323" t="s">
        <v>677</v>
      </c>
      <c r="D101" s="325">
        <v>1</v>
      </c>
      <c r="E101" s="326">
        <v>0.01</v>
      </c>
      <c r="F101" s="326">
        <v>0.01</v>
      </c>
      <c r="G101" s="363">
        <f t="shared" si="1"/>
        <v>1.15E-2</v>
      </c>
    </row>
    <row r="102" spans="1:9" ht="12" customHeight="1" x14ac:dyDescent="0.2">
      <c r="A102" s="324"/>
      <c r="B102" s="324"/>
      <c r="C102" s="323" t="s">
        <v>982</v>
      </c>
      <c r="D102" s="325">
        <v>2</v>
      </c>
      <c r="E102" s="327"/>
      <c r="F102" s="327"/>
      <c r="G102" s="363">
        <f t="shared" si="1"/>
        <v>0</v>
      </c>
    </row>
    <row r="103" spans="1:9" ht="12" customHeight="1" x14ac:dyDescent="0.2">
      <c r="A103" s="324"/>
      <c r="B103" s="324"/>
      <c r="C103" s="323" t="s">
        <v>442</v>
      </c>
      <c r="D103" s="325">
        <v>1</v>
      </c>
      <c r="E103" s="325">
        <v>17</v>
      </c>
      <c r="F103" s="325">
        <v>17</v>
      </c>
      <c r="G103" s="363">
        <f t="shared" si="1"/>
        <v>19.549999999999997</v>
      </c>
    </row>
    <row r="104" spans="1:9" ht="12.95" customHeight="1" x14ac:dyDescent="0.2">
      <c r="E104" s="330">
        <v>7640.92</v>
      </c>
      <c r="F104" s="330">
        <v>7640.92</v>
      </c>
      <c r="G104" s="363">
        <f t="shared" si="1"/>
        <v>8787.0579999999991</v>
      </c>
    </row>
    <row r="105" spans="1:9" ht="12" customHeight="1" x14ac:dyDescent="0.2">
      <c r="A105" s="319">
        <v>12</v>
      </c>
      <c r="B105" s="320" t="s">
        <v>983</v>
      </c>
      <c r="C105" s="321"/>
      <c r="D105" s="319">
        <v>1</v>
      </c>
      <c r="E105" s="332">
        <v>1407.3</v>
      </c>
      <c r="F105" s="332">
        <v>1407.3</v>
      </c>
      <c r="G105" s="363">
        <f t="shared" si="1"/>
        <v>1618.3949999999998</v>
      </c>
    </row>
    <row r="106" spans="1:9" ht="12.95" customHeight="1" x14ac:dyDescent="0.2">
      <c r="E106" s="334"/>
      <c r="F106" s="334"/>
      <c r="G106" s="363">
        <f t="shared" si="1"/>
        <v>0</v>
      </c>
    </row>
    <row r="107" spans="1:9" ht="12" customHeight="1" x14ac:dyDescent="0.2">
      <c r="A107" s="319">
        <v>13</v>
      </c>
      <c r="B107" s="320" t="s">
        <v>955</v>
      </c>
      <c r="C107" s="321"/>
      <c r="D107" s="319">
        <v>1</v>
      </c>
      <c r="E107" s="322">
        <v>2460.48</v>
      </c>
      <c r="F107" s="322">
        <v>2460.48</v>
      </c>
      <c r="G107" s="363">
        <f t="shared" si="1"/>
        <v>2829.5519999999997</v>
      </c>
    </row>
    <row r="108" spans="1:9" ht="12.95" customHeight="1" x14ac:dyDescent="0.2">
      <c r="E108" s="334"/>
      <c r="F108" s="334"/>
      <c r="G108" s="363">
        <f t="shared" si="1"/>
        <v>0</v>
      </c>
    </row>
    <row r="109" spans="1:9" ht="12" customHeight="1" x14ac:dyDescent="0.2">
      <c r="A109" s="319">
        <v>14</v>
      </c>
      <c r="B109" s="320" t="s">
        <v>895</v>
      </c>
      <c r="C109" s="321"/>
      <c r="D109" s="319">
        <v>1</v>
      </c>
      <c r="E109" s="322">
        <v>1580.28</v>
      </c>
      <c r="F109" s="322">
        <v>1580.28</v>
      </c>
      <c r="G109" s="363">
        <f t="shared" si="1"/>
        <v>1817.3219999999999</v>
      </c>
    </row>
    <row r="110" spans="1:9" ht="12" customHeight="1" x14ac:dyDescent="0.2">
      <c r="A110" s="324"/>
      <c r="B110" s="324"/>
      <c r="C110" s="323" t="s">
        <v>905</v>
      </c>
      <c r="D110" s="325">
        <v>1</v>
      </c>
      <c r="E110" s="326">
        <v>0.01</v>
      </c>
      <c r="F110" s="326">
        <v>0.01</v>
      </c>
      <c r="G110" s="363">
        <f t="shared" si="1"/>
        <v>1.15E-2</v>
      </c>
    </row>
    <row r="111" spans="1:9" ht="12" customHeight="1" x14ac:dyDescent="0.2">
      <c r="A111" s="324"/>
      <c r="B111" s="324"/>
      <c r="C111" s="323" t="s">
        <v>956</v>
      </c>
      <c r="D111" s="325">
        <v>1</v>
      </c>
      <c r="E111" s="327"/>
      <c r="F111" s="327"/>
      <c r="G111" s="363">
        <f t="shared" si="1"/>
        <v>0</v>
      </c>
    </row>
    <row r="112" spans="1:9" ht="12" customHeight="1" x14ac:dyDescent="0.2">
      <c r="A112" s="324"/>
      <c r="B112" s="324"/>
      <c r="C112" s="323" t="s">
        <v>957</v>
      </c>
      <c r="D112" s="325">
        <v>1</v>
      </c>
      <c r="E112" s="327"/>
      <c r="F112" s="327"/>
      <c r="G112" s="363">
        <f t="shared" si="1"/>
        <v>0</v>
      </c>
    </row>
    <row r="113" spans="1:7" ht="12" customHeight="1" x14ac:dyDescent="0.2">
      <c r="A113" s="324"/>
      <c r="B113" s="324"/>
      <c r="C113" s="323" t="s">
        <v>984</v>
      </c>
      <c r="D113" s="325">
        <v>1</v>
      </c>
      <c r="E113" s="327"/>
      <c r="F113" s="327"/>
      <c r="G113" s="363">
        <f t="shared" si="1"/>
        <v>0</v>
      </c>
    </row>
    <row r="114" spans="1:7" ht="12" customHeight="1" x14ac:dyDescent="0.2">
      <c r="A114" s="324"/>
      <c r="B114" s="324"/>
      <c r="C114" s="323" t="s">
        <v>960</v>
      </c>
      <c r="D114" s="325">
        <v>1</v>
      </c>
      <c r="E114" s="327"/>
      <c r="F114" s="327"/>
      <c r="G114" s="363">
        <f t="shared" si="1"/>
        <v>0</v>
      </c>
    </row>
    <row r="115" spans="1:7" ht="12" customHeight="1" x14ac:dyDescent="0.2">
      <c r="A115" s="324"/>
      <c r="B115" s="324"/>
      <c r="C115" s="323" t="s">
        <v>985</v>
      </c>
      <c r="D115" s="325">
        <v>1</v>
      </c>
      <c r="E115" s="327"/>
      <c r="F115" s="327"/>
      <c r="G115" s="363">
        <f t="shared" si="1"/>
        <v>0</v>
      </c>
    </row>
    <row r="116" spans="1:7" ht="12" customHeight="1" x14ac:dyDescent="0.2">
      <c r="A116" s="324"/>
      <c r="B116" s="324"/>
      <c r="C116" s="323" t="s">
        <v>382</v>
      </c>
      <c r="D116" s="325">
        <v>1</v>
      </c>
      <c r="E116" s="325">
        <v>459</v>
      </c>
      <c r="F116" s="325">
        <v>459</v>
      </c>
      <c r="G116" s="363">
        <f t="shared" si="1"/>
        <v>527.84999999999991</v>
      </c>
    </row>
    <row r="117" spans="1:7" ht="12" customHeight="1" x14ac:dyDescent="0.2">
      <c r="A117" s="324"/>
      <c r="B117" s="324"/>
      <c r="C117" s="323" t="s">
        <v>986</v>
      </c>
      <c r="D117" s="325">
        <v>2</v>
      </c>
      <c r="E117" s="327"/>
      <c r="F117" s="327"/>
      <c r="G117" s="363">
        <f t="shared" si="1"/>
        <v>0</v>
      </c>
    </row>
    <row r="118" spans="1:7" ht="12" customHeight="1" x14ac:dyDescent="0.2">
      <c r="A118" s="324"/>
      <c r="B118" s="324"/>
      <c r="C118" s="323" t="s">
        <v>394</v>
      </c>
      <c r="D118" s="325">
        <v>1</v>
      </c>
      <c r="E118" s="355">
        <v>229.5</v>
      </c>
      <c r="F118" s="355">
        <v>229.5</v>
      </c>
      <c r="G118" s="363">
        <f t="shared" si="1"/>
        <v>263.92499999999995</v>
      </c>
    </row>
    <row r="119" spans="1:7" ht="12" customHeight="1" x14ac:dyDescent="0.2">
      <c r="A119" s="324"/>
      <c r="B119" s="324"/>
      <c r="C119" s="323" t="s">
        <v>882</v>
      </c>
      <c r="D119" s="325">
        <v>1</v>
      </c>
      <c r="E119" s="327"/>
      <c r="F119" s="327"/>
      <c r="G119" s="363">
        <f t="shared" si="1"/>
        <v>0</v>
      </c>
    </row>
    <row r="120" spans="1:7" ht="12" customHeight="1" x14ac:dyDescent="0.2">
      <c r="A120" s="324"/>
      <c r="B120" s="324"/>
      <c r="C120" s="323" t="s">
        <v>656</v>
      </c>
      <c r="D120" s="325">
        <v>1</v>
      </c>
      <c r="E120" s="328">
        <v>9826</v>
      </c>
      <c r="F120" s="328">
        <v>9826</v>
      </c>
      <c r="G120" s="363">
        <f t="shared" si="1"/>
        <v>11299.9</v>
      </c>
    </row>
    <row r="121" spans="1:7" ht="12.95" customHeight="1" x14ac:dyDescent="0.2">
      <c r="E121" s="330">
        <v>12094.79</v>
      </c>
      <c r="F121" s="330">
        <v>12094.79</v>
      </c>
      <c r="G121" s="363">
        <f t="shared" si="1"/>
        <v>13909.0085</v>
      </c>
    </row>
    <row r="122" spans="1:7" ht="12" customHeight="1" x14ac:dyDescent="0.2">
      <c r="A122" s="319">
        <v>15</v>
      </c>
      <c r="B122" s="320" t="s">
        <v>987</v>
      </c>
      <c r="C122" s="321"/>
      <c r="D122" s="319">
        <v>1</v>
      </c>
      <c r="E122" s="357">
        <v>602.76</v>
      </c>
      <c r="F122" s="357">
        <v>602.76</v>
      </c>
      <c r="G122" s="363">
        <f t="shared" si="1"/>
        <v>693.17399999999998</v>
      </c>
    </row>
    <row r="123" spans="1:7" ht="12.95" customHeight="1" x14ac:dyDescent="0.2">
      <c r="E123" s="334"/>
      <c r="F123" s="334"/>
      <c r="G123" s="363">
        <f t="shared" si="1"/>
        <v>0</v>
      </c>
    </row>
    <row r="124" spans="1:7" ht="12" customHeight="1" x14ac:dyDescent="0.2">
      <c r="A124" s="319">
        <v>16</v>
      </c>
      <c r="B124" s="320" t="s">
        <v>896</v>
      </c>
      <c r="C124" s="321"/>
      <c r="D124" s="319">
        <v>1</v>
      </c>
      <c r="E124" s="322">
        <v>2126.7600000000002</v>
      </c>
      <c r="F124" s="322">
        <v>2126.7600000000002</v>
      </c>
      <c r="G124" s="363">
        <f t="shared" si="1"/>
        <v>2445.7739999999999</v>
      </c>
    </row>
    <row r="125" spans="1:7" ht="12" customHeight="1" x14ac:dyDescent="0.2">
      <c r="A125" s="324"/>
      <c r="B125" s="324"/>
      <c r="C125" s="323" t="s">
        <v>905</v>
      </c>
      <c r="D125" s="325">
        <v>1</v>
      </c>
      <c r="E125" s="326">
        <v>0.01</v>
      </c>
      <c r="F125" s="326">
        <v>0.01</v>
      </c>
      <c r="G125" s="363">
        <f t="shared" si="1"/>
        <v>1.15E-2</v>
      </c>
    </row>
    <row r="126" spans="1:7" ht="12" customHeight="1" x14ac:dyDescent="0.2">
      <c r="A126" s="324"/>
      <c r="B126" s="324"/>
      <c r="C126" s="323" t="s">
        <v>879</v>
      </c>
      <c r="D126" s="325">
        <v>2</v>
      </c>
      <c r="E126" s="326">
        <v>0.01</v>
      </c>
      <c r="F126" s="326">
        <v>0.02</v>
      </c>
      <c r="G126" s="363">
        <f t="shared" si="1"/>
        <v>2.3E-2</v>
      </c>
    </row>
    <row r="127" spans="1:7" ht="12" customHeight="1" x14ac:dyDescent="0.2">
      <c r="A127" s="324"/>
      <c r="B127" s="324"/>
      <c r="C127" s="323" t="s">
        <v>488</v>
      </c>
      <c r="D127" s="325">
        <v>1</v>
      </c>
      <c r="E127" s="328">
        <v>5168</v>
      </c>
      <c r="F127" s="328">
        <v>5168</v>
      </c>
      <c r="G127" s="363">
        <f t="shared" si="1"/>
        <v>5943.2</v>
      </c>
    </row>
    <row r="128" spans="1:7" ht="12" customHeight="1" x14ac:dyDescent="0.2">
      <c r="A128" s="324"/>
      <c r="B128" s="324"/>
      <c r="C128" s="323" t="s">
        <v>988</v>
      </c>
      <c r="D128" s="325">
        <v>1</v>
      </c>
      <c r="E128" s="327"/>
      <c r="F128" s="327"/>
      <c r="G128" s="363">
        <f t="shared" si="1"/>
        <v>0</v>
      </c>
    </row>
    <row r="129" spans="1:7" ht="12" customHeight="1" x14ac:dyDescent="0.2">
      <c r="A129" s="324"/>
      <c r="B129" s="324"/>
      <c r="C129" s="323" t="s">
        <v>989</v>
      </c>
      <c r="D129" s="325">
        <v>1</v>
      </c>
      <c r="E129" s="327"/>
      <c r="F129" s="327"/>
      <c r="G129" s="363">
        <f t="shared" si="1"/>
        <v>0</v>
      </c>
    </row>
    <row r="130" spans="1:7" ht="12" customHeight="1" x14ac:dyDescent="0.2">
      <c r="A130" s="324"/>
      <c r="B130" s="324"/>
      <c r="C130" s="323" t="s">
        <v>887</v>
      </c>
      <c r="D130" s="325">
        <v>1</v>
      </c>
      <c r="E130" s="327"/>
      <c r="F130" s="327"/>
      <c r="G130" s="363">
        <f t="shared" si="1"/>
        <v>0</v>
      </c>
    </row>
    <row r="131" spans="1:7" ht="12" customHeight="1" x14ac:dyDescent="0.2">
      <c r="A131" s="324"/>
      <c r="B131" s="324"/>
      <c r="C131" s="323" t="s">
        <v>966</v>
      </c>
      <c r="D131" s="325">
        <v>1</v>
      </c>
      <c r="E131" s="327"/>
      <c r="F131" s="327"/>
      <c r="G131" s="363">
        <f t="shared" ref="G131:G194" si="2">F131*1.15</f>
        <v>0</v>
      </c>
    </row>
    <row r="132" spans="1:7" ht="12" customHeight="1" x14ac:dyDescent="0.2">
      <c r="A132" s="324"/>
      <c r="B132" s="324"/>
      <c r="C132" s="323" t="s">
        <v>990</v>
      </c>
      <c r="D132" s="325">
        <v>1</v>
      </c>
      <c r="E132" s="327"/>
      <c r="F132" s="327"/>
      <c r="G132" s="363">
        <f t="shared" si="2"/>
        <v>0</v>
      </c>
    </row>
    <row r="133" spans="1:7" ht="12" customHeight="1" x14ac:dyDescent="0.2">
      <c r="A133" s="324"/>
      <c r="B133" s="324"/>
      <c r="C133" s="323" t="s">
        <v>991</v>
      </c>
      <c r="D133" s="325">
        <v>1</v>
      </c>
      <c r="E133" s="327"/>
      <c r="F133" s="327"/>
      <c r="G133" s="363">
        <f t="shared" si="2"/>
        <v>0</v>
      </c>
    </row>
    <row r="134" spans="1:7" ht="12" customHeight="1" x14ac:dyDescent="0.2">
      <c r="A134" s="324"/>
      <c r="B134" s="324"/>
      <c r="C134" s="323" t="s">
        <v>992</v>
      </c>
      <c r="D134" s="325">
        <v>1</v>
      </c>
      <c r="E134" s="327"/>
      <c r="F134" s="327"/>
      <c r="G134" s="363">
        <f t="shared" si="2"/>
        <v>0</v>
      </c>
    </row>
    <row r="135" spans="1:7" ht="12" customHeight="1" x14ac:dyDescent="0.2">
      <c r="A135" s="324"/>
      <c r="B135" s="324"/>
      <c r="C135" s="323" t="s">
        <v>382</v>
      </c>
      <c r="D135" s="325">
        <v>1</v>
      </c>
      <c r="E135" s="325">
        <v>459</v>
      </c>
      <c r="F135" s="325">
        <v>459</v>
      </c>
      <c r="G135" s="363">
        <f t="shared" si="2"/>
        <v>527.84999999999991</v>
      </c>
    </row>
    <row r="136" spans="1:7" ht="12" customHeight="1" x14ac:dyDescent="0.2">
      <c r="A136" s="324"/>
      <c r="B136" s="324"/>
      <c r="C136" s="323" t="s">
        <v>432</v>
      </c>
      <c r="D136" s="325">
        <v>1</v>
      </c>
      <c r="E136" s="355">
        <v>178.5</v>
      </c>
      <c r="F136" s="355">
        <v>178.5</v>
      </c>
      <c r="G136" s="363">
        <f t="shared" si="2"/>
        <v>205.27499999999998</v>
      </c>
    </row>
    <row r="137" spans="1:7" ht="12" customHeight="1" x14ac:dyDescent="0.2">
      <c r="A137" s="324"/>
      <c r="B137" s="324"/>
      <c r="C137" s="323" t="s">
        <v>439</v>
      </c>
      <c r="D137" s="325">
        <v>1</v>
      </c>
      <c r="E137" s="325">
        <v>17</v>
      </c>
      <c r="F137" s="325">
        <v>17</v>
      </c>
      <c r="G137" s="363">
        <f t="shared" si="2"/>
        <v>19.549999999999997</v>
      </c>
    </row>
    <row r="138" spans="1:7" ht="12.95" customHeight="1" x14ac:dyDescent="0.2">
      <c r="E138" s="330">
        <v>7949.29</v>
      </c>
      <c r="F138" s="330">
        <v>7949.29</v>
      </c>
      <c r="G138" s="363">
        <f t="shared" si="2"/>
        <v>9141.6834999999992</v>
      </c>
    </row>
    <row r="139" spans="1:7" ht="12" customHeight="1" x14ac:dyDescent="0.2">
      <c r="A139" s="319">
        <v>17</v>
      </c>
      <c r="B139" s="320" t="s">
        <v>993</v>
      </c>
      <c r="C139" s="321"/>
      <c r="D139" s="319">
        <v>1</v>
      </c>
      <c r="E139" s="322">
        <v>1223.3800000000001</v>
      </c>
      <c r="F139" s="322">
        <v>1223.3800000000001</v>
      </c>
      <c r="G139" s="363">
        <f t="shared" si="2"/>
        <v>1406.8869999999999</v>
      </c>
    </row>
    <row r="140" spans="1:7" ht="12.95" customHeight="1" x14ac:dyDescent="0.2">
      <c r="E140" s="334"/>
      <c r="F140" s="334"/>
      <c r="G140" s="363">
        <f t="shared" si="2"/>
        <v>0</v>
      </c>
    </row>
    <row r="141" spans="1:7" ht="12" customHeight="1" x14ac:dyDescent="0.2">
      <c r="A141" s="319">
        <v>18</v>
      </c>
      <c r="B141" s="320" t="s">
        <v>897</v>
      </c>
      <c r="C141" s="321"/>
      <c r="D141" s="319">
        <v>1</v>
      </c>
      <c r="E141" s="322">
        <v>1122.43</v>
      </c>
      <c r="F141" s="322">
        <v>1122.43</v>
      </c>
      <c r="G141" s="363">
        <f t="shared" si="2"/>
        <v>1290.7945</v>
      </c>
    </row>
    <row r="142" spans="1:7" ht="12" customHeight="1" x14ac:dyDescent="0.2">
      <c r="A142" s="324"/>
      <c r="B142" s="324"/>
      <c r="C142" s="323" t="s">
        <v>905</v>
      </c>
      <c r="D142" s="325">
        <v>1</v>
      </c>
      <c r="E142" s="326">
        <v>0.01</v>
      </c>
      <c r="F142" s="326">
        <v>0.01</v>
      </c>
      <c r="G142" s="363">
        <f t="shared" si="2"/>
        <v>1.15E-2</v>
      </c>
    </row>
    <row r="143" spans="1:7" ht="12" customHeight="1" x14ac:dyDescent="0.2">
      <c r="A143" s="324"/>
      <c r="B143" s="324"/>
      <c r="C143" s="323" t="s">
        <v>879</v>
      </c>
      <c r="D143" s="325">
        <v>2</v>
      </c>
      <c r="E143" s="326">
        <v>0.01</v>
      </c>
      <c r="F143" s="326">
        <v>0.02</v>
      </c>
      <c r="G143" s="363">
        <f t="shared" si="2"/>
        <v>2.3E-2</v>
      </c>
    </row>
    <row r="144" spans="1:7" ht="12" customHeight="1" x14ac:dyDescent="0.2">
      <c r="A144" s="324"/>
      <c r="B144" s="324"/>
      <c r="C144" s="323" t="s">
        <v>488</v>
      </c>
      <c r="D144" s="325">
        <v>1</v>
      </c>
      <c r="E144" s="328">
        <v>5168</v>
      </c>
      <c r="F144" s="328">
        <v>5168</v>
      </c>
      <c r="G144" s="363">
        <f t="shared" si="2"/>
        <v>5943.2</v>
      </c>
    </row>
    <row r="145" spans="1:7" ht="12" customHeight="1" x14ac:dyDescent="0.2">
      <c r="A145" s="324"/>
      <c r="B145" s="324"/>
      <c r="C145" s="323" t="s">
        <v>994</v>
      </c>
      <c r="D145" s="325">
        <v>1</v>
      </c>
      <c r="E145" s="327"/>
      <c r="F145" s="327"/>
      <c r="G145" s="363">
        <f t="shared" si="2"/>
        <v>0</v>
      </c>
    </row>
    <row r="146" spans="1:7" ht="12" customHeight="1" x14ac:dyDescent="0.2">
      <c r="A146" s="324"/>
      <c r="B146" s="324"/>
      <c r="C146" s="323" t="s">
        <v>995</v>
      </c>
      <c r="D146" s="325">
        <v>1</v>
      </c>
      <c r="E146" s="327"/>
      <c r="F146" s="327"/>
      <c r="G146" s="363">
        <f t="shared" si="2"/>
        <v>0</v>
      </c>
    </row>
    <row r="147" spans="1:7" ht="12" customHeight="1" x14ac:dyDescent="0.2">
      <c r="A147" s="324"/>
      <c r="B147" s="324"/>
      <c r="C147" s="323" t="s">
        <v>996</v>
      </c>
      <c r="D147" s="325">
        <v>1</v>
      </c>
      <c r="E147" s="327"/>
      <c r="F147" s="327"/>
      <c r="G147" s="363">
        <f t="shared" si="2"/>
        <v>0</v>
      </c>
    </row>
    <row r="148" spans="1:7" ht="12" customHeight="1" x14ac:dyDescent="0.2">
      <c r="A148" s="324"/>
      <c r="B148" s="324"/>
      <c r="C148" s="323" t="s">
        <v>997</v>
      </c>
      <c r="D148" s="325">
        <v>1</v>
      </c>
      <c r="E148" s="327"/>
      <c r="F148" s="327"/>
      <c r="G148" s="363">
        <f t="shared" si="2"/>
        <v>0</v>
      </c>
    </row>
    <row r="149" spans="1:7" ht="12" customHeight="1" x14ac:dyDescent="0.2">
      <c r="A149" s="324"/>
      <c r="B149" s="324"/>
      <c r="C149" s="323" t="s">
        <v>998</v>
      </c>
      <c r="D149" s="325">
        <v>1</v>
      </c>
      <c r="E149" s="327"/>
      <c r="F149" s="327"/>
      <c r="G149" s="363">
        <f t="shared" si="2"/>
        <v>0</v>
      </c>
    </row>
    <row r="150" spans="1:7" ht="12" customHeight="1" x14ac:dyDescent="0.2">
      <c r="A150" s="324"/>
      <c r="B150" s="324"/>
      <c r="C150" s="323" t="s">
        <v>991</v>
      </c>
      <c r="D150" s="325">
        <v>1</v>
      </c>
      <c r="E150" s="327"/>
      <c r="F150" s="327"/>
      <c r="G150" s="363">
        <f t="shared" si="2"/>
        <v>0</v>
      </c>
    </row>
    <row r="151" spans="1:7" ht="12" customHeight="1" x14ac:dyDescent="0.2">
      <c r="A151" s="324"/>
      <c r="B151" s="324"/>
      <c r="C151" s="323" t="s">
        <v>999</v>
      </c>
      <c r="D151" s="325">
        <v>1</v>
      </c>
      <c r="E151" s="327"/>
      <c r="F151" s="327"/>
      <c r="G151" s="363">
        <f t="shared" si="2"/>
        <v>0</v>
      </c>
    </row>
    <row r="152" spans="1:7" ht="12" customHeight="1" x14ac:dyDescent="0.2">
      <c r="A152" s="324"/>
      <c r="B152" s="324"/>
      <c r="C152" s="323" t="s">
        <v>382</v>
      </c>
      <c r="D152" s="325">
        <v>1</v>
      </c>
      <c r="E152" s="325">
        <v>459</v>
      </c>
      <c r="F152" s="325">
        <v>459</v>
      </c>
      <c r="G152" s="363">
        <f t="shared" si="2"/>
        <v>527.84999999999991</v>
      </c>
    </row>
    <row r="153" spans="1:7" ht="12" customHeight="1" x14ac:dyDescent="0.2">
      <c r="A153" s="324"/>
      <c r="B153" s="324"/>
      <c r="C153" s="323" t="s">
        <v>432</v>
      </c>
      <c r="D153" s="325">
        <v>1</v>
      </c>
      <c r="E153" s="355">
        <v>178.5</v>
      </c>
      <c r="F153" s="355">
        <v>178.5</v>
      </c>
      <c r="G153" s="363">
        <f t="shared" si="2"/>
        <v>205.27499999999998</v>
      </c>
    </row>
    <row r="154" spans="1:7" ht="12" customHeight="1" x14ac:dyDescent="0.2">
      <c r="A154" s="324"/>
      <c r="B154" s="324"/>
      <c r="C154" s="323" t="s">
        <v>439</v>
      </c>
      <c r="D154" s="325">
        <v>1</v>
      </c>
      <c r="E154" s="325">
        <v>17</v>
      </c>
      <c r="F154" s="325">
        <v>17</v>
      </c>
      <c r="G154" s="363">
        <f t="shared" si="2"/>
        <v>19.549999999999997</v>
      </c>
    </row>
    <row r="155" spans="1:7" ht="12.95" customHeight="1" x14ac:dyDescent="0.2">
      <c r="E155" s="330">
        <v>6944.96</v>
      </c>
      <c r="F155" s="330">
        <v>6944.96</v>
      </c>
      <c r="G155" s="363">
        <f t="shared" si="2"/>
        <v>7986.7039999999997</v>
      </c>
    </row>
    <row r="156" spans="1:7" ht="12" customHeight="1" x14ac:dyDescent="0.2">
      <c r="A156" s="319">
        <v>19</v>
      </c>
      <c r="B156" s="320" t="s">
        <v>1000</v>
      </c>
      <c r="C156" s="321"/>
      <c r="D156" s="319">
        <v>1</v>
      </c>
      <c r="E156" s="357">
        <v>755.12</v>
      </c>
      <c r="F156" s="357">
        <v>755.12</v>
      </c>
      <c r="G156" s="363">
        <f t="shared" si="2"/>
        <v>868.38799999999992</v>
      </c>
    </row>
    <row r="157" spans="1:7" ht="12.95" customHeight="1" x14ac:dyDescent="0.2">
      <c r="E157" s="334"/>
      <c r="F157" s="334"/>
      <c r="G157" s="363">
        <f t="shared" si="2"/>
        <v>0</v>
      </c>
    </row>
    <row r="158" spans="1:7" ht="12" customHeight="1" x14ac:dyDescent="0.2">
      <c r="A158" s="319">
        <v>20</v>
      </c>
      <c r="B158" s="320" t="s">
        <v>898</v>
      </c>
      <c r="C158" s="321"/>
      <c r="D158" s="319">
        <v>1</v>
      </c>
      <c r="E158" s="322">
        <v>1164.1300000000001</v>
      </c>
      <c r="F158" s="322">
        <v>1164.1300000000001</v>
      </c>
      <c r="G158" s="363">
        <f t="shared" si="2"/>
        <v>1338.7495000000001</v>
      </c>
    </row>
    <row r="159" spans="1:7" ht="12" customHeight="1" x14ac:dyDescent="0.2">
      <c r="A159" s="324"/>
      <c r="B159" s="324"/>
      <c r="C159" s="323" t="s">
        <v>905</v>
      </c>
      <c r="D159" s="325">
        <v>1</v>
      </c>
      <c r="E159" s="326">
        <v>0.01</v>
      </c>
      <c r="F159" s="326">
        <v>0.01</v>
      </c>
      <c r="G159" s="363">
        <f t="shared" si="2"/>
        <v>1.15E-2</v>
      </c>
    </row>
    <row r="160" spans="1:7" ht="12" customHeight="1" x14ac:dyDescent="0.2">
      <c r="A160" s="324"/>
      <c r="B160" s="324"/>
      <c r="C160" s="323" t="s">
        <v>879</v>
      </c>
      <c r="D160" s="325">
        <v>2</v>
      </c>
      <c r="E160" s="326">
        <v>0.01</v>
      </c>
      <c r="F160" s="326">
        <v>0.02</v>
      </c>
      <c r="G160" s="363">
        <f t="shared" si="2"/>
        <v>2.3E-2</v>
      </c>
    </row>
    <row r="161" spans="1:7" ht="12" customHeight="1" x14ac:dyDescent="0.2">
      <c r="A161" s="324"/>
      <c r="B161" s="324"/>
      <c r="C161" s="323" t="s">
        <v>488</v>
      </c>
      <c r="D161" s="325">
        <v>1</v>
      </c>
      <c r="E161" s="328">
        <v>5168</v>
      </c>
      <c r="F161" s="328">
        <v>5168</v>
      </c>
      <c r="G161" s="363">
        <f t="shared" si="2"/>
        <v>5943.2</v>
      </c>
    </row>
    <row r="162" spans="1:7" ht="12" customHeight="1" x14ac:dyDescent="0.2">
      <c r="A162" s="324"/>
      <c r="B162" s="324"/>
      <c r="C162" s="323" t="s">
        <v>994</v>
      </c>
      <c r="D162" s="325">
        <v>1</v>
      </c>
      <c r="E162" s="327"/>
      <c r="F162" s="327"/>
      <c r="G162" s="363">
        <f t="shared" si="2"/>
        <v>0</v>
      </c>
    </row>
    <row r="163" spans="1:7" ht="12" customHeight="1" x14ac:dyDescent="0.2">
      <c r="A163" s="324"/>
      <c r="B163" s="324"/>
      <c r="C163" s="323" t="s">
        <v>995</v>
      </c>
      <c r="D163" s="325">
        <v>1</v>
      </c>
      <c r="E163" s="327"/>
      <c r="F163" s="327"/>
      <c r="G163" s="363">
        <f t="shared" si="2"/>
        <v>0</v>
      </c>
    </row>
    <row r="164" spans="1:7" ht="12" customHeight="1" x14ac:dyDescent="0.2">
      <c r="A164" s="324"/>
      <c r="B164" s="324"/>
      <c r="C164" s="323" t="s">
        <v>1001</v>
      </c>
      <c r="D164" s="325">
        <v>1</v>
      </c>
      <c r="E164" s="327"/>
      <c r="F164" s="327"/>
      <c r="G164" s="363">
        <f t="shared" si="2"/>
        <v>0</v>
      </c>
    </row>
    <row r="165" spans="1:7" ht="12" customHeight="1" x14ac:dyDescent="0.2">
      <c r="A165" s="324"/>
      <c r="B165" s="324"/>
      <c r="C165" s="323" t="s">
        <v>1002</v>
      </c>
      <c r="D165" s="325">
        <v>1</v>
      </c>
      <c r="E165" s="327"/>
      <c r="F165" s="327"/>
      <c r="G165" s="363">
        <f t="shared" si="2"/>
        <v>0</v>
      </c>
    </row>
    <row r="166" spans="1:7" ht="12" customHeight="1" x14ac:dyDescent="0.2">
      <c r="A166" s="324"/>
      <c r="B166" s="324"/>
      <c r="C166" s="323" t="s">
        <v>1003</v>
      </c>
      <c r="D166" s="325">
        <v>1</v>
      </c>
      <c r="E166" s="327"/>
      <c r="F166" s="327"/>
      <c r="G166" s="363">
        <f t="shared" si="2"/>
        <v>0</v>
      </c>
    </row>
    <row r="167" spans="1:7" ht="12" customHeight="1" x14ac:dyDescent="0.2">
      <c r="A167" s="324"/>
      <c r="B167" s="324"/>
      <c r="C167" s="323" t="s">
        <v>991</v>
      </c>
      <c r="D167" s="325">
        <v>1</v>
      </c>
      <c r="E167" s="327"/>
      <c r="F167" s="327"/>
      <c r="G167" s="363">
        <f t="shared" si="2"/>
        <v>0</v>
      </c>
    </row>
    <row r="168" spans="1:7" ht="12" customHeight="1" x14ac:dyDescent="0.2">
      <c r="A168" s="324"/>
      <c r="B168" s="324"/>
      <c r="C168" s="323" t="s">
        <v>992</v>
      </c>
      <c r="D168" s="325">
        <v>1</v>
      </c>
      <c r="E168" s="327"/>
      <c r="F168" s="327"/>
      <c r="G168" s="363">
        <f t="shared" si="2"/>
        <v>0</v>
      </c>
    </row>
    <row r="169" spans="1:7" ht="12" customHeight="1" x14ac:dyDescent="0.2">
      <c r="A169" s="324"/>
      <c r="B169" s="324"/>
      <c r="C169" s="323" t="s">
        <v>382</v>
      </c>
      <c r="D169" s="325">
        <v>1</v>
      </c>
      <c r="E169" s="325">
        <v>459</v>
      </c>
      <c r="F169" s="325">
        <v>459</v>
      </c>
      <c r="G169" s="363">
        <f t="shared" si="2"/>
        <v>527.84999999999991</v>
      </c>
    </row>
    <row r="170" spans="1:7" ht="12" customHeight="1" x14ac:dyDescent="0.2">
      <c r="A170" s="324"/>
      <c r="B170" s="324"/>
      <c r="C170" s="323" t="s">
        <v>432</v>
      </c>
      <c r="D170" s="325">
        <v>1</v>
      </c>
      <c r="E170" s="355">
        <v>178.5</v>
      </c>
      <c r="F170" s="355">
        <v>178.5</v>
      </c>
      <c r="G170" s="363">
        <f t="shared" si="2"/>
        <v>205.27499999999998</v>
      </c>
    </row>
    <row r="171" spans="1:7" ht="12" customHeight="1" x14ac:dyDescent="0.2">
      <c r="A171" s="324"/>
      <c r="B171" s="324"/>
      <c r="C171" s="323" t="s">
        <v>439</v>
      </c>
      <c r="D171" s="325">
        <v>1</v>
      </c>
      <c r="E171" s="325">
        <v>17</v>
      </c>
      <c r="F171" s="325">
        <v>17</v>
      </c>
      <c r="G171" s="363">
        <f t="shared" si="2"/>
        <v>19.549999999999997</v>
      </c>
    </row>
    <row r="172" spans="1:7" ht="12.95" customHeight="1" x14ac:dyDescent="0.2">
      <c r="E172" s="330">
        <v>6986.66</v>
      </c>
      <c r="F172" s="330">
        <v>6986.66</v>
      </c>
      <c r="G172" s="363">
        <f t="shared" si="2"/>
        <v>8034.6589999999997</v>
      </c>
    </row>
    <row r="173" spans="1:7" ht="12" customHeight="1" x14ac:dyDescent="0.2">
      <c r="A173" s="319">
        <v>21</v>
      </c>
      <c r="B173" s="320" t="s">
        <v>1004</v>
      </c>
      <c r="C173" s="321"/>
      <c r="D173" s="319">
        <v>1</v>
      </c>
      <c r="E173" s="357">
        <v>824.27</v>
      </c>
      <c r="F173" s="357">
        <v>824.27</v>
      </c>
      <c r="G173" s="363">
        <f t="shared" si="2"/>
        <v>947.91049999999996</v>
      </c>
    </row>
    <row r="174" spans="1:7" ht="12.95" customHeight="1" x14ac:dyDescent="0.2">
      <c r="E174" s="334"/>
      <c r="F174" s="334"/>
      <c r="G174" s="363">
        <f t="shared" si="2"/>
        <v>0</v>
      </c>
    </row>
    <row r="175" spans="1:7" ht="12" customHeight="1" x14ac:dyDescent="0.2">
      <c r="A175" s="319">
        <v>22</v>
      </c>
      <c r="B175" s="320" t="s">
        <v>899</v>
      </c>
      <c r="C175" s="321"/>
      <c r="D175" s="319">
        <v>1</v>
      </c>
      <c r="E175" s="331">
        <v>1039</v>
      </c>
      <c r="F175" s="331">
        <v>1039</v>
      </c>
      <c r="G175" s="363">
        <f t="shared" si="2"/>
        <v>1194.8499999999999</v>
      </c>
    </row>
    <row r="176" spans="1:7" ht="12" customHeight="1" x14ac:dyDescent="0.2">
      <c r="A176" s="324"/>
      <c r="B176" s="324"/>
      <c r="C176" s="323" t="s">
        <v>905</v>
      </c>
      <c r="D176" s="325">
        <v>1</v>
      </c>
      <c r="E176" s="326">
        <v>0.01</v>
      </c>
      <c r="F176" s="326">
        <v>0.01</v>
      </c>
      <c r="G176" s="363">
        <f t="shared" si="2"/>
        <v>1.15E-2</v>
      </c>
    </row>
    <row r="177" spans="1:7" ht="12" customHeight="1" x14ac:dyDescent="0.2">
      <c r="A177" s="324"/>
      <c r="B177" s="324"/>
      <c r="C177" s="323" t="s">
        <v>879</v>
      </c>
      <c r="D177" s="325">
        <v>2</v>
      </c>
      <c r="E177" s="326">
        <v>0.01</v>
      </c>
      <c r="F177" s="326">
        <v>0.02</v>
      </c>
      <c r="G177" s="363">
        <f t="shared" si="2"/>
        <v>2.3E-2</v>
      </c>
    </row>
    <row r="178" spans="1:7" ht="12" customHeight="1" x14ac:dyDescent="0.2">
      <c r="A178" s="324"/>
      <c r="B178" s="324"/>
      <c r="C178" s="323" t="s">
        <v>488</v>
      </c>
      <c r="D178" s="325">
        <v>1</v>
      </c>
      <c r="E178" s="328">
        <v>5168</v>
      </c>
      <c r="F178" s="328">
        <v>5168</v>
      </c>
      <c r="G178" s="363">
        <f t="shared" si="2"/>
        <v>5943.2</v>
      </c>
    </row>
    <row r="179" spans="1:7" ht="12" customHeight="1" x14ac:dyDescent="0.2">
      <c r="A179" s="324"/>
      <c r="B179" s="324"/>
      <c r="C179" s="323" t="s">
        <v>994</v>
      </c>
      <c r="D179" s="325">
        <v>1</v>
      </c>
      <c r="E179" s="327"/>
      <c r="F179" s="327"/>
      <c r="G179" s="363">
        <f t="shared" si="2"/>
        <v>0</v>
      </c>
    </row>
    <row r="180" spans="1:7" ht="12" customHeight="1" x14ac:dyDescent="0.2">
      <c r="A180" s="324"/>
      <c r="B180" s="324"/>
      <c r="C180" s="323" t="s">
        <v>995</v>
      </c>
      <c r="D180" s="325">
        <v>1</v>
      </c>
      <c r="E180" s="327"/>
      <c r="F180" s="327"/>
      <c r="G180" s="363">
        <f t="shared" si="2"/>
        <v>0</v>
      </c>
    </row>
    <row r="181" spans="1:7" ht="12" customHeight="1" x14ac:dyDescent="0.2">
      <c r="A181" s="324"/>
      <c r="B181" s="324"/>
      <c r="C181" s="323" t="s">
        <v>1005</v>
      </c>
      <c r="D181" s="325">
        <v>1</v>
      </c>
      <c r="E181" s="327"/>
      <c r="F181" s="327"/>
      <c r="G181" s="363">
        <f t="shared" si="2"/>
        <v>0</v>
      </c>
    </row>
    <row r="182" spans="1:7" ht="12" customHeight="1" x14ac:dyDescent="0.2">
      <c r="A182" s="324"/>
      <c r="B182" s="324"/>
      <c r="C182" s="323" t="s">
        <v>1006</v>
      </c>
      <c r="D182" s="325">
        <v>1</v>
      </c>
      <c r="E182" s="327"/>
      <c r="F182" s="327"/>
      <c r="G182" s="363">
        <f t="shared" si="2"/>
        <v>0</v>
      </c>
    </row>
    <row r="183" spans="1:7" ht="12" customHeight="1" x14ac:dyDescent="0.2">
      <c r="A183" s="324"/>
      <c r="B183" s="324"/>
      <c r="C183" s="323" t="s">
        <v>998</v>
      </c>
      <c r="D183" s="325">
        <v>1</v>
      </c>
      <c r="E183" s="327"/>
      <c r="F183" s="327"/>
      <c r="G183" s="363">
        <f t="shared" si="2"/>
        <v>0</v>
      </c>
    </row>
    <row r="184" spans="1:7" ht="12" customHeight="1" x14ac:dyDescent="0.2">
      <c r="A184" s="324"/>
      <c r="B184" s="324"/>
      <c r="C184" s="323" t="s">
        <v>991</v>
      </c>
      <c r="D184" s="325">
        <v>1</v>
      </c>
      <c r="E184" s="327"/>
      <c r="F184" s="327"/>
      <c r="G184" s="363">
        <f t="shared" si="2"/>
        <v>0</v>
      </c>
    </row>
    <row r="185" spans="1:7" ht="12" customHeight="1" x14ac:dyDescent="0.2">
      <c r="A185" s="324"/>
      <c r="B185" s="324"/>
      <c r="C185" s="323" t="s">
        <v>1007</v>
      </c>
      <c r="D185" s="325">
        <v>1</v>
      </c>
      <c r="E185" s="327"/>
      <c r="F185" s="327"/>
      <c r="G185" s="363">
        <f t="shared" si="2"/>
        <v>0</v>
      </c>
    </row>
    <row r="186" spans="1:7" ht="12" customHeight="1" x14ac:dyDescent="0.2">
      <c r="A186" s="324"/>
      <c r="B186" s="324"/>
      <c r="C186" s="323" t="s">
        <v>382</v>
      </c>
      <c r="D186" s="325">
        <v>1</v>
      </c>
      <c r="E186" s="325">
        <v>459</v>
      </c>
      <c r="F186" s="325">
        <v>459</v>
      </c>
      <c r="G186" s="363">
        <f t="shared" si="2"/>
        <v>527.84999999999991</v>
      </c>
    </row>
    <row r="187" spans="1:7" ht="12" customHeight="1" x14ac:dyDescent="0.2">
      <c r="A187" s="324"/>
      <c r="B187" s="324"/>
      <c r="C187" s="323" t="s">
        <v>432</v>
      </c>
      <c r="D187" s="325">
        <v>1</v>
      </c>
      <c r="E187" s="355">
        <v>178.5</v>
      </c>
      <c r="F187" s="355">
        <v>178.5</v>
      </c>
      <c r="G187" s="363">
        <f t="shared" si="2"/>
        <v>205.27499999999998</v>
      </c>
    </row>
    <row r="188" spans="1:7" ht="12" customHeight="1" x14ac:dyDescent="0.2">
      <c r="A188" s="324"/>
      <c r="B188" s="324"/>
      <c r="C188" s="323" t="s">
        <v>439</v>
      </c>
      <c r="D188" s="325">
        <v>1</v>
      </c>
      <c r="E188" s="325">
        <v>17</v>
      </c>
      <c r="F188" s="325">
        <v>17</v>
      </c>
      <c r="G188" s="363">
        <f t="shared" si="2"/>
        <v>19.549999999999997</v>
      </c>
    </row>
    <row r="189" spans="1:7" ht="12.95" customHeight="1" x14ac:dyDescent="0.2">
      <c r="E189" s="330">
        <v>6861.53</v>
      </c>
      <c r="F189" s="330">
        <v>6861.53</v>
      </c>
      <c r="G189" s="363">
        <f t="shared" si="2"/>
        <v>7890.7594999999992</v>
      </c>
    </row>
    <row r="190" spans="1:7" ht="12" customHeight="1" x14ac:dyDescent="0.2">
      <c r="A190" s="319">
        <v>23</v>
      </c>
      <c r="B190" s="320" t="s">
        <v>1008</v>
      </c>
      <c r="C190" s="321"/>
      <c r="D190" s="319">
        <v>1</v>
      </c>
      <c r="E190" s="357">
        <v>616.82000000000005</v>
      </c>
      <c r="F190" s="357">
        <v>616.82000000000005</v>
      </c>
      <c r="G190" s="363">
        <f t="shared" si="2"/>
        <v>709.34299999999996</v>
      </c>
    </row>
    <row r="191" spans="1:7" ht="12.95" customHeight="1" x14ac:dyDescent="0.2">
      <c r="E191" s="334"/>
      <c r="F191" s="334"/>
      <c r="G191" s="363">
        <f t="shared" si="2"/>
        <v>0</v>
      </c>
    </row>
    <row r="192" spans="1:7" ht="12" customHeight="1" x14ac:dyDescent="0.2">
      <c r="A192" s="319">
        <v>24</v>
      </c>
      <c r="B192" s="320" t="s">
        <v>900</v>
      </c>
      <c r="C192" s="321"/>
      <c r="D192" s="319">
        <v>1</v>
      </c>
      <c r="E192" s="322">
        <v>1492.07</v>
      </c>
      <c r="F192" s="322">
        <v>1492.07</v>
      </c>
      <c r="G192" s="363">
        <f t="shared" si="2"/>
        <v>1715.8804999999998</v>
      </c>
    </row>
    <row r="193" spans="1:7" ht="12" customHeight="1" x14ac:dyDescent="0.2">
      <c r="A193" s="324"/>
      <c r="B193" s="324"/>
      <c r="C193" s="323" t="s">
        <v>905</v>
      </c>
      <c r="D193" s="325">
        <v>1</v>
      </c>
      <c r="E193" s="326">
        <v>0.01</v>
      </c>
      <c r="F193" s="326">
        <v>0.01</v>
      </c>
      <c r="G193" s="363">
        <f t="shared" si="2"/>
        <v>1.15E-2</v>
      </c>
    </row>
    <row r="194" spans="1:7" ht="12" customHeight="1" x14ac:dyDescent="0.2">
      <c r="A194" s="324"/>
      <c r="B194" s="324"/>
      <c r="C194" s="323" t="s">
        <v>879</v>
      </c>
      <c r="D194" s="325">
        <v>2</v>
      </c>
      <c r="E194" s="326">
        <v>0.01</v>
      </c>
      <c r="F194" s="326">
        <v>0.02</v>
      </c>
      <c r="G194" s="363">
        <f t="shared" si="2"/>
        <v>2.3E-2</v>
      </c>
    </row>
    <row r="195" spans="1:7" ht="12" customHeight="1" x14ac:dyDescent="0.2">
      <c r="A195" s="324"/>
      <c r="B195" s="324"/>
      <c r="C195" s="323" t="s">
        <v>429</v>
      </c>
      <c r="D195" s="325">
        <v>2</v>
      </c>
      <c r="E195" s="325">
        <v>425</v>
      </c>
      <c r="F195" s="325">
        <v>850</v>
      </c>
      <c r="G195" s="363">
        <f t="shared" ref="G195:G258" si="3">F195*1.15</f>
        <v>977.49999999999989</v>
      </c>
    </row>
    <row r="196" spans="1:7" ht="12" customHeight="1" x14ac:dyDescent="0.2">
      <c r="A196" s="324"/>
      <c r="B196" s="324"/>
      <c r="C196" s="323" t="s">
        <v>1009</v>
      </c>
      <c r="D196" s="325">
        <v>1</v>
      </c>
      <c r="E196" s="327"/>
      <c r="F196" s="327"/>
      <c r="G196" s="363">
        <f t="shared" si="3"/>
        <v>0</v>
      </c>
    </row>
    <row r="197" spans="1:7" ht="12" customHeight="1" x14ac:dyDescent="0.2">
      <c r="A197" s="324"/>
      <c r="B197" s="324"/>
      <c r="C197" s="323" t="s">
        <v>1010</v>
      </c>
      <c r="D197" s="325">
        <v>1</v>
      </c>
      <c r="E197" s="327"/>
      <c r="F197" s="327"/>
      <c r="G197" s="363">
        <f t="shared" si="3"/>
        <v>0</v>
      </c>
    </row>
    <row r="198" spans="1:7" ht="12" customHeight="1" x14ac:dyDescent="0.2">
      <c r="A198" s="324"/>
      <c r="B198" s="324"/>
      <c r="C198" s="323" t="s">
        <v>996</v>
      </c>
      <c r="D198" s="325">
        <v>1</v>
      </c>
      <c r="E198" s="327"/>
      <c r="F198" s="327"/>
      <c r="G198" s="363">
        <f t="shared" si="3"/>
        <v>0</v>
      </c>
    </row>
    <row r="199" spans="1:7" ht="12" customHeight="1" x14ac:dyDescent="0.2">
      <c r="A199" s="324"/>
      <c r="B199" s="324"/>
      <c r="C199" s="323" t="s">
        <v>1011</v>
      </c>
      <c r="D199" s="325">
        <v>1</v>
      </c>
      <c r="E199" s="327"/>
      <c r="F199" s="327"/>
      <c r="G199" s="363">
        <f t="shared" si="3"/>
        <v>0</v>
      </c>
    </row>
    <row r="200" spans="1:7" ht="12" customHeight="1" x14ac:dyDescent="0.2">
      <c r="A200" s="324"/>
      <c r="B200" s="324"/>
      <c r="C200" s="323" t="s">
        <v>1012</v>
      </c>
      <c r="D200" s="325">
        <v>1</v>
      </c>
      <c r="E200" s="327"/>
      <c r="F200" s="327"/>
      <c r="G200" s="363">
        <f t="shared" si="3"/>
        <v>0</v>
      </c>
    </row>
    <row r="201" spans="1:7" ht="12" customHeight="1" x14ac:dyDescent="0.2">
      <c r="A201" s="324"/>
      <c r="B201" s="324"/>
      <c r="C201" s="323" t="s">
        <v>991</v>
      </c>
      <c r="D201" s="325">
        <v>1</v>
      </c>
      <c r="E201" s="327"/>
      <c r="F201" s="327"/>
      <c r="G201" s="363">
        <f t="shared" si="3"/>
        <v>0</v>
      </c>
    </row>
    <row r="202" spans="1:7" ht="12" customHeight="1" x14ac:dyDescent="0.2">
      <c r="A202" s="324"/>
      <c r="B202" s="324"/>
      <c r="C202" s="323" t="s">
        <v>1013</v>
      </c>
      <c r="D202" s="325">
        <v>1</v>
      </c>
      <c r="E202" s="327"/>
      <c r="F202" s="327"/>
      <c r="G202" s="363">
        <f t="shared" si="3"/>
        <v>0</v>
      </c>
    </row>
    <row r="203" spans="1:7" ht="12" customHeight="1" x14ac:dyDescent="0.2">
      <c r="A203" s="324"/>
      <c r="B203" s="324"/>
      <c r="C203" s="323" t="s">
        <v>677</v>
      </c>
      <c r="D203" s="325">
        <v>2</v>
      </c>
      <c r="E203" s="326">
        <v>0.01</v>
      </c>
      <c r="F203" s="326">
        <v>0.02</v>
      </c>
      <c r="G203" s="363">
        <f t="shared" si="3"/>
        <v>2.3E-2</v>
      </c>
    </row>
    <row r="204" spans="1:7" ht="12" customHeight="1" x14ac:dyDescent="0.2">
      <c r="A204" s="324"/>
      <c r="B204" s="324"/>
      <c r="C204" s="323" t="s">
        <v>382</v>
      </c>
      <c r="D204" s="325">
        <v>1</v>
      </c>
      <c r="E204" s="325">
        <v>459</v>
      </c>
      <c r="F204" s="325">
        <v>459</v>
      </c>
      <c r="G204" s="363">
        <f t="shared" si="3"/>
        <v>527.84999999999991</v>
      </c>
    </row>
    <row r="205" spans="1:7" ht="12" customHeight="1" x14ac:dyDescent="0.2">
      <c r="A205" s="324"/>
      <c r="B205" s="324"/>
      <c r="C205" s="323" t="s">
        <v>432</v>
      </c>
      <c r="D205" s="325">
        <v>1</v>
      </c>
      <c r="E205" s="355">
        <v>178.5</v>
      </c>
      <c r="F205" s="355">
        <v>178.5</v>
      </c>
      <c r="G205" s="363">
        <f t="shared" si="3"/>
        <v>205.27499999999998</v>
      </c>
    </row>
    <row r="206" spans="1:7" ht="12" customHeight="1" x14ac:dyDescent="0.2">
      <c r="A206" s="324"/>
      <c r="B206" s="324"/>
      <c r="C206" s="323" t="s">
        <v>907</v>
      </c>
      <c r="D206" s="325">
        <v>2</v>
      </c>
      <c r="E206" s="326">
        <v>246.07</v>
      </c>
      <c r="F206" s="326">
        <v>492.14</v>
      </c>
      <c r="G206" s="363">
        <f t="shared" si="3"/>
        <v>565.9609999999999</v>
      </c>
    </row>
    <row r="207" spans="1:7" ht="12" customHeight="1" x14ac:dyDescent="0.2">
      <c r="A207" s="324"/>
      <c r="B207" s="324"/>
      <c r="C207" s="323" t="s">
        <v>908</v>
      </c>
      <c r="D207" s="325">
        <v>1</v>
      </c>
      <c r="E207" s="326">
        <v>488.73</v>
      </c>
      <c r="F207" s="326">
        <v>488.73</v>
      </c>
      <c r="G207" s="363">
        <f t="shared" si="3"/>
        <v>562.03949999999998</v>
      </c>
    </row>
    <row r="208" spans="1:7" ht="12" customHeight="1" x14ac:dyDescent="0.2">
      <c r="A208" s="324"/>
      <c r="B208" s="324"/>
      <c r="C208" s="323" t="s">
        <v>439</v>
      </c>
      <c r="D208" s="325">
        <v>1</v>
      </c>
      <c r="E208" s="325">
        <v>17</v>
      </c>
      <c r="F208" s="325">
        <v>17</v>
      </c>
      <c r="G208" s="363">
        <f t="shared" si="3"/>
        <v>19.549999999999997</v>
      </c>
    </row>
    <row r="209" spans="1:7" ht="12.95" customHeight="1" x14ac:dyDescent="0.2">
      <c r="E209" s="330">
        <v>3977.35</v>
      </c>
      <c r="F209" s="330">
        <v>3977.35</v>
      </c>
      <c r="G209" s="363">
        <f t="shared" si="3"/>
        <v>4573.9524999999994</v>
      </c>
    </row>
    <row r="210" spans="1:7" ht="12" customHeight="1" x14ac:dyDescent="0.2">
      <c r="A210" s="319">
        <v>25</v>
      </c>
      <c r="B210" s="320" t="s">
        <v>1014</v>
      </c>
      <c r="C210" s="321"/>
      <c r="D210" s="319">
        <v>1</v>
      </c>
      <c r="E210" s="322">
        <v>1518.71</v>
      </c>
      <c r="F210" s="322">
        <v>1518.71</v>
      </c>
      <c r="G210" s="363">
        <f t="shared" si="3"/>
        <v>1746.5165</v>
      </c>
    </row>
    <row r="211" spans="1:7" ht="12.95" customHeight="1" x14ac:dyDescent="0.2">
      <c r="E211" s="334"/>
      <c r="F211" s="334"/>
      <c r="G211" s="363">
        <f t="shared" si="3"/>
        <v>0</v>
      </c>
    </row>
    <row r="212" spans="1:7" ht="12" customHeight="1" x14ac:dyDescent="0.2">
      <c r="A212" s="319">
        <v>26</v>
      </c>
      <c r="B212" s="320" t="s">
        <v>901</v>
      </c>
      <c r="C212" s="321"/>
      <c r="D212" s="319">
        <v>1</v>
      </c>
      <c r="E212" s="331">
        <v>1241</v>
      </c>
      <c r="F212" s="331">
        <v>1241</v>
      </c>
      <c r="G212" s="363">
        <f t="shared" si="3"/>
        <v>1427.1499999999999</v>
      </c>
    </row>
    <row r="213" spans="1:7" ht="12" customHeight="1" x14ac:dyDescent="0.2">
      <c r="A213" s="324"/>
      <c r="B213" s="324"/>
      <c r="C213" s="323" t="s">
        <v>432</v>
      </c>
      <c r="D213" s="325">
        <v>1</v>
      </c>
      <c r="E213" s="355">
        <v>178.5</v>
      </c>
      <c r="F213" s="355">
        <v>178.5</v>
      </c>
      <c r="G213" s="363">
        <f t="shared" si="3"/>
        <v>205.27499999999998</v>
      </c>
    </row>
    <row r="214" spans="1:7" ht="12" customHeight="1" x14ac:dyDescent="0.2">
      <c r="A214" s="324"/>
      <c r="B214" s="324"/>
      <c r="C214" s="323" t="s">
        <v>878</v>
      </c>
      <c r="D214" s="325">
        <v>1</v>
      </c>
      <c r="E214" s="326">
        <v>0.01</v>
      </c>
      <c r="F214" s="326">
        <v>0.01</v>
      </c>
      <c r="G214" s="363">
        <f t="shared" si="3"/>
        <v>1.15E-2</v>
      </c>
    </row>
    <row r="215" spans="1:7" ht="12" customHeight="1" x14ac:dyDescent="0.2">
      <c r="A215" s="324"/>
      <c r="B215" s="324"/>
      <c r="C215" s="323" t="s">
        <v>879</v>
      </c>
      <c r="D215" s="325">
        <v>2</v>
      </c>
      <c r="E215" s="326">
        <v>0.01</v>
      </c>
      <c r="F215" s="326">
        <v>0.02</v>
      </c>
      <c r="G215" s="363">
        <f t="shared" si="3"/>
        <v>2.3E-2</v>
      </c>
    </row>
    <row r="216" spans="1:7" ht="12" customHeight="1" x14ac:dyDescent="0.2">
      <c r="A216" s="324"/>
      <c r="B216" s="324"/>
      <c r="C216" s="323" t="s">
        <v>429</v>
      </c>
      <c r="D216" s="325">
        <v>2</v>
      </c>
      <c r="E216" s="325">
        <v>425</v>
      </c>
      <c r="F216" s="325">
        <v>850</v>
      </c>
      <c r="G216" s="363">
        <f t="shared" si="3"/>
        <v>977.49999999999989</v>
      </c>
    </row>
    <row r="217" spans="1:7" ht="12" customHeight="1" x14ac:dyDescent="0.2">
      <c r="A217" s="324"/>
      <c r="B217" s="324"/>
      <c r="C217" s="323" t="s">
        <v>446</v>
      </c>
      <c r="D217" s="325">
        <v>1</v>
      </c>
      <c r="E217" s="356">
        <v>1351.5</v>
      </c>
      <c r="F217" s="356">
        <v>1351.5</v>
      </c>
      <c r="G217" s="363">
        <f t="shared" si="3"/>
        <v>1554.2249999999999</v>
      </c>
    </row>
    <row r="218" spans="1:7" ht="12" customHeight="1" x14ac:dyDescent="0.2">
      <c r="A218" s="324"/>
      <c r="B218" s="324"/>
      <c r="C218" s="323" t="s">
        <v>1009</v>
      </c>
      <c r="D218" s="325">
        <v>1</v>
      </c>
      <c r="E218" s="327"/>
      <c r="F218" s="327"/>
      <c r="G218" s="363">
        <f t="shared" si="3"/>
        <v>0</v>
      </c>
    </row>
    <row r="219" spans="1:7" ht="12" customHeight="1" x14ac:dyDescent="0.2">
      <c r="A219" s="324"/>
      <c r="B219" s="324"/>
      <c r="C219" s="323" t="s">
        <v>1010</v>
      </c>
      <c r="D219" s="325">
        <v>1</v>
      </c>
      <c r="E219" s="327"/>
      <c r="F219" s="327"/>
      <c r="G219" s="363">
        <f t="shared" si="3"/>
        <v>0</v>
      </c>
    </row>
    <row r="220" spans="1:7" ht="12" customHeight="1" x14ac:dyDescent="0.2">
      <c r="A220" s="324"/>
      <c r="B220" s="324"/>
      <c r="C220" s="323" t="s">
        <v>1005</v>
      </c>
      <c r="D220" s="325">
        <v>1</v>
      </c>
      <c r="E220" s="327"/>
      <c r="F220" s="327"/>
      <c r="G220" s="363">
        <f t="shared" si="3"/>
        <v>0</v>
      </c>
    </row>
    <row r="221" spans="1:7" ht="12" customHeight="1" x14ac:dyDescent="0.2">
      <c r="A221" s="324"/>
      <c r="B221" s="324"/>
      <c r="C221" s="323" t="s">
        <v>1015</v>
      </c>
      <c r="D221" s="325">
        <v>1</v>
      </c>
      <c r="E221" s="327"/>
      <c r="F221" s="327"/>
      <c r="G221" s="363">
        <f t="shared" si="3"/>
        <v>0</v>
      </c>
    </row>
    <row r="222" spans="1:7" ht="12" customHeight="1" x14ac:dyDescent="0.2">
      <c r="A222" s="324"/>
      <c r="B222" s="324"/>
      <c r="C222" s="323" t="s">
        <v>991</v>
      </c>
      <c r="D222" s="325">
        <v>1</v>
      </c>
      <c r="E222" s="327"/>
      <c r="F222" s="327"/>
      <c r="G222" s="363">
        <f t="shared" si="3"/>
        <v>0</v>
      </c>
    </row>
    <row r="223" spans="1:7" ht="12" customHeight="1" x14ac:dyDescent="0.2">
      <c r="A223" s="324"/>
      <c r="B223" s="324"/>
      <c r="C223" s="323" t="s">
        <v>1016</v>
      </c>
      <c r="D223" s="325">
        <v>1</v>
      </c>
      <c r="E223" s="327"/>
      <c r="F223" s="327"/>
      <c r="G223" s="363">
        <f t="shared" si="3"/>
        <v>0</v>
      </c>
    </row>
    <row r="224" spans="1:7" ht="12" customHeight="1" x14ac:dyDescent="0.2">
      <c r="A224" s="324"/>
      <c r="B224" s="324"/>
      <c r="C224" s="323" t="s">
        <v>909</v>
      </c>
      <c r="D224" s="325">
        <v>1</v>
      </c>
      <c r="E224" s="325">
        <v>289</v>
      </c>
      <c r="F224" s="325">
        <v>289</v>
      </c>
      <c r="G224" s="363">
        <f t="shared" si="3"/>
        <v>332.34999999999997</v>
      </c>
    </row>
    <row r="225" spans="1:7" ht="12" customHeight="1" x14ac:dyDescent="0.2">
      <c r="A225" s="324"/>
      <c r="B225" s="324"/>
      <c r="C225" s="323" t="s">
        <v>1017</v>
      </c>
      <c r="D225" s="325">
        <v>1</v>
      </c>
      <c r="E225" s="327"/>
      <c r="F225" s="327"/>
      <c r="G225" s="363">
        <f t="shared" si="3"/>
        <v>0</v>
      </c>
    </row>
    <row r="226" spans="1:7" ht="12" customHeight="1" x14ac:dyDescent="0.2">
      <c r="A226" s="324"/>
      <c r="B226" s="324"/>
      <c r="C226" s="323" t="s">
        <v>439</v>
      </c>
      <c r="D226" s="325">
        <v>1</v>
      </c>
      <c r="E226" s="325">
        <v>17</v>
      </c>
      <c r="F226" s="325">
        <v>17</v>
      </c>
      <c r="G226" s="363">
        <f t="shared" si="3"/>
        <v>19.549999999999997</v>
      </c>
    </row>
    <row r="227" spans="1:7" ht="12.95" customHeight="1" x14ac:dyDescent="0.2">
      <c r="E227" s="330">
        <v>3927.03</v>
      </c>
      <c r="F227" s="330">
        <v>3927.03</v>
      </c>
      <c r="G227" s="363">
        <f t="shared" si="3"/>
        <v>4516.0844999999999</v>
      </c>
    </row>
    <row r="228" spans="1:7" ht="12" customHeight="1" x14ac:dyDescent="0.2">
      <c r="A228" s="319">
        <v>27</v>
      </c>
      <c r="B228" s="320" t="s">
        <v>1018</v>
      </c>
      <c r="C228" s="321"/>
      <c r="D228" s="319">
        <v>1</v>
      </c>
      <c r="E228" s="322">
        <v>1240.56</v>
      </c>
      <c r="F228" s="322">
        <v>1240.56</v>
      </c>
      <c r="G228" s="363">
        <f t="shared" si="3"/>
        <v>1426.6439999999998</v>
      </c>
    </row>
    <row r="229" spans="1:7" ht="12.95" customHeight="1" x14ac:dyDescent="0.2">
      <c r="E229" s="334"/>
      <c r="F229" s="334"/>
      <c r="G229" s="363">
        <f t="shared" si="3"/>
        <v>0</v>
      </c>
    </row>
    <row r="230" spans="1:7" ht="12" customHeight="1" x14ac:dyDescent="0.2">
      <c r="A230" s="319">
        <v>28</v>
      </c>
      <c r="B230" s="320" t="s">
        <v>1019</v>
      </c>
      <c r="C230" s="321"/>
      <c r="D230" s="319">
        <v>1</v>
      </c>
      <c r="E230" s="322">
        <v>1682.99</v>
      </c>
      <c r="F230" s="322">
        <v>1682.99</v>
      </c>
      <c r="G230" s="363">
        <f t="shared" si="3"/>
        <v>1935.4384999999997</v>
      </c>
    </row>
    <row r="231" spans="1:7" ht="12.95" customHeight="1" x14ac:dyDescent="0.2">
      <c r="E231" s="334"/>
      <c r="F231" s="334"/>
      <c r="G231" s="363">
        <f t="shared" si="3"/>
        <v>0</v>
      </c>
    </row>
    <row r="232" spans="1:7" ht="12" customHeight="1" x14ac:dyDescent="0.2">
      <c r="A232" s="319">
        <v>29</v>
      </c>
      <c r="B232" s="320" t="s">
        <v>1020</v>
      </c>
      <c r="C232" s="321"/>
      <c r="D232" s="319">
        <v>1</v>
      </c>
      <c r="E232" s="322">
        <v>1367.26</v>
      </c>
      <c r="F232" s="322">
        <v>1367.26</v>
      </c>
      <c r="G232" s="363">
        <f t="shared" si="3"/>
        <v>1572.3489999999999</v>
      </c>
    </row>
    <row r="233" spans="1:7" ht="12.95" customHeight="1" x14ac:dyDescent="0.2">
      <c r="E233" s="334"/>
      <c r="F233" s="334"/>
      <c r="G233" s="363">
        <f t="shared" si="3"/>
        <v>0</v>
      </c>
    </row>
    <row r="234" spans="1:7" ht="12" customHeight="1" x14ac:dyDescent="0.2">
      <c r="A234" s="319">
        <v>30</v>
      </c>
      <c r="B234" s="320" t="s">
        <v>1021</v>
      </c>
      <c r="C234" s="321"/>
      <c r="D234" s="319">
        <v>1</v>
      </c>
      <c r="E234" s="357">
        <v>729.99</v>
      </c>
      <c r="F234" s="357">
        <v>729.99</v>
      </c>
      <c r="G234" s="363">
        <f t="shared" si="3"/>
        <v>839.48849999999993</v>
      </c>
    </row>
    <row r="235" spans="1:7" ht="12.95" customHeight="1" x14ac:dyDescent="0.2">
      <c r="E235" s="334"/>
      <c r="F235" s="334"/>
      <c r="G235" s="363">
        <f t="shared" si="3"/>
        <v>0</v>
      </c>
    </row>
    <row r="236" spans="1:7" ht="12" customHeight="1" x14ac:dyDescent="0.2">
      <c r="A236" s="319">
        <v>31</v>
      </c>
      <c r="B236" s="320" t="s">
        <v>902</v>
      </c>
      <c r="C236" s="321"/>
      <c r="D236" s="319">
        <v>1</v>
      </c>
      <c r="E236" s="322">
        <v>2381.38</v>
      </c>
      <c r="F236" s="322">
        <v>2381.38</v>
      </c>
      <c r="G236" s="363">
        <f t="shared" si="3"/>
        <v>2738.587</v>
      </c>
    </row>
    <row r="237" spans="1:7" ht="12" customHeight="1" x14ac:dyDescent="0.2">
      <c r="A237" s="324"/>
      <c r="B237" s="324"/>
      <c r="C237" s="323" t="s">
        <v>432</v>
      </c>
      <c r="D237" s="325">
        <v>1</v>
      </c>
      <c r="E237" s="355">
        <v>178.5</v>
      </c>
      <c r="F237" s="355">
        <v>178.5</v>
      </c>
      <c r="G237" s="363">
        <f t="shared" si="3"/>
        <v>205.27499999999998</v>
      </c>
    </row>
    <row r="238" spans="1:7" ht="12" customHeight="1" x14ac:dyDescent="0.2">
      <c r="A238" s="324"/>
      <c r="B238" s="324"/>
      <c r="C238" s="323" t="s">
        <v>878</v>
      </c>
      <c r="D238" s="325">
        <v>3</v>
      </c>
      <c r="E238" s="326">
        <v>0.01</v>
      </c>
      <c r="F238" s="326">
        <v>0.03</v>
      </c>
      <c r="G238" s="363">
        <f t="shared" si="3"/>
        <v>3.4499999999999996E-2</v>
      </c>
    </row>
    <row r="239" spans="1:7" ht="12" customHeight="1" x14ac:dyDescent="0.2">
      <c r="A239" s="324"/>
      <c r="B239" s="324"/>
      <c r="C239" s="323" t="s">
        <v>439</v>
      </c>
      <c r="D239" s="325">
        <v>1</v>
      </c>
      <c r="E239" s="325">
        <v>17</v>
      </c>
      <c r="F239" s="325">
        <v>17</v>
      </c>
      <c r="G239" s="363">
        <f t="shared" si="3"/>
        <v>19.549999999999997</v>
      </c>
    </row>
    <row r="240" spans="1:7" ht="12" customHeight="1" x14ac:dyDescent="0.2">
      <c r="A240" s="324"/>
      <c r="B240" s="324"/>
      <c r="C240" s="323" t="s">
        <v>429</v>
      </c>
      <c r="D240" s="325">
        <v>2</v>
      </c>
      <c r="E240" s="325">
        <v>425</v>
      </c>
      <c r="F240" s="325">
        <v>850</v>
      </c>
      <c r="G240" s="363">
        <f t="shared" si="3"/>
        <v>977.49999999999989</v>
      </c>
    </row>
    <row r="241" spans="1:7" ht="12" customHeight="1" x14ac:dyDescent="0.2">
      <c r="A241" s="324"/>
      <c r="B241" s="324"/>
      <c r="C241" s="323" t="s">
        <v>1009</v>
      </c>
      <c r="D241" s="325">
        <v>1</v>
      </c>
      <c r="E241" s="327"/>
      <c r="F241" s="327"/>
      <c r="G241" s="363">
        <f t="shared" si="3"/>
        <v>0</v>
      </c>
    </row>
    <row r="242" spans="1:7" ht="12" customHeight="1" x14ac:dyDescent="0.2">
      <c r="A242" s="324"/>
      <c r="B242" s="324"/>
      <c r="C242" s="323" t="s">
        <v>1010</v>
      </c>
      <c r="D242" s="325">
        <v>1</v>
      </c>
      <c r="E242" s="327"/>
      <c r="F242" s="327"/>
      <c r="G242" s="363">
        <f t="shared" si="3"/>
        <v>0</v>
      </c>
    </row>
    <row r="243" spans="1:7" ht="12" customHeight="1" x14ac:dyDescent="0.2">
      <c r="A243" s="324"/>
      <c r="B243" s="324"/>
      <c r="C243" s="323" t="s">
        <v>1001</v>
      </c>
      <c r="D243" s="325">
        <v>1</v>
      </c>
      <c r="E243" s="327"/>
      <c r="F243" s="327"/>
      <c r="G243" s="363">
        <f t="shared" si="3"/>
        <v>0</v>
      </c>
    </row>
    <row r="244" spans="1:7" ht="12" customHeight="1" x14ac:dyDescent="0.2">
      <c r="A244" s="324"/>
      <c r="B244" s="324"/>
      <c r="C244" s="323" t="s">
        <v>1002</v>
      </c>
      <c r="D244" s="325">
        <v>1</v>
      </c>
      <c r="E244" s="327"/>
      <c r="F244" s="327"/>
      <c r="G244" s="363">
        <f t="shared" si="3"/>
        <v>0</v>
      </c>
    </row>
    <row r="245" spans="1:7" ht="12" customHeight="1" x14ac:dyDescent="0.2">
      <c r="A245" s="324"/>
      <c r="B245" s="324"/>
      <c r="C245" s="323" t="s">
        <v>1022</v>
      </c>
      <c r="D245" s="325">
        <v>1</v>
      </c>
      <c r="E245" s="327"/>
      <c r="F245" s="327"/>
      <c r="G245" s="363">
        <f t="shared" si="3"/>
        <v>0</v>
      </c>
    </row>
    <row r="246" spans="1:7" ht="12" customHeight="1" x14ac:dyDescent="0.2">
      <c r="A246" s="324"/>
      <c r="B246" s="324"/>
      <c r="C246" s="323" t="s">
        <v>991</v>
      </c>
      <c r="D246" s="325">
        <v>1</v>
      </c>
      <c r="E246" s="327"/>
      <c r="F246" s="327"/>
      <c r="G246" s="363">
        <f t="shared" si="3"/>
        <v>0</v>
      </c>
    </row>
    <row r="247" spans="1:7" ht="12" customHeight="1" x14ac:dyDescent="0.2">
      <c r="A247" s="324"/>
      <c r="B247" s="324"/>
      <c r="C247" s="323" t="s">
        <v>1023</v>
      </c>
      <c r="D247" s="325">
        <v>1</v>
      </c>
      <c r="E247" s="327"/>
      <c r="F247" s="327"/>
      <c r="G247" s="363">
        <f t="shared" si="3"/>
        <v>0</v>
      </c>
    </row>
    <row r="248" spans="1:7" ht="12" customHeight="1" x14ac:dyDescent="0.2">
      <c r="A248" s="324"/>
      <c r="B248" s="324"/>
      <c r="C248" s="323" t="s">
        <v>1024</v>
      </c>
      <c r="D248" s="325">
        <v>1</v>
      </c>
      <c r="E248" s="327"/>
      <c r="F248" s="327"/>
      <c r="G248" s="363">
        <f t="shared" si="3"/>
        <v>0</v>
      </c>
    </row>
    <row r="249" spans="1:7" ht="12" customHeight="1" x14ac:dyDescent="0.2">
      <c r="A249" s="324"/>
      <c r="B249" s="324"/>
      <c r="C249" s="323" t="s">
        <v>677</v>
      </c>
      <c r="D249" s="325">
        <v>2</v>
      </c>
      <c r="E249" s="326">
        <v>0.01</v>
      </c>
      <c r="F249" s="326">
        <v>0.02</v>
      </c>
      <c r="G249" s="363">
        <f t="shared" si="3"/>
        <v>2.3E-2</v>
      </c>
    </row>
    <row r="250" spans="1:7" ht="12" customHeight="1" x14ac:dyDescent="0.2">
      <c r="A250" s="324"/>
      <c r="B250" s="324"/>
      <c r="C250" s="323" t="s">
        <v>910</v>
      </c>
      <c r="D250" s="325">
        <v>1</v>
      </c>
      <c r="E250" s="355">
        <v>637.5</v>
      </c>
      <c r="F250" s="355">
        <v>637.5</v>
      </c>
      <c r="G250" s="363">
        <f t="shared" si="3"/>
        <v>733.125</v>
      </c>
    </row>
    <row r="251" spans="1:7" ht="12" customHeight="1" x14ac:dyDescent="0.2">
      <c r="A251" s="324"/>
      <c r="B251" s="324"/>
      <c r="C251" s="323" t="s">
        <v>911</v>
      </c>
      <c r="D251" s="325">
        <v>2</v>
      </c>
      <c r="E251" s="326">
        <v>81.06</v>
      </c>
      <c r="F251" s="326">
        <v>162.12</v>
      </c>
      <c r="G251" s="363">
        <f t="shared" si="3"/>
        <v>186.43799999999999</v>
      </c>
    </row>
    <row r="252" spans="1:7" ht="12" customHeight="1" x14ac:dyDescent="0.2">
      <c r="A252" s="324"/>
      <c r="B252" s="324"/>
      <c r="C252" s="323" t="s">
        <v>1025</v>
      </c>
      <c r="D252" s="325">
        <v>2</v>
      </c>
      <c r="E252" s="327"/>
      <c r="F252" s="327"/>
      <c r="G252" s="363">
        <f t="shared" si="3"/>
        <v>0</v>
      </c>
    </row>
    <row r="253" spans="1:7" ht="12" customHeight="1" x14ac:dyDescent="0.2">
      <c r="A253" s="324"/>
      <c r="B253" s="324"/>
      <c r="C253" s="323" t="s">
        <v>1026</v>
      </c>
      <c r="D253" s="325">
        <v>1</v>
      </c>
      <c r="E253" s="327"/>
      <c r="F253" s="327"/>
      <c r="G253" s="363">
        <f t="shared" si="3"/>
        <v>0</v>
      </c>
    </row>
    <row r="254" spans="1:7" ht="12" customHeight="1" x14ac:dyDescent="0.2">
      <c r="A254" s="324"/>
      <c r="B254" s="324"/>
      <c r="C254" s="323" t="s">
        <v>1027</v>
      </c>
      <c r="D254" s="325">
        <v>1</v>
      </c>
      <c r="E254" s="327"/>
      <c r="F254" s="327"/>
      <c r="G254" s="363">
        <f t="shared" si="3"/>
        <v>0</v>
      </c>
    </row>
    <row r="255" spans="1:7" ht="12.95" customHeight="1" x14ac:dyDescent="0.2">
      <c r="E255" s="330">
        <v>4226.43</v>
      </c>
      <c r="F255" s="330">
        <v>4226.43</v>
      </c>
      <c r="G255" s="363">
        <f t="shared" si="3"/>
        <v>4860.3945000000003</v>
      </c>
    </row>
    <row r="256" spans="1:7" ht="12" customHeight="1" x14ac:dyDescent="0.2">
      <c r="A256" s="319">
        <v>32</v>
      </c>
      <c r="B256" s="320" t="s">
        <v>1028</v>
      </c>
      <c r="C256" s="321"/>
      <c r="D256" s="319">
        <v>1</v>
      </c>
      <c r="E256" s="322">
        <v>1657.78</v>
      </c>
      <c r="F256" s="322">
        <v>1657.78</v>
      </c>
      <c r="G256" s="363">
        <f t="shared" si="3"/>
        <v>1906.4469999999999</v>
      </c>
    </row>
    <row r="257" spans="1:7" ht="12.95" customHeight="1" x14ac:dyDescent="0.2">
      <c r="E257" s="334"/>
      <c r="F257" s="334"/>
      <c r="G257" s="363">
        <f t="shared" si="3"/>
        <v>0</v>
      </c>
    </row>
    <row r="258" spans="1:7" ht="12" customHeight="1" x14ac:dyDescent="0.2">
      <c r="A258" s="319">
        <v>33</v>
      </c>
      <c r="B258" s="320" t="s">
        <v>1029</v>
      </c>
      <c r="C258" s="321"/>
      <c r="D258" s="319">
        <v>6</v>
      </c>
      <c r="E258" s="358">
        <v>654.5</v>
      </c>
      <c r="F258" s="331">
        <v>3927</v>
      </c>
      <c r="G258" s="363">
        <f t="shared" si="3"/>
        <v>4516.0499999999993</v>
      </c>
    </row>
    <row r="259" spans="1:7" ht="12.95" customHeight="1" x14ac:dyDescent="0.2">
      <c r="E259" s="359">
        <v>654.5</v>
      </c>
      <c r="F259" s="360">
        <v>3927</v>
      </c>
      <c r="G259" s="363">
        <f t="shared" ref="G259:G307" si="4">F259*1.15</f>
        <v>4516.0499999999993</v>
      </c>
    </row>
    <row r="260" spans="1:7" ht="12" customHeight="1" x14ac:dyDescent="0.2">
      <c r="A260" s="319">
        <v>34</v>
      </c>
      <c r="B260" s="320" t="s">
        <v>1030</v>
      </c>
      <c r="C260" s="321"/>
      <c r="D260" s="319">
        <v>18</v>
      </c>
      <c r="E260" s="319">
        <v>40</v>
      </c>
      <c r="F260" s="319">
        <v>720</v>
      </c>
      <c r="G260" s="363">
        <f t="shared" si="4"/>
        <v>827.99999999999989</v>
      </c>
    </row>
    <row r="261" spans="1:7" ht="12.95" customHeight="1" x14ac:dyDescent="0.2">
      <c r="E261" s="334"/>
      <c r="F261" s="334"/>
      <c r="G261" s="363">
        <f t="shared" si="4"/>
        <v>0</v>
      </c>
    </row>
    <row r="262" spans="1:7" ht="12" customHeight="1" x14ac:dyDescent="0.2">
      <c r="A262" s="319">
        <v>35</v>
      </c>
      <c r="B262" s="320" t="s">
        <v>903</v>
      </c>
      <c r="C262" s="321"/>
      <c r="D262" s="319">
        <v>1</v>
      </c>
      <c r="E262" s="322">
        <v>2092.4499999999998</v>
      </c>
      <c r="F262" s="322">
        <v>2092.4499999999998</v>
      </c>
      <c r="G262" s="363">
        <f t="shared" si="4"/>
        <v>2406.3174999999997</v>
      </c>
    </row>
    <row r="263" spans="1:7" ht="12" customHeight="1" x14ac:dyDescent="0.2">
      <c r="A263" s="324"/>
      <c r="B263" s="324"/>
      <c r="C263" s="323" t="s">
        <v>905</v>
      </c>
      <c r="D263" s="325">
        <v>1</v>
      </c>
      <c r="E263" s="326">
        <v>0.01</v>
      </c>
      <c r="F263" s="326">
        <v>0.01</v>
      </c>
      <c r="G263" s="363">
        <f t="shared" si="4"/>
        <v>1.15E-2</v>
      </c>
    </row>
    <row r="264" spans="1:7" ht="12" customHeight="1" x14ac:dyDescent="0.2">
      <c r="A264" s="324"/>
      <c r="B264" s="324"/>
      <c r="C264" s="323" t="s">
        <v>879</v>
      </c>
      <c r="D264" s="325">
        <v>3</v>
      </c>
      <c r="E264" s="326">
        <v>0.01</v>
      </c>
      <c r="F264" s="326">
        <v>0.03</v>
      </c>
      <c r="G264" s="363">
        <f t="shared" si="4"/>
        <v>3.4499999999999996E-2</v>
      </c>
    </row>
    <row r="265" spans="1:7" ht="12" customHeight="1" x14ac:dyDescent="0.2">
      <c r="A265" s="324"/>
      <c r="B265" s="324"/>
      <c r="C265" s="323" t="s">
        <v>429</v>
      </c>
      <c r="D265" s="325">
        <v>2</v>
      </c>
      <c r="E265" s="325">
        <v>425</v>
      </c>
      <c r="F265" s="325">
        <v>850</v>
      </c>
      <c r="G265" s="363">
        <f t="shared" si="4"/>
        <v>977.49999999999989</v>
      </c>
    </row>
    <row r="266" spans="1:7" ht="12" customHeight="1" x14ac:dyDescent="0.2">
      <c r="A266" s="324"/>
      <c r="B266" s="324"/>
      <c r="C266" s="323" t="s">
        <v>1031</v>
      </c>
      <c r="D266" s="325">
        <v>1</v>
      </c>
      <c r="E266" s="327"/>
      <c r="F266" s="327"/>
      <c r="G266" s="363">
        <f t="shared" si="4"/>
        <v>0</v>
      </c>
    </row>
    <row r="267" spans="1:7" ht="12" customHeight="1" x14ac:dyDescent="0.2">
      <c r="A267" s="324"/>
      <c r="B267" s="324"/>
      <c r="C267" s="323" t="s">
        <v>1032</v>
      </c>
      <c r="D267" s="325">
        <v>1</v>
      </c>
      <c r="E267" s="327"/>
      <c r="F267" s="327"/>
      <c r="G267" s="363">
        <f t="shared" si="4"/>
        <v>0</v>
      </c>
    </row>
    <row r="268" spans="1:7" ht="12" customHeight="1" x14ac:dyDescent="0.2">
      <c r="A268" s="324"/>
      <c r="B268" s="324"/>
      <c r="C268" s="323" t="s">
        <v>1033</v>
      </c>
      <c r="D268" s="325">
        <v>1</v>
      </c>
      <c r="E268" s="327"/>
      <c r="F268" s="327"/>
      <c r="G268" s="363">
        <f t="shared" si="4"/>
        <v>0</v>
      </c>
    </row>
    <row r="269" spans="1:7" ht="12" customHeight="1" x14ac:dyDescent="0.2">
      <c r="A269" s="324"/>
      <c r="B269" s="324"/>
      <c r="C269" s="323" t="s">
        <v>1034</v>
      </c>
      <c r="D269" s="325">
        <v>1</v>
      </c>
      <c r="E269" s="327"/>
      <c r="F269" s="327"/>
      <c r="G269" s="363">
        <f t="shared" si="4"/>
        <v>0</v>
      </c>
    </row>
    <row r="270" spans="1:7" ht="12" customHeight="1" x14ac:dyDescent="0.2">
      <c r="A270" s="324"/>
      <c r="B270" s="324"/>
      <c r="C270" s="323" t="s">
        <v>882</v>
      </c>
      <c r="D270" s="325">
        <v>1</v>
      </c>
      <c r="E270" s="327"/>
      <c r="F270" s="327"/>
      <c r="G270" s="363">
        <f t="shared" si="4"/>
        <v>0</v>
      </c>
    </row>
    <row r="271" spans="1:7" ht="12" customHeight="1" x14ac:dyDescent="0.2">
      <c r="A271" s="324"/>
      <c r="B271" s="324"/>
      <c r="C271" s="323" t="s">
        <v>888</v>
      </c>
      <c r="D271" s="325">
        <v>1</v>
      </c>
      <c r="E271" s="327"/>
      <c r="F271" s="327"/>
      <c r="G271" s="363">
        <f t="shared" si="4"/>
        <v>0</v>
      </c>
    </row>
    <row r="272" spans="1:7" ht="12" customHeight="1" x14ac:dyDescent="0.2">
      <c r="A272" s="324"/>
      <c r="B272" s="324"/>
      <c r="C272" s="323" t="s">
        <v>677</v>
      </c>
      <c r="D272" s="325">
        <v>1</v>
      </c>
      <c r="E272" s="326">
        <v>0.01</v>
      </c>
      <c r="F272" s="326">
        <v>0.01</v>
      </c>
      <c r="G272" s="363">
        <f t="shared" si="4"/>
        <v>1.15E-2</v>
      </c>
    </row>
    <row r="273" spans="1:7" ht="12" customHeight="1" x14ac:dyDescent="0.2">
      <c r="A273" s="324"/>
      <c r="B273" s="324"/>
      <c r="C273" s="323" t="s">
        <v>434</v>
      </c>
      <c r="D273" s="325">
        <v>1</v>
      </c>
      <c r="E273" s="325">
        <v>459</v>
      </c>
      <c r="F273" s="325">
        <v>459</v>
      </c>
      <c r="G273" s="363">
        <f t="shared" si="4"/>
        <v>527.84999999999991</v>
      </c>
    </row>
    <row r="274" spans="1:7" ht="12" customHeight="1" x14ac:dyDescent="0.2">
      <c r="A274" s="324"/>
      <c r="B274" s="324"/>
      <c r="C274" s="323" t="s">
        <v>394</v>
      </c>
      <c r="D274" s="325">
        <v>2</v>
      </c>
      <c r="E274" s="355">
        <v>229.5</v>
      </c>
      <c r="F274" s="325">
        <v>459</v>
      </c>
      <c r="G274" s="363">
        <f t="shared" si="4"/>
        <v>527.84999999999991</v>
      </c>
    </row>
    <row r="275" spans="1:7" ht="12" customHeight="1" x14ac:dyDescent="0.2">
      <c r="A275" s="324"/>
      <c r="B275" s="324"/>
      <c r="C275" s="323" t="s">
        <v>912</v>
      </c>
      <c r="D275" s="325">
        <v>1</v>
      </c>
      <c r="E275" s="326">
        <v>367.58</v>
      </c>
      <c r="F275" s="326">
        <v>367.58</v>
      </c>
      <c r="G275" s="363">
        <f t="shared" si="4"/>
        <v>422.71699999999993</v>
      </c>
    </row>
    <row r="276" spans="1:7" ht="12" customHeight="1" x14ac:dyDescent="0.2">
      <c r="A276" s="324"/>
      <c r="B276" s="324"/>
      <c r="C276" s="323" t="s">
        <v>885</v>
      </c>
      <c r="D276" s="325">
        <v>2</v>
      </c>
      <c r="E276" s="327"/>
      <c r="F276" s="327"/>
      <c r="G276" s="363">
        <f t="shared" si="4"/>
        <v>0</v>
      </c>
    </row>
    <row r="277" spans="1:7" ht="12.95" customHeight="1" x14ac:dyDescent="0.2">
      <c r="E277" s="333">
        <v>4228.5</v>
      </c>
      <c r="F277" s="333">
        <v>4228.5</v>
      </c>
      <c r="G277" s="363">
        <f t="shared" si="4"/>
        <v>4862.7749999999996</v>
      </c>
    </row>
    <row r="278" spans="1:7" ht="12" customHeight="1" x14ac:dyDescent="0.2">
      <c r="A278" s="319">
        <v>36</v>
      </c>
      <c r="B278" s="320" t="s">
        <v>955</v>
      </c>
      <c r="C278" s="321"/>
      <c r="D278" s="319">
        <v>1</v>
      </c>
      <c r="E278" s="322">
        <v>2460.48</v>
      </c>
      <c r="F278" s="322">
        <v>2460.48</v>
      </c>
      <c r="G278" s="363">
        <f t="shared" si="4"/>
        <v>2829.5519999999997</v>
      </c>
    </row>
    <row r="279" spans="1:7" ht="12.95" customHeight="1" x14ac:dyDescent="0.2">
      <c r="E279" s="334"/>
      <c r="F279" s="334"/>
      <c r="G279" s="363">
        <f t="shared" si="4"/>
        <v>0</v>
      </c>
    </row>
    <row r="280" spans="1:7" ht="12" customHeight="1" x14ac:dyDescent="0.2">
      <c r="A280" s="319">
        <v>37</v>
      </c>
      <c r="B280" s="320" t="s">
        <v>904</v>
      </c>
      <c r="C280" s="321"/>
      <c r="D280" s="319">
        <v>1</v>
      </c>
      <c r="E280" s="322">
        <v>1864.82</v>
      </c>
      <c r="F280" s="322">
        <v>1864.82</v>
      </c>
      <c r="G280" s="363">
        <f t="shared" si="4"/>
        <v>2144.5429999999997</v>
      </c>
    </row>
    <row r="281" spans="1:7" ht="12" customHeight="1" x14ac:dyDescent="0.2">
      <c r="A281" s="324"/>
      <c r="B281" s="324"/>
      <c r="C281" s="323" t="s">
        <v>905</v>
      </c>
      <c r="D281" s="325">
        <v>1</v>
      </c>
      <c r="E281" s="326">
        <v>0.01</v>
      </c>
      <c r="F281" s="326">
        <v>0.01</v>
      </c>
      <c r="G281" s="363">
        <f t="shared" si="4"/>
        <v>1.15E-2</v>
      </c>
    </row>
    <row r="282" spans="1:7" ht="12" customHeight="1" x14ac:dyDescent="0.2">
      <c r="A282" s="324"/>
      <c r="B282" s="324"/>
      <c r="C282" s="323" t="s">
        <v>879</v>
      </c>
      <c r="D282" s="325">
        <v>3</v>
      </c>
      <c r="E282" s="326">
        <v>0.01</v>
      </c>
      <c r="F282" s="326">
        <v>0.03</v>
      </c>
      <c r="G282" s="363">
        <f t="shared" si="4"/>
        <v>3.4499999999999996E-2</v>
      </c>
    </row>
    <row r="283" spans="1:7" ht="12" customHeight="1" x14ac:dyDescent="0.2">
      <c r="A283" s="324"/>
      <c r="B283" s="324"/>
      <c r="C283" s="323" t="s">
        <v>429</v>
      </c>
      <c r="D283" s="325">
        <v>2</v>
      </c>
      <c r="E283" s="325">
        <v>425</v>
      </c>
      <c r="F283" s="325">
        <v>850</v>
      </c>
      <c r="G283" s="363">
        <f t="shared" si="4"/>
        <v>977.49999999999989</v>
      </c>
    </row>
    <row r="284" spans="1:7" ht="12" customHeight="1" x14ac:dyDescent="0.2">
      <c r="A284" s="324"/>
      <c r="B284" s="324"/>
      <c r="C284" s="323" t="s">
        <v>1031</v>
      </c>
      <c r="D284" s="325">
        <v>1</v>
      </c>
      <c r="E284" s="327"/>
      <c r="F284" s="327"/>
      <c r="G284" s="363">
        <f t="shared" si="4"/>
        <v>0</v>
      </c>
    </row>
    <row r="285" spans="1:7" ht="12" customHeight="1" x14ac:dyDescent="0.2">
      <c r="A285" s="324"/>
      <c r="B285" s="324"/>
      <c r="C285" s="323" t="s">
        <v>1032</v>
      </c>
      <c r="D285" s="325">
        <v>1</v>
      </c>
      <c r="E285" s="327"/>
      <c r="F285" s="327"/>
      <c r="G285" s="363">
        <f t="shared" si="4"/>
        <v>0</v>
      </c>
    </row>
    <row r="286" spans="1:7" ht="12" customHeight="1" x14ac:dyDescent="0.2">
      <c r="A286" s="324"/>
      <c r="B286" s="324"/>
      <c r="C286" s="323" t="s">
        <v>1035</v>
      </c>
      <c r="D286" s="325">
        <v>1</v>
      </c>
      <c r="E286" s="327"/>
      <c r="F286" s="327"/>
      <c r="G286" s="363">
        <f t="shared" si="4"/>
        <v>0</v>
      </c>
    </row>
    <row r="287" spans="1:7" ht="12" customHeight="1" x14ac:dyDescent="0.2">
      <c r="A287" s="324"/>
      <c r="B287" s="324"/>
      <c r="C287" s="323" t="s">
        <v>1036</v>
      </c>
      <c r="D287" s="325">
        <v>1</v>
      </c>
      <c r="E287" s="327"/>
      <c r="F287" s="327"/>
      <c r="G287" s="363">
        <f t="shared" si="4"/>
        <v>0</v>
      </c>
    </row>
    <row r="288" spans="1:7" ht="12" customHeight="1" x14ac:dyDescent="0.2">
      <c r="A288" s="324"/>
      <c r="B288" s="324"/>
      <c r="C288" s="323" t="s">
        <v>882</v>
      </c>
      <c r="D288" s="325">
        <v>1</v>
      </c>
      <c r="E288" s="327"/>
      <c r="F288" s="327"/>
      <c r="G288" s="363">
        <f t="shared" si="4"/>
        <v>0</v>
      </c>
    </row>
    <row r="289" spans="1:7" ht="12" customHeight="1" x14ac:dyDescent="0.2">
      <c r="A289" s="324"/>
      <c r="B289" s="324"/>
      <c r="C289" s="323" t="s">
        <v>1037</v>
      </c>
      <c r="D289" s="325">
        <v>1</v>
      </c>
      <c r="E289" s="327"/>
      <c r="F289" s="327"/>
      <c r="G289" s="363">
        <f t="shared" si="4"/>
        <v>0</v>
      </c>
    </row>
    <row r="290" spans="1:7" ht="12" customHeight="1" x14ac:dyDescent="0.2">
      <c r="A290" s="324"/>
      <c r="B290" s="324"/>
      <c r="C290" s="323" t="s">
        <v>677</v>
      </c>
      <c r="D290" s="325">
        <v>1</v>
      </c>
      <c r="E290" s="326">
        <v>0.01</v>
      </c>
      <c r="F290" s="326">
        <v>0.01</v>
      </c>
      <c r="G290" s="363">
        <f t="shared" si="4"/>
        <v>1.15E-2</v>
      </c>
    </row>
    <row r="291" spans="1:7" ht="12" customHeight="1" x14ac:dyDescent="0.2">
      <c r="A291" s="324"/>
      <c r="B291" s="324"/>
      <c r="C291" s="323" t="s">
        <v>434</v>
      </c>
      <c r="D291" s="325">
        <v>1</v>
      </c>
      <c r="E291" s="325">
        <v>459</v>
      </c>
      <c r="F291" s="325">
        <v>459</v>
      </c>
      <c r="G291" s="363">
        <f t="shared" si="4"/>
        <v>527.84999999999991</v>
      </c>
    </row>
    <row r="292" spans="1:7" ht="12" customHeight="1" x14ac:dyDescent="0.2">
      <c r="A292" s="324"/>
      <c r="B292" s="324"/>
      <c r="C292" s="323" t="s">
        <v>394</v>
      </c>
      <c r="D292" s="325">
        <v>2</v>
      </c>
      <c r="E292" s="355">
        <v>229.5</v>
      </c>
      <c r="F292" s="325">
        <v>459</v>
      </c>
      <c r="G292" s="363">
        <f t="shared" si="4"/>
        <v>527.84999999999991</v>
      </c>
    </row>
    <row r="293" spans="1:7" ht="12" customHeight="1" x14ac:dyDescent="0.2">
      <c r="A293" s="324"/>
      <c r="B293" s="324"/>
      <c r="C293" s="323" t="s">
        <v>913</v>
      </c>
      <c r="D293" s="325">
        <v>1</v>
      </c>
      <c r="E293" s="326">
        <v>237.92</v>
      </c>
      <c r="F293" s="326">
        <v>237.92</v>
      </c>
      <c r="G293" s="363">
        <f t="shared" si="4"/>
        <v>273.60799999999995</v>
      </c>
    </row>
    <row r="294" spans="1:7" ht="12" customHeight="1" x14ac:dyDescent="0.2">
      <c r="A294" s="324"/>
      <c r="B294" s="324"/>
      <c r="C294" s="323" t="s">
        <v>1038</v>
      </c>
      <c r="D294" s="325">
        <v>2</v>
      </c>
      <c r="E294" s="327"/>
      <c r="F294" s="327"/>
      <c r="G294" s="363">
        <f t="shared" si="4"/>
        <v>0</v>
      </c>
    </row>
    <row r="295" spans="1:7" ht="12.95" customHeight="1" x14ac:dyDescent="0.2">
      <c r="E295" s="330">
        <v>3870.87</v>
      </c>
      <c r="F295" s="330">
        <v>3870.87</v>
      </c>
      <c r="G295" s="363">
        <f t="shared" si="4"/>
        <v>4451.5004999999992</v>
      </c>
    </row>
    <row r="296" spans="1:7" ht="12" customHeight="1" x14ac:dyDescent="0.2">
      <c r="A296" s="319">
        <v>38</v>
      </c>
      <c r="B296" s="320" t="s">
        <v>1039</v>
      </c>
      <c r="C296" s="321"/>
      <c r="D296" s="319">
        <v>1</v>
      </c>
      <c r="E296" s="322">
        <v>1634.83</v>
      </c>
      <c r="F296" s="322">
        <v>1634.83</v>
      </c>
      <c r="G296" s="363">
        <f t="shared" si="4"/>
        <v>1880.0544999999997</v>
      </c>
    </row>
    <row r="297" spans="1:7" ht="12.95" customHeight="1" x14ac:dyDescent="0.2">
      <c r="E297" s="334"/>
      <c r="F297" s="334"/>
      <c r="G297" s="363">
        <f t="shared" si="4"/>
        <v>0</v>
      </c>
    </row>
    <row r="298" spans="1:7" ht="12" customHeight="1" x14ac:dyDescent="0.2">
      <c r="A298" s="319">
        <v>39</v>
      </c>
      <c r="B298" s="320" t="s">
        <v>1040</v>
      </c>
      <c r="C298" s="321"/>
      <c r="D298" s="319">
        <v>1</v>
      </c>
      <c r="E298" s="322">
        <v>2046.26</v>
      </c>
      <c r="F298" s="322">
        <v>2046.26</v>
      </c>
      <c r="G298" s="363">
        <f t="shared" si="4"/>
        <v>2353.1989999999996</v>
      </c>
    </row>
    <row r="299" spans="1:7" ht="12.95" customHeight="1" x14ac:dyDescent="0.2">
      <c r="E299" s="334"/>
      <c r="F299" s="334"/>
      <c r="G299" s="363">
        <f t="shared" si="4"/>
        <v>0</v>
      </c>
    </row>
    <row r="300" spans="1:7" ht="12" customHeight="1" x14ac:dyDescent="0.2">
      <c r="A300" s="319">
        <v>40</v>
      </c>
      <c r="B300" s="320" t="s">
        <v>1041</v>
      </c>
      <c r="C300" s="321"/>
      <c r="D300" s="319">
        <v>1</v>
      </c>
      <c r="E300" s="357">
        <v>636.69000000000005</v>
      </c>
      <c r="F300" s="357">
        <v>636.69000000000005</v>
      </c>
      <c r="G300" s="363">
        <f t="shared" si="4"/>
        <v>732.19349999999997</v>
      </c>
    </row>
    <row r="301" spans="1:7" ht="12.95" customHeight="1" x14ac:dyDescent="0.2">
      <c r="E301" s="334"/>
      <c r="F301" s="334"/>
      <c r="G301" s="363">
        <f t="shared" si="4"/>
        <v>0</v>
      </c>
    </row>
    <row r="302" spans="1:7" ht="12" customHeight="1" x14ac:dyDescent="0.2">
      <c r="A302" s="319">
        <v>41</v>
      </c>
      <c r="B302" s="320" t="s">
        <v>1042</v>
      </c>
      <c r="C302" s="321"/>
      <c r="D302" s="319">
        <v>1</v>
      </c>
      <c r="E302" s="322">
        <v>7835.11</v>
      </c>
      <c r="F302" s="322">
        <v>7835.11</v>
      </c>
      <c r="G302" s="363">
        <f t="shared" si="4"/>
        <v>9010.3764999999985</v>
      </c>
    </row>
    <row r="303" spans="1:7" ht="12.95" customHeight="1" x14ac:dyDescent="0.2">
      <c r="E303" s="334"/>
      <c r="F303" s="334"/>
      <c r="G303" s="363">
        <f t="shared" si="4"/>
        <v>0</v>
      </c>
    </row>
    <row r="304" spans="1:7" ht="12" customHeight="1" x14ac:dyDescent="0.2">
      <c r="A304" s="319">
        <v>42</v>
      </c>
      <c r="B304" s="320" t="s">
        <v>1043</v>
      </c>
      <c r="C304" s="321"/>
      <c r="D304" s="319">
        <v>1</v>
      </c>
      <c r="E304" s="322">
        <v>2697.33</v>
      </c>
      <c r="F304" s="322">
        <v>2697.33</v>
      </c>
      <c r="G304" s="363">
        <f t="shared" si="4"/>
        <v>3101.9294999999997</v>
      </c>
    </row>
    <row r="305" spans="1:7" ht="12.95" customHeight="1" x14ac:dyDescent="0.2">
      <c r="E305" s="334"/>
      <c r="F305" s="334"/>
      <c r="G305" s="363">
        <f t="shared" si="4"/>
        <v>0</v>
      </c>
    </row>
    <row r="306" spans="1:7" ht="12" customHeight="1" x14ac:dyDescent="0.2">
      <c r="A306" s="319">
        <v>43</v>
      </c>
      <c r="B306" s="320" t="s">
        <v>1044</v>
      </c>
      <c r="C306" s="321"/>
      <c r="D306" s="319">
        <v>1</v>
      </c>
      <c r="E306" s="322">
        <v>1841.24</v>
      </c>
      <c r="F306" s="322">
        <v>1841.24</v>
      </c>
      <c r="G306" s="363">
        <f t="shared" si="4"/>
        <v>2117.4259999999999</v>
      </c>
    </row>
    <row r="307" spans="1:7" ht="12.95" customHeight="1" x14ac:dyDescent="0.2">
      <c r="E307" s="334"/>
      <c r="F307" s="334"/>
      <c r="G307" s="363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 x14ac:dyDescent="0.25"/>
  <cols>
    <col min="3" max="3" width="94.42578125" customWidth="1"/>
    <col min="7" max="7" width="15.5703125" bestFit="1" customWidth="1"/>
  </cols>
  <sheetData>
    <row r="1" spans="1:26" ht="12" customHeight="1" x14ac:dyDescent="0.25">
      <c r="A1" s="348">
        <v>1</v>
      </c>
      <c r="B1" s="349" t="s">
        <v>890</v>
      </c>
      <c r="C1" s="350"/>
      <c r="D1" s="348">
        <v>1</v>
      </c>
      <c r="E1" s="351">
        <v>4640.3900000000003</v>
      </c>
      <c r="F1" s="351">
        <v>4640.3900000000003</v>
      </c>
      <c r="G1" s="352" t="s">
        <v>878</v>
      </c>
      <c r="H1" t="s">
        <v>914</v>
      </c>
      <c r="I1" t="s">
        <v>482</v>
      </c>
      <c r="J1" t="s">
        <v>915</v>
      </c>
      <c r="K1" t="s">
        <v>394</v>
      </c>
      <c r="L1">
        <v>459</v>
      </c>
      <c r="M1" t="s">
        <v>429</v>
      </c>
      <c r="N1">
        <v>2125</v>
      </c>
      <c r="O1" t="s">
        <v>879</v>
      </c>
      <c r="P1" t="s">
        <v>916</v>
      </c>
      <c r="R1" t="s">
        <v>917</v>
      </c>
    </row>
    <row r="2" spans="1:26" ht="12" customHeight="1" x14ac:dyDescent="0.25">
      <c r="A2" s="348">
        <v>4</v>
      </c>
      <c r="B2" s="349" t="s">
        <v>891</v>
      </c>
      <c r="C2" s="350"/>
      <c r="D2" s="348">
        <v>1</v>
      </c>
      <c r="E2" s="351">
        <v>2549.36</v>
      </c>
      <c r="F2" s="351">
        <v>2549.36</v>
      </c>
      <c r="G2" s="352" t="s">
        <v>905</v>
      </c>
      <c r="H2" t="s">
        <v>918</v>
      </c>
      <c r="I2" t="s">
        <v>394</v>
      </c>
      <c r="J2">
        <v>459</v>
      </c>
      <c r="K2" t="s">
        <v>883</v>
      </c>
      <c r="L2" t="s">
        <v>919</v>
      </c>
      <c r="M2" t="s">
        <v>434</v>
      </c>
      <c r="N2">
        <v>459</v>
      </c>
      <c r="O2" t="s">
        <v>884</v>
      </c>
      <c r="P2" t="s">
        <v>920</v>
      </c>
      <c r="Q2" t="s">
        <v>883</v>
      </c>
      <c r="R2" t="s">
        <v>919</v>
      </c>
      <c r="T2" t="s">
        <v>921</v>
      </c>
    </row>
    <row r="3" spans="1:26" ht="12" customHeight="1" x14ac:dyDescent="0.25">
      <c r="A3" s="348">
        <v>6</v>
      </c>
      <c r="B3" s="349" t="s">
        <v>892</v>
      </c>
      <c r="C3" s="350"/>
      <c r="D3" s="348">
        <v>1</v>
      </c>
      <c r="E3" s="351">
        <v>2341.52</v>
      </c>
      <c r="F3" s="351">
        <v>2341.52</v>
      </c>
      <c r="G3" s="352" t="s">
        <v>905</v>
      </c>
      <c r="H3" t="s">
        <v>918</v>
      </c>
      <c r="I3" t="s">
        <v>402</v>
      </c>
      <c r="J3">
        <v>391</v>
      </c>
      <c r="K3" t="s">
        <v>394</v>
      </c>
      <c r="L3">
        <v>459</v>
      </c>
      <c r="M3" t="s">
        <v>422</v>
      </c>
      <c r="N3">
        <v>408</v>
      </c>
      <c r="O3" t="s">
        <v>415</v>
      </c>
      <c r="P3" t="s">
        <v>922</v>
      </c>
      <c r="R3" t="s">
        <v>923</v>
      </c>
    </row>
    <row r="4" spans="1:26" ht="12" customHeight="1" x14ac:dyDescent="0.25">
      <c r="A4" s="348">
        <v>8</v>
      </c>
      <c r="B4" s="349" t="s">
        <v>893</v>
      </c>
      <c r="C4" s="350"/>
      <c r="D4" s="348">
        <v>1</v>
      </c>
      <c r="E4" s="351">
        <v>2667.94</v>
      </c>
      <c r="F4" s="351">
        <v>2667.94</v>
      </c>
      <c r="G4" s="352" t="s">
        <v>905</v>
      </c>
      <c r="H4" t="s">
        <v>918</v>
      </c>
      <c r="I4" t="s">
        <v>394</v>
      </c>
      <c r="J4">
        <v>459</v>
      </c>
      <c r="K4" t="s">
        <v>883</v>
      </c>
      <c r="L4" t="s">
        <v>919</v>
      </c>
      <c r="M4" t="s">
        <v>889</v>
      </c>
      <c r="N4" t="s">
        <v>924</v>
      </c>
      <c r="O4" t="s">
        <v>889</v>
      </c>
      <c r="P4" t="s">
        <v>924</v>
      </c>
      <c r="Q4" t="s">
        <v>434</v>
      </c>
      <c r="R4">
        <v>459</v>
      </c>
      <c r="S4" t="s">
        <v>884</v>
      </c>
      <c r="T4" t="s">
        <v>916</v>
      </c>
      <c r="V4" t="s">
        <v>925</v>
      </c>
    </row>
    <row r="5" spans="1:26" ht="12" customHeight="1" x14ac:dyDescent="0.25">
      <c r="A5" s="348">
        <v>11</v>
      </c>
      <c r="B5" s="349" t="s">
        <v>894</v>
      </c>
      <c r="C5" s="350"/>
      <c r="D5" s="348">
        <v>1</v>
      </c>
      <c r="E5" s="351">
        <v>3118.35</v>
      </c>
      <c r="F5" s="351">
        <v>3118.35</v>
      </c>
      <c r="G5" s="352" t="s">
        <v>406</v>
      </c>
      <c r="H5" t="s">
        <v>926</v>
      </c>
      <c r="I5" t="s">
        <v>878</v>
      </c>
      <c r="J5" t="s">
        <v>914</v>
      </c>
      <c r="K5" t="s">
        <v>879</v>
      </c>
      <c r="L5" t="s">
        <v>920</v>
      </c>
      <c r="M5" t="s">
        <v>666</v>
      </c>
      <c r="N5">
        <v>2210</v>
      </c>
      <c r="O5" t="s">
        <v>403</v>
      </c>
      <c r="P5" t="s">
        <v>927</v>
      </c>
      <c r="Q5" t="s">
        <v>394</v>
      </c>
      <c r="R5" t="s">
        <v>927</v>
      </c>
      <c r="S5" t="s">
        <v>906</v>
      </c>
      <c r="T5" t="s">
        <v>928</v>
      </c>
      <c r="U5" t="s">
        <v>677</v>
      </c>
      <c r="V5" t="s">
        <v>918</v>
      </c>
      <c r="W5" t="s">
        <v>442</v>
      </c>
      <c r="X5">
        <v>17</v>
      </c>
      <c r="Z5" t="s">
        <v>929</v>
      </c>
    </row>
    <row r="6" spans="1:26" ht="12" customHeight="1" x14ac:dyDescent="0.25">
      <c r="A6" s="348">
        <v>14</v>
      </c>
      <c r="B6" s="349" t="s">
        <v>895</v>
      </c>
      <c r="C6" s="350"/>
      <c r="D6" s="348">
        <v>1</v>
      </c>
      <c r="E6" s="351">
        <v>1580.28</v>
      </c>
      <c r="F6" s="351">
        <v>1580.28</v>
      </c>
      <c r="G6" s="352" t="s">
        <v>905</v>
      </c>
      <c r="H6" t="s">
        <v>918</v>
      </c>
      <c r="I6" t="s">
        <v>382</v>
      </c>
      <c r="J6">
        <v>459</v>
      </c>
      <c r="K6" t="s">
        <v>394</v>
      </c>
      <c r="L6" t="s">
        <v>930</v>
      </c>
      <c r="M6" t="s">
        <v>656</v>
      </c>
      <c r="N6">
        <v>9826</v>
      </c>
      <c r="P6" t="s">
        <v>931</v>
      </c>
    </row>
    <row r="7" spans="1:26" ht="12" customHeight="1" x14ac:dyDescent="0.25">
      <c r="A7" s="348">
        <v>16</v>
      </c>
      <c r="B7" s="349" t="s">
        <v>896</v>
      </c>
      <c r="C7" s="350"/>
      <c r="D7" s="348">
        <v>1</v>
      </c>
      <c r="E7" s="351">
        <v>2126.7600000000002</v>
      </c>
      <c r="F7" s="351">
        <v>2126.7600000000002</v>
      </c>
      <c r="G7" s="352" t="s">
        <v>905</v>
      </c>
      <c r="H7" t="s">
        <v>918</v>
      </c>
      <c r="I7" t="s">
        <v>879</v>
      </c>
      <c r="J7" t="s">
        <v>920</v>
      </c>
      <c r="K7" t="s">
        <v>488</v>
      </c>
      <c r="L7">
        <v>5168</v>
      </c>
      <c r="M7" t="s">
        <v>382</v>
      </c>
      <c r="N7">
        <v>459</v>
      </c>
      <c r="O7" t="s">
        <v>432</v>
      </c>
      <c r="P7" t="s">
        <v>932</v>
      </c>
      <c r="Q7" t="s">
        <v>439</v>
      </c>
      <c r="R7">
        <v>17</v>
      </c>
      <c r="T7" t="s">
        <v>933</v>
      </c>
    </row>
    <row r="8" spans="1:26" ht="12" customHeight="1" x14ac:dyDescent="0.25">
      <c r="A8" s="348">
        <v>18</v>
      </c>
      <c r="B8" s="349" t="s">
        <v>897</v>
      </c>
      <c r="C8" s="350"/>
      <c r="D8" s="348">
        <v>1</v>
      </c>
      <c r="E8" s="351">
        <v>1122.43</v>
      </c>
      <c r="F8" s="351">
        <v>1122.43</v>
      </c>
      <c r="G8" s="352" t="s">
        <v>905</v>
      </c>
      <c r="H8" t="s">
        <v>918</v>
      </c>
      <c r="I8" t="s">
        <v>879</v>
      </c>
      <c r="J8" t="s">
        <v>920</v>
      </c>
      <c r="K8" t="s">
        <v>488</v>
      </c>
      <c r="L8">
        <v>5168</v>
      </c>
      <c r="M8" t="s">
        <v>382</v>
      </c>
      <c r="N8">
        <v>459</v>
      </c>
      <c r="O8" t="s">
        <v>432</v>
      </c>
      <c r="P8" t="s">
        <v>932</v>
      </c>
      <c r="Q8" t="s">
        <v>439</v>
      </c>
      <c r="R8">
        <v>17</v>
      </c>
      <c r="T8" t="s">
        <v>934</v>
      </c>
    </row>
    <row r="9" spans="1:26" ht="12" customHeight="1" x14ac:dyDescent="0.25">
      <c r="A9" s="348">
        <v>20</v>
      </c>
      <c r="B9" s="349" t="s">
        <v>898</v>
      </c>
      <c r="C9" s="350"/>
      <c r="D9" s="348">
        <v>1</v>
      </c>
      <c r="E9" s="351">
        <v>1164.1300000000001</v>
      </c>
      <c r="F9" s="351">
        <v>1164.1300000000001</v>
      </c>
      <c r="G9" s="352" t="s">
        <v>905</v>
      </c>
      <c r="H9" t="s">
        <v>918</v>
      </c>
      <c r="I9" t="s">
        <v>879</v>
      </c>
      <c r="J9" t="s">
        <v>920</v>
      </c>
      <c r="K9" t="s">
        <v>488</v>
      </c>
      <c r="L9">
        <v>5168</v>
      </c>
      <c r="M9" t="s">
        <v>382</v>
      </c>
      <c r="N9">
        <v>459</v>
      </c>
      <c r="O9" t="s">
        <v>432</v>
      </c>
      <c r="P9" t="s">
        <v>932</v>
      </c>
      <c r="Q9" t="s">
        <v>439</v>
      </c>
      <c r="R9">
        <v>17</v>
      </c>
      <c r="T9" t="s">
        <v>935</v>
      </c>
    </row>
    <row r="10" spans="1:26" ht="12" customHeight="1" x14ac:dyDescent="0.25">
      <c r="A10" s="348">
        <v>22</v>
      </c>
      <c r="B10" s="349" t="s">
        <v>899</v>
      </c>
      <c r="C10" s="350"/>
      <c r="D10" s="348">
        <v>1</v>
      </c>
      <c r="E10" s="353">
        <v>1039</v>
      </c>
      <c r="F10" s="353">
        <v>1039</v>
      </c>
      <c r="G10" s="352" t="s">
        <v>905</v>
      </c>
      <c r="H10" t="s">
        <v>918</v>
      </c>
      <c r="I10" t="s">
        <v>879</v>
      </c>
      <c r="J10" t="s">
        <v>920</v>
      </c>
      <c r="K10" t="s">
        <v>488</v>
      </c>
      <c r="L10">
        <v>5168</v>
      </c>
      <c r="M10" t="s">
        <v>382</v>
      </c>
      <c r="N10">
        <v>459</v>
      </c>
      <c r="O10" t="s">
        <v>432</v>
      </c>
      <c r="P10" t="s">
        <v>932</v>
      </c>
      <c r="Q10" t="s">
        <v>439</v>
      </c>
      <c r="R10">
        <v>17</v>
      </c>
      <c r="T10" t="s">
        <v>936</v>
      </c>
    </row>
    <row r="11" spans="1:26" ht="12" customHeight="1" x14ac:dyDescent="0.25">
      <c r="A11" s="348">
        <v>24</v>
      </c>
      <c r="B11" s="349" t="s">
        <v>900</v>
      </c>
      <c r="C11" s="350"/>
      <c r="D11" s="348">
        <v>1</v>
      </c>
      <c r="E11" s="351">
        <v>1492.07</v>
      </c>
      <c r="F11" s="351">
        <v>1492.07</v>
      </c>
      <c r="G11" s="352" t="s">
        <v>905</v>
      </c>
      <c r="H11" t="s">
        <v>918</v>
      </c>
      <c r="I11" t="s">
        <v>879</v>
      </c>
      <c r="J11" t="s">
        <v>920</v>
      </c>
      <c r="K11" t="s">
        <v>429</v>
      </c>
      <c r="L11">
        <v>850</v>
      </c>
      <c r="M11" t="s">
        <v>677</v>
      </c>
      <c r="N11" t="s">
        <v>920</v>
      </c>
      <c r="O11" t="s">
        <v>382</v>
      </c>
      <c r="P11">
        <v>459</v>
      </c>
      <c r="Q11" t="s">
        <v>432</v>
      </c>
      <c r="R11" t="s">
        <v>932</v>
      </c>
      <c r="S11" t="s">
        <v>907</v>
      </c>
      <c r="T11" t="s">
        <v>937</v>
      </c>
      <c r="U11" t="s">
        <v>908</v>
      </c>
      <c r="V11" t="s">
        <v>938</v>
      </c>
      <c r="W11" t="s">
        <v>439</v>
      </c>
      <c r="X11">
        <v>17</v>
      </c>
      <c r="Z11" t="s">
        <v>939</v>
      </c>
    </row>
    <row r="12" spans="1:26" ht="12" customHeight="1" x14ac:dyDescent="0.25">
      <c r="A12" s="348">
        <v>26</v>
      </c>
      <c r="B12" s="349" t="s">
        <v>901</v>
      </c>
      <c r="C12" s="350"/>
      <c r="D12" s="348">
        <v>1</v>
      </c>
      <c r="E12" s="353">
        <v>1241</v>
      </c>
      <c r="F12" s="353">
        <v>1241</v>
      </c>
      <c r="G12" s="352" t="s">
        <v>432</v>
      </c>
      <c r="H12" t="s">
        <v>932</v>
      </c>
      <c r="I12" t="s">
        <v>878</v>
      </c>
      <c r="J12" t="s">
        <v>918</v>
      </c>
      <c r="K12" t="s">
        <v>879</v>
      </c>
      <c r="L12" t="s">
        <v>920</v>
      </c>
      <c r="M12" t="s">
        <v>429</v>
      </c>
      <c r="N12">
        <v>850</v>
      </c>
      <c r="O12" t="s">
        <v>446</v>
      </c>
      <c r="P12" t="s">
        <v>940</v>
      </c>
      <c r="Q12" t="s">
        <v>909</v>
      </c>
      <c r="R12">
        <v>289</v>
      </c>
      <c r="S12" t="s">
        <v>439</v>
      </c>
      <c r="T12">
        <v>17</v>
      </c>
      <c r="V12" t="s">
        <v>941</v>
      </c>
    </row>
    <row r="13" spans="1:26" ht="12" customHeight="1" x14ac:dyDescent="0.25">
      <c r="A13" s="348">
        <v>31</v>
      </c>
      <c r="B13" s="349" t="s">
        <v>902</v>
      </c>
      <c r="C13" s="350"/>
      <c r="D13" s="348">
        <v>1</v>
      </c>
      <c r="E13" s="351">
        <v>2381.38</v>
      </c>
      <c r="F13" s="351">
        <v>2381.38</v>
      </c>
      <c r="G13" s="352" t="s">
        <v>432</v>
      </c>
      <c r="H13" t="s">
        <v>932</v>
      </c>
      <c r="I13" t="s">
        <v>878</v>
      </c>
      <c r="J13" t="s">
        <v>916</v>
      </c>
      <c r="K13" t="s">
        <v>439</v>
      </c>
      <c r="L13">
        <v>17</v>
      </c>
      <c r="M13" t="s">
        <v>429</v>
      </c>
      <c r="N13">
        <v>850</v>
      </c>
      <c r="O13" t="s">
        <v>677</v>
      </c>
      <c r="P13" t="s">
        <v>920</v>
      </c>
      <c r="Q13" t="s">
        <v>910</v>
      </c>
      <c r="R13" t="s">
        <v>942</v>
      </c>
      <c r="S13" t="s">
        <v>911</v>
      </c>
      <c r="T13" t="s">
        <v>943</v>
      </c>
      <c r="V13" t="s">
        <v>944</v>
      </c>
    </row>
    <row r="14" spans="1:26" ht="12" customHeight="1" x14ac:dyDescent="0.25">
      <c r="A14" s="348">
        <v>35</v>
      </c>
      <c r="B14" s="349" t="s">
        <v>903</v>
      </c>
      <c r="C14" s="350"/>
      <c r="D14" s="348">
        <v>1</v>
      </c>
      <c r="E14" s="351">
        <v>2092.4499999999998</v>
      </c>
      <c r="F14" s="351">
        <v>2092.4499999999998</v>
      </c>
      <c r="G14" s="352" t="s">
        <v>905</v>
      </c>
      <c r="H14" t="s">
        <v>918</v>
      </c>
      <c r="I14" t="s">
        <v>879</v>
      </c>
      <c r="J14" t="s">
        <v>916</v>
      </c>
      <c r="K14" t="s">
        <v>429</v>
      </c>
      <c r="L14">
        <v>850</v>
      </c>
      <c r="M14" t="s">
        <v>677</v>
      </c>
      <c r="N14" t="s">
        <v>918</v>
      </c>
      <c r="O14" t="s">
        <v>434</v>
      </c>
      <c r="P14">
        <v>459</v>
      </c>
      <c r="Q14" t="s">
        <v>394</v>
      </c>
      <c r="R14">
        <v>459</v>
      </c>
      <c r="S14" t="s">
        <v>912</v>
      </c>
      <c r="T14" t="s">
        <v>945</v>
      </c>
      <c r="V14" t="s">
        <v>946</v>
      </c>
    </row>
    <row r="15" spans="1:26" ht="12" customHeight="1" x14ac:dyDescent="0.25">
      <c r="A15" s="348">
        <v>37</v>
      </c>
      <c r="B15" s="349" t="s">
        <v>904</v>
      </c>
      <c r="C15" s="350"/>
      <c r="D15" s="348">
        <v>1</v>
      </c>
      <c r="E15" s="351">
        <v>1864.82</v>
      </c>
      <c r="F15" s="351">
        <v>1864.82</v>
      </c>
      <c r="G15" s="352" t="s">
        <v>905</v>
      </c>
      <c r="H15" t="s">
        <v>918</v>
      </c>
      <c r="I15" t="s">
        <v>879</v>
      </c>
      <c r="J15" t="s">
        <v>916</v>
      </c>
      <c r="K15" t="s">
        <v>429</v>
      </c>
      <c r="L15">
        <v>850</v>
      </c>
      <c r="M15" t="s">
        <v>677</v>
      </c>
      <c r="N15" t="s">
        <v>918</v>
      </c>
      <c r="O15" t="s">
        <v>434</v>
      </c>
      <c r="P15">
        <v>459</v>
      </c>
      <c r="Q15" t="s">
        <v>394</v>
      </c>
      <c r="R15">
        <v>459</v>
      </c>
      <c r="S15" t="s">
        <v>913</v>
      </c>
      <c r="T15" t="s">
        <v>947</v>
      </c>
      <c r="V15" t="s">
        <v>948</v>
      </c>
    </row>
    <row r="16" spans="1:26" x14ac:dyDescent="0.25">
      <c r="G16" s="354" t="s">
        <v>949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690</v>
      </c>
    </row>
    <row r="5" spans="1:1" ht="170.1" customHeight="1" thickBot="1" x14ac:dyDescent="0.3">
      <c r="A5" s="3" t="s">
        <v>691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694</v>
      </c>
    </row>
    <row r="28" spans="1:1" ht="170.1" customHeight="1" thickBot="1" x14ac:dyDescent="0.3">
      <c r="A28" s="5" t="s">
        <v>695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797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696</v>
      </c>
    </row>
    <row r="49" spans="1:1" ht="170.1" customHeight="1" thickBot="1" x14ac:dyDescent="0.3">
      <c r="A49" s="7" t="s">
        <v>697</v>
      </c>
    </row>
    <row r="50" spans="1:1" ht="170.1" customHeight="1" thickBot="1" x14ac:dyDescent="0.3">
      <c r="A50" s="10" t="s">
        <v>698</v>
      </c>
    </row>
    <row r="51" spans="1:1" ht="170.1" customHeight="1" thickBot="1" x14ac:dyDescent="0.3">
      <c r="A51" s="10" t="s">
        <v>699</v>
      </c>
    </row>
    <row r="52" spans="1:1" ht="170.1" customHeight="1" thickBot="1" x14ac:dyDescent="0.3">
      <c r="A52" s="10" t="s">
        <v>700</v>
      </c>
    </row>
    <row r="53" spans="1:1" ht="170.1" customHeight="1" thickBot="1" x14ac:dyDescent="0.3">
      <c r="A53" s="7" t="s">
        <v>701</v>
      </c>
    </row>
    <row r="54" spans="1:1" ht="170.1" customHeight="1" thickBot="1" x14ac:dyDescent="0.3">
      <c r="A54" s="7" t="s">
        <v>850</v>
      </c>
    </row>
    <row r="55" spans="1:1" ht="170.1" customHeight="1" thickBot="1" x14ac:dyDescent="0.3">
      <c r="A55" s="22" t="s">
        <v>702</v>
      </c>
    </row>
    <row r="56" spans="1:1" ht="170.1" customHeight="1" thickBot="1" x14ac:dyDescent="0.3">
      <c r="A56" s="22" t="s">
        <v>703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861</v>
      </c>
    </row>
    <row r="66" spans="1:1" ht="170.1" customHeight="1" thickBot="1" x14ac:dyDescent="0.3">
      <c r="A66" s="24" t="s">
        <v>862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837</v>
      </c>
    </row>
    <row r="70" spans="1:1" ht="170.1" customHeight="1" thickBot="1" x14ac:dyDescent="0.3">
      <c r="A70" s="7" t="s">
        <v>838</v>
      </c>
    </row>
    <row r="71" spans="1:1" ht="170.1" customHeight="1" thickBot="1" x14ac:dyDescent="0.3">
      <c r="A71" s="25" t="s">
        <v>841</v>
      </c>
    </row>
    <row r="72" spans="1:1" ht="170.1" customHeight="1" thickBot="1" x14ac:dyDescent="0.3">
      <c r="A72" s="25" t="s">
        <v>842</v>
      </c>
    </row>
    <row r="73" spans="1:1" ht="170.1" customHeight="1" thickBot="1" x14ac:dyDescent="0.3">
      <c r="A73" s="25" t="s">
        <v>843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725</v>
      </c>
    </row>
    <row r="81" spans="1:1" ht="170.1" customHeight="1" thickBot="1" x14ac:dyDescent="0.3">
      <c r="A81" s="7" t="s">
        <v>726</v>
      </c>
    </row>
    <row r="82" spans="1:1" ht="170.1" customHeight="1" thickBot="1" x14ac:dyDescent="0.3">
      <c r="A82" s="10" t="s">
        <v>729</v>
      </c>
    </row>
    <row r="83" spans="1:1" ht="170.1" customHeight="1" thickBot="1" x14ac:dyDescent="0.3">
      <c r="A83" s="10" t="s">
        <v>730</v>
      </c>
    </row>
    <row r="84" spans="1:1" ht="170.1" customHeight="1" thickBot="1" x14ac:dyDescent="0.3">
      <c r="A84" s="7" t="s">
        <v>733</v>
      </c>
    </row>
    <row r="85" spans="1:1" ht="170.1" customHeight="1" thickBot="1" x14ac:dyDescent="0.3">
      <c r="A85" s="7" t="s">
        <v>734</v>
      </c>
    </row>
    <row r="86" spans="1:1" ht="170.1" customHeight="1" thickBot="1" x14ac:dyDescent="0.3">
      <c r="A86" s="7" t="s">
        <v>735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"/>
      </mc:Fallback>
    </mc:AlternateContent>
    <mc:AlternateContent xmlns:mc="http://schemas.openxmlformats.org/markup-compatibility/2006">
      <mc:Choice Requires="x14">
        <control shapeId="5159" r:id="rId83" name="EHV2D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491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361</v>
      </c>
      <c r="J4" s="31" t="s">
        <v>362</v>
      </c>
    </row>
    <row r="5" spans="1:11" x14ac:dyDescent="0.2">
      <c r="B5" s="543" t="s">
        <v>492</v>
      </c>
      <c r="C5" s="543"/>
      <c r="D5" s="543"/>
      <c r="E5" s="543"/>
      <c r="F5" s="543"/>
      <c r="G5" s="543"/>
      <c r="H5" s="543"/>
      <c r="I5" s="33" t="s">
        <v>366</v>
      </c>
      <c r="J5" s="31" t="s">
        <v>367</v>
      </c>
      <c r="K5" s="143" t="s">
        <v>368</v>
      </c>
    </row>
    <row r="6" spans="1:11" x14ac:dyDescent="0.2">
      <c r="B6" s="144" t="s">
        <v>493</v>
      </c>
      <c r="C6" s="145" t="s">
        <v>494</v>
      </c>
      <c r="D6" s="145" t="s">
        <v>495</v>
      </c>
      <c r="E6" s="146" t="s">
        <v>496</v>
      </c>
      <c r="F6" s="146" t="s">
        <v>497</v>
      </c>
      <c r="G6" s="147" t="s">
        <v>498</v>
      </c>
      <c r="H6" s="148" t="s">
        <v>499</v>
      </c>
      <c r="I6" s="33" t="s">
        <v>369</v>
      </c>
      <c r="J6" s="31" t="s">
        <v>370</v>
      </c>
      <c r="K6" s="149" t="s">
        <v>371</v>
      </c>
    </row>
    <row r="7" spans="1:11" x14ac:dyDescent="0.2">
      <c r="A7" s="33">
        <v>1</v>
      </c>
      <c r="B7" s="150" t="s">
        <v>500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501</v>
      </c>
      <c r="H7" s="156" t="s">
        <v>502</v>
      </c>
      <c r="I7" s="33"/>
      <c r="K7" s="149" t="s">
        <v>372</v>
      </c>
    </row>
    <row r="8" spans="1:11" x14ac:dyDescent="0.2">
      <c r="A8" s="33">
        <v>2</v>
      </c>
      <c r="B8" s="150" t="s">
        <v>503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501</v>
      </c>
      <c r="H8" s="156" t="s">
        <v>502</v>
      </c>
      <c r="I8" s="33" t="s">
        <v>373</v>
      </c>
      <c r="J8" s="31" t="s">
        <v>374</v>
      </c>
      <c r="K8" s="157" t="s">
        <v>375</v>
      </c>
    </row>
    <row r="9" spans="1:11" x14ac:dyDescent="0.2">
      <c r="A9" s="33">
        <v>3</v>
      </c>
      <c r="B9" s="150" t="s">
        <v>504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501</v>
      </c>
      <c r="H9" s="156" t="s">
        <v>502</v>
      </c>
      <c r="I9" s="33"/>
      <c r="K9" s="157" t="s">
        <v>376</v>
      </c>
    </row>
    <row r="10" spans="1:11" x14ac:dyDescent="0.2">
      <c r="A10" s="33">
        <v>4</v>
      </c>
      <c r="B10" s="150" t="s">
        <v>505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501</v>
      </c>
      <c r="H10" s="156" t="s">
        <v>502</v>
      </c>
    </row>
    <row r="11" spans="1:11" x14ac:dyDescent="0.2">
      <c r="A11" s="33">
        <v>5</v>
      </c>
      <c r="B11" s="150" t="s">
        <v>506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501</v>
      </c>
      <c r="H11" s="156" t="s">
        <v>502</v>
      </c>
    </row>
    <row r="12" spans="1:11" x14ac:dyDescent="0.2">
      <c r="A12" s="33">
        <v>6</v>
      </c>
      <c r="B12" s="150" t="s">
        <v>507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501</v>
      </c>
      <c r="H12" s="156" t="s">
        <v>502</v>
      </c>
    </row>
    <row r="13" spans="1:11" x14ac:dyDescent="0.2">
      <c r="A13" s="33">
        <v>7</v>
      </c>
      <c r="B13" s="150" t="s">
        <v>508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501</v>
      </c>
      <c r="H13" s="156" t="s">
        <v>502</v>
      </c>
    </row>
    <row r="14" spans="1:11" x14ac:dyDescent="0.2">
      <c r="A14" s="33">
        <v>8</v>
      </c>
      <c r="B14" s="150" t="s">
        <v>509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501</v>
      </c>
      <c r="H14" s="156" t="s">
        <v>502</v>
      </c>
    </row>
    <row r="15" spans="1:11" x14ac:dyDescent="0.2">
      <c r="A15" s="33">
        <v>9</v>
      </c>
      <c r="B15" s="150" t="s">
        <v>510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501</v>
      </c>
      <c r="H15" s="156" t="s">
        <v>502</v>
      </c>
    </row>
    <row r="16" spans="1:11" x14ac:dyDescent="0.2">
      <c r="A16" s="33">
        <v>10</v>
      </c>
      <c r="B16" s="150" t="s">
        <v>511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501</v>
      </c>
      <c r="H16" s="156" t="s">
        <v>512</v>
      </c>
    </row>
    <row r="17" spans="1:8" x14ac:dyDescent="0.2">
      <c r="A17" s="33">
        <v>11</v>
      </c>
      <c r="B17" s="150" t="s">
        <v>513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501</v>
      </c>
      <c r="H17" s="156" t="s">
        <v>514</v>
      </c>
    </row>
    <row r="18" spans="1:8" x14ac:dyDescent="0.2">
      <c r="A18" s="33">
        <v>12</v>
      </c>
      <c r="B18" s="150" t="s">
        <v>515</v>
      </c>
      <c r="C18" s="151" t="s">
        <v>187</v>
      </c>
      <c r="D18" s="152">
        <v>2840</v>
      </c>
      <c r="E18" s="153">
        <v>3070</v>
      </c>
      <c r="F18" s="154">
        <v>8.098591549295775E-2</v>
      </c>
      <c r="G18" s="155" t="s">
        <v>501</v>
      </c>
      <c r="H18" s="156" t="s">
        <v>516</v>
      </c>
    </row>
    <row r="19" spans="1:8" x14ac:dyDescent="0.2">
      <c r="A19" s="33">
        <v>13</v>
      </c>
      <c r="B19" s="150" t="s">
        <v>517</v>
      </c>
      <c r="C19" s="151" t="s">
        <v>186</v>
      </c>
      <c r="D19" s="152">
        <v>2840</v>
      </c>
      <c r="E19" s="153">
        <v>3070</v>
      </c>
      <c r="F19" s="154">
        <v>8.098591549295775E-2</v>
      </c>
      <c r="G19" s="155" t="s">
        <v>501</v>
      </c>
      <c r="H19" s="159" t="s">
        <v>518</v>
      </c>
    </row>
    <row r="20" spans="1:8" x14ac:dyDescent="0.2">
      <c r="A20" s="33">
        <v>14</v>
      </c>
      <c r="B20" s="150" t="s">
        <v>519</v>
      </c>
      <c r="C20" s="151" t="s">
        <v>192</v>
      </c>
      <c r="D20" s="152">
        <v>3067.2000000000003</v>
      </c>
      <c r="E20" s="158">
        <v>3315.6000000000004</v>
      </c>
      <c r="F20" s="154">
        <v>8.098591549295775E-2</v>
      </c>
      <c r="G20" s="155" t="s">
        <v>501</v>
      </c>
      <c r="H20" s="156" t="s">
        <v>516</v>
      </c>
    </row>
    <row r="21" spans="1:8" x14ac:dyDescent="0.2">
      <c r="A21" s="33">
        <v>15</v>
      </c>
      <c r="B21" s="150" t="s">
        <v>520</v>
      </c>
      <c r="C21" s="151" t="s">
        <v>191</v>
      </c>
      <c r="D21" s="152">
        <v>3067.2000000000003</v>
      </c>
      <c r="E21" s="158">
        <v>3315.6000000000004</v>
      </c>
      <c r="F21" s="154">
        <v>8.098591549295775E-2</v>
      </c>
      <c r="G21" s="155" t="s">
        <v>501</v>
      </c>
      <c r="H21" s="159" t="s">
        <v>518</v>
      </c>
    </row>
    <row r="22" spans="1:8" x14ac:dyDescent="0.2">
      <c r="A22" s="33">
        <v>16</v>
      </c>
      <c r="B22" s="150" t="s">
        <v>521</v>
      </c>
      <c r="C22" s="151" t="s">
        <v>189</v>
      </c>
      <c r="D22" s="152">
        <v>2640</v>
      </c>
      <c r="E22" s="153">
        <v>2850</v>
      </c>
      <c r="F22" s="154">
        <v>7.9545454545454586E-2</v>
      </c>
      <c r="G22" s="155" t="s">
        <v>501</v>
      </c>
      <c r="H22" s="159" t="s">
        <v>516</v>
      </c>
    </row>
    <row r="23" spans="1:8" x14ac:dyDescent="0.2">
      <c r="A23" s="33">
        <v>17</v>
      </c>
      <c r="B23" s="150" t="s">
        <v>522</v>
      </c>
      <c r="C23" s="151" t="s">
        <v>188</v>
      </c>
      <c r="D23" s="152">
        <v>2640</v>
      </c>
      <c r="E23" s="153">
        <v>2850</v>
      </c>
      <c r="F23" s="154">
        <v>7.9545454545454586E-2</v>
      </c>
      <c r="G23" s="155" t="s">
        <v>501</v>
      </c>
      <c r="H23" s="156" t="s">
        <v>516</v>
      </c>
    </row>
    <row r="24" spans="1:8" x14ac:dyDescent="0.2">
      <c r="A24" s="33">
        <v>18</v>
      </c>
      <c r="B24" s="150" t="s">
        <v>523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501</v>
      </c>
      <c r="H24" s="156" t="s">
        <v>524</v>
      </c>
    </row>
    <row r="25" spans="1:8" x14ac:dyDescent="0.2">
      <c r="A25" s="33">
        <v>19</v>
      </c>
      <c r="B25" s="150" t="s">
        <v>525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501</v>
      </c>
      <c r="H25" s="156" t="s">
        <v>524</v>
      </c>
    </row>
    <row r="26" spans="1:8" x14ac:dyDescent="0.2">
      <c r="A26" s="33">
        <v>20</v>
      </c>
      <c r="B26" s="150" t="s">
        <v>526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501</v>
      </c>
      <c r="H26" s="156" t="s">
        <v>527</v>
      </c>
    </row>
    <row r="27" spans="1:8" x14ac:dyDescent="0.2">
      <c r="A27" s="33">
        <v>21</v>
      </c>
      <c r="B27" s="150" t="s">
        <v>528</v>
      </c>
      <c r="C27" s="151" t="s">
        <v>140</v>
      </c>
      <c r="D27" s="152">
        <v>2130</v>
      </c>
      <c r="E27" s="153">
        <v>2300</v>
      </c>
      <c r="F27" s="154">
        <v>7.9812206572769995E-2</v>
      </c>
      <c r="G27" s="155" t="s">
        <v>501</v>
      </c>
      <c r="H27" s="156" t="s">
        <v>527</v>
      </c>
    </row>
    <row r="28" spans="1:8" x14ac:dyDescent="0.2">
      <c r="A28" s="33">
        <v>22</v>
      </c>
      <c r="B28" s="150" t="s">
        <v>529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501</v>
      </c>
      <c r="H28" s="156" t="s">
        <v>527</v>
      </c>
    </row>
    <row r="29" spans="1:8" x14ac:dyDescent="0.2">
      <c r="A29" s="33">
        <v>23</v>
      </c>
      <c r="B29" s="150" t="s">
        <v>530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501</v>
      </c>
      <c r="H29" s="156" t="s">
        <v>527</v>
      </c>
    </row>
    <row r="30" spans="1:8" x14ac:dyDescent="0.2">
      <c r="A30" s="33">
        <v>24</v>
      </c>
      <c r="B30" s="150" t="s">
        <v>531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501</v>
      </c>
      <c r="H30" s="156" t="s">
        <v>527</v>
      </c>
    </row>
    <row r="31" spans="1:8" x14ac:dyDescent="0.2">
      <c r="A31" s="33">
        <v>25</v>
      </c>
      <c r="B31" s="150" t="s">
        <v>532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501</v>
      </c>
      <c r="H31" s="156" t="s">
        <v>527</v>
      </c>
    </row>
    <row r="32" spans="1:8" x14ac:dyDescent="0.2">
      <c r="A32" s="33">
        <v>26</v>
      </c>
      <c r="B32" s="150" t="s">
        <v>533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501</v>
      </c>
      <c r="H32" s="156" t="s">
        <v>527</v>
      </c>
    </row>
    <row r="33" spans="1:8" x14ac:dyDescent="0.2">
      <c r="A33" s="33">
        <v>27</v>
      </c>
      <c r="B33" s="161" t="s">
        <v>534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501</v>
      </c>
      <c r="H33" s="167" t="s">
        <v>535</v>
      </c>
    </row>
    <row r="34" spans="1:8" x14ac:dyDescent="0.2">
      <c r="A34" s="33">
        <v>28</v>
      </c>
      <c r="B34" s="150" t="s">
        <v>536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501</v>
      </c>
      <c r="H34" s="156" t="s">
        <v>537</v>
      </c>
    </row>
    <row r="35" spans="1:8" x14ac:dyDescent="0.2">
      <c r="A35" s="33">
        <v>29</v>
      </c>
      <c r="B35" s="150" t="s">
        <v>538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501</v>
      </c>
      <c r="H35" s="156" t="s">
        <v>539</v>
      </c>
    </row>
    <row r="36" spans="1:8" x14ac:dyDescent="0.2">
      <c r="A36" s="33">
        <v>30</v>
      </c>
      <c r="B36" s="150" t="s">
        <v>540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501</v>
      </c>
      <c r="H36" s="156" t="s">
        <v>539</v>
      </c>
    </row>
    <row r="37" spans="1:8" x14ac:dyDescent="0.2">
      <c r="A37" s="33">
        <v>31</v>
      </c>
      <c r="B37" s="168" t="s">
        <v>541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501</v>
      </c>
      <c r="H37" s="174" t="s">
        <v>542</v>
      </c>
    </row>
    <row r="38" spans="1:8" hidden="1" x14ac:dyDescent="0.2">
      <c r="B38" s="175" t="s">
        <v>543</v>
      </c>
      <c r="C38" s="175" t="s">
        <v>544</v>
      </c>
      <c r="D38" s="176">
        <v>1863.81</v>
      </c>
      <c r="E38" s="176"/>
      <c r="F38" s="177"/>
      <c r="G38" s="178" t="s">
        <v>501</v>
      </c>
      <c r="H38" s="175" t="s">
        <v>527</v>
      </c>
    </row>
    <row r="39" spans="1:8" hidden="1" x14ac:dyDescent="0.2">
      <c r="B39" s="175" t="s">
        <v>545</v>
      </c>
      <c r="C39" s="175" t="s">
        <v>546</v>
      </c>
      <c r="D39" s="176">
        <v>2734.89</v>
      </c>
      <c r="E39" s="179"/>
      <c r="F39" s="180"/>
      <c r="G39" s="178" t="s">
        <v>501</v>
      </c>
      <c r="H39" s="175" t="s">
        <v>516</v>
      </c>
    </row>
    <row r="40" spans="1:8" hidden="1" x14ac:dyDescent="0.2">
      <c r="B40" s="175" t="s">
        <v>547</v>
      </c>
      <c r="C40" s="175" t="s">
        <v>548</v>
      </c>
      <c r="D40" s="176">
        <v>2734.89</v>
      </c>
      <c r="E40" s="179"/>
      <c r="F40" s="180"/>
      <c r="G40" s="178" t="s">
        <v>501</v>
      </c>
      <c r="H40" s="175" t="s">
        <v>516</v>
      </c>
    </row>
    <row r="41" spans="1:8" hidden="1" x14ac:dyDescent="0.2">
      <c r="B41" s="175" t="s">
        <v>549</v>
      </c>
      <c r="C41" s="175" t="s">
        <v>550</v>
      </c>
      <c r="D41" s="176">
        <v>2462.36</v>
      </c>
      <c r="E41" s="179"/>
      <c r="F41" s="180"/>
      <c r="G41" s="178" t="s">
        <v>501</v>
      </c>
      <c r="H41" s="175" t="s">
        <v>551</v>
      </c>
    </row>
    <row r="42" spans="1:8" hidden="1" x14ac:dyDescent="0.2">
      <c r="B42" s="175" t="s">
        <v>552</v>
      </c>
      <c r="C42" s="175" t="s">
        <v>553</v>
      </c>
      <c r="D42" s="176">
        <v>2394.23</v>
      </c>
      <c r="E42" s="181"/>
      <c r="F42" s="178"/>
      <c r="G42" s="178" t="s">
        <v>501</v>
      </c>
      <c r="H42" s="175" t="s">
        <v>535</v>
      </c>
    </row>
    <row r="43" spans="1:8" hidden="1" x14ac:dyDescent="0.2">
      <c r="B43" s="175" t="s">
        <v>554</v>
      </c>
      <c r="C43" s="175" t="s">
        <v>555</v>
      </c>
      <c r="D43" s="176">
        <v>1986.69</v>
      </c>
      <c r="E43" s="179"/>
      <c r="F43" s="180"/>
      <c r="G43" s="178" t="s">
        <v>501</v>
      </c>
      <c r="H43" s="175" t="s">
        <v>512</v>
      </c>
    </row>
    <row r="44" spans="1:8" hidden="1" x14ac:dyDescent="0.2">
      <c r="B44" s="175" t="s">
        <v>556</v>
      </c>
      <c r="C44" s="175" t="s">
        <v>557</v>
      </c>
      <c r="D44" s="176">
        <v>1986.69</v>
      </c>
      <c r="E44" s="179"/>
      <c r="F44" s="180"/>
      <c r="G44" s="178" t="s">
        <v>501</v>
      </c>
      <c r="H44" s="175" t="s">
        <v>512</v>
      </c>
    </row>
    <row r="45" spans="1:8" x14ac:dyDescent="0.2">
      <c r="B45" s="543" t="s">
        <v>558</v>
      </c>
      <c r="C45" s="543"/>
      <c r="D45" s="543"/>
      <c r="E45" s="543"/>
      <c r="F45" s="543"/>
      <c r="G45" s="543"/>
      <c r="H45" s="543"/>
    </row>
    <row r="46" spans="1:8" x14ac:dyDescent="0.2">
      <c r="B46" s="144" t="s">
        <v>493</v>
      </c>
      <c r="C46" s="145" t="s">
        <v>494</v>
      </c>
      <c r="D46" s="145" t="s">
        <v>495</v>
      </c>
      <c r="E46" s="146" t="s">
        <v>496</v>
      </c>
      <c r="F46" s="146" t="s">
        <v>497</v>
      </c>
      <c r="G46" s="147" t="s">
        <v>498</v>
      </c>
      <c r="H46" s="148" t="s">
        <v>499</v>
      </c>
    </row>
    <row r="47" spans="1:8" x14ac:dyDescent="0.2">
      <c r="A47" s="33">
        <v>1</v>
      </c>
      <c r="B47" s="150" t="s">
        <v>559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501</v>
      </c>
      <c r="H47" s="156" t="s">
        <v>518</v>
      </c>
    </row>
    <row r="48" spans="1:8" x14ac:dyDescent="0.2">
      <c r="A48" s="33">
        <v>2</v>
      </c>
      <c r="B48" s="150" t="s">
        <v>560</v>
      </c>
      <c r="C48" s="151" t="s">
        <v>131</v>
      </c>
      <c r="D48" s="152">
        <v>1390</v>
      </c>
      <c r="E48" s="153">
        <v>1510</v>
      </c>
      <c r="F48" s="154">
        <v>8.6330935251798468E-2</v>
      </c>
      <c r="G48" s="155" t="s">
        <v>501</v>
      </c>
      <c r="H48" s="156" t="s">
        <v>518</v>
      </c>
    </row>
    <row r="49" spans="1:8" x14ac:dyDescent="0.2">
      <c r="A49" s="33">
        <v>3</v>
      </c>
      <c r="B49" s="150" t="s">
        <v>561</v>
      </c>
      <c r="C49" s="151" t="s">
        <v>133</v>
      </c>
      <c r="D49" s="152">
        <v>1390</v>
      </c>
      <c r="E49" s="153">
        <v>1510</v>
      </c>
      <c r="F49" s="154">
        <v>8.6330935251798468E-2</v>
      </c>
      <c r="G49" s="155" t="s">
        <v>501</v>
      </c>
      <c r="H49" s="156" t="s">
        <v>518</v>
      </c>
    </row>
    <row r="50" spans="1:8" x14ac:dyDescent="0.2">
      <c r="A50" s="33">
        <v>4</v>
      </c>
      <c r="B50" s="150" t="s">
        <v>562</v>
      </c>
      <c r="C50" s="151" t="s">
        <v>135</v>
      </c>
      <c r="D50" s="152">
        <v>1390</v>
      </c>
      <c r="E50" s="153">
        <v>1510</v>
      </c>
      <c r="F50" s="154">
        <v>8.6330935251798468E-2</v>
      </c>
      <c r="G50" s="155" t="s">
        <v>501</v>
      </c>
      <c r="H50" s="156" t="s">
        <v>518</v>
      </c>
    </row>
    <row r="51" spans="1:8" x14ac:dyDescent="0.2">
      <c r="A51" s="33">
        <v>5</v>
      </c>
      <c r="B51" s="150" t="s">
        <v>563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501</v>
      </c>
      <c r="H51" s="156" t="s">
        <v>518</v>
      </c>
    </row>
    <row r="52" spans="1:8" x14ac:dyDescent="0.2">
      <c r="A52" s="33">
        <v>6</v>
      </c>
      <c r="B52" s="150" t="s">
        <v>564</v>
      </c>
      <c r="C52" s="151" t="s">
        <v>138</v>
      </c>
      <c r="D52" s="152">
        <v>1390</v>
      </c>
      <c r="E52" s="153">
        <v>1510</v>
      </c>
      <c r="F52" s="154">
        <v>8.6330935251798468E-2</v>
      </c>
      <c r="G52" s="155" t="s">
        <v>501</v>
      </c>
      <c r="H52" s="156" t="s">
        <v>518</v>
      </c>
    </row>
    <row r="53" spans="1:8" x14ac:dyDescent="0.2">
      <c r="A53" s="33">
        <v>7</v>
      </c>
      <c r="B53" s="150" t="s">
        <v>565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501</v>
      </c>
      <c r="H53" s="156" t="s">
        <v>518</v>
      </c>
    </row>
    <row r="54" spans="1:8" x14ac:dyDescent="0.2">
      <c r="A54" s="33">
        <v>8</v>
      </c>
      <c r="B54" s="150" t="s">
        <v>566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501</v>
      </c>
      <c r="H54" s="156" t="s">
        <v>518</v>
      </c>
    </row>
    <row r="55" spans="1:8" x14ac:dyDescent="0.2">
      <c r="A55" s="33">
        <v>9</v>
      </c>
      <c r="B55" s="150" t="s">
        <v>567</v>
      </c>
      <c r="C55" s="151" t="s">
        <v>568</v>
      </c>
      <c r="D55" s="152">
        <v>1390</v>
      </c>
      <c r="E55" s="153">
        <v>1510</v>
      </c>
      <c r="F55" s="154">
        <v>8.6330935251798468E-2</v>
      </c>
      <c r="G55" s="155" t="s">
        <v>501</v>
      </c>
      <c r="H55" s="156" t="s">
        <v>527</v>
      </c>
    </row>
    <row r="56" spans="1:8" x14ac:dyDescent="0.2">
      <c r="A56" s="33">
        <v>10</v>
      </c>
      <c r="B56" s="182" t="s">
        <v>569</v>
      </c>
      <c r="C56" s="183" t="s">
        <v>136</v>
      </c>
      <c r="D56" s="184">
        <v>1350</v>
      </c>
      <c r="E56" s="185">
        <v>1460</v>
      </c>
      <c r="F56" s="186">
        <v>8.1481481481481488E-2</v>
      </c>
      <c r="G56" s="187" t="s">
        <v>501</v>
      </c>
      <c r="H56" s="188" t="s">
        <v>570</v>
      </c>
    </row>
    <row r="57" spans="1:8" x14ac:dyDescent="0.2">
      <c r="A57" s="33">
        <v>11</v>
      </c>
      <c r="B57" s="182" t="s">
        <v>571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501</v>
      </c>
      <c r="H57" s="188" t="s">
        <v>570</v>
      </c>
    </row>
    <row r="58" spans="1:8" x14ac:dyDescent="0.2">
      <c r="A58" s="33">
        <v>12</v>
      </c>
      <c r="B58" s="182" t="s">
        <v>572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501</v>
      </c>
      <c r="H58" s="188" t="s">
        <v>570</v>
      </c>
    </row>
    <row r="59" spans="1:8" x14ac:dyDescent="0.2">
      <c r="A59" s="33">
        <v>13</v>
      </c>
      <c r="B59" s="150" t="s">
        <v>573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501</v>
      </c>
      <c r="H59" s="156" t="s">
        <v>574</v>
      </c>
    </row>
    <row r="60" spans="1:8" ht="13.5" customHeight="1" x14ac:dyDescent="0.2">
      <c r="A60" s="33">
        <v>14</v>
      </c>
      <c r="B60" s="150" t="s">
        <v>575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501</v>
      </c>
      <c r="H60" s="156" t="s">
        <v>574</v>
      </c>
    </row>
    <row r="61" spans="1:8" x14ac:dyDescent="0.2">
      <c r="A61" s="33">
        <v>15</v>
      </c>
      <c r="B61" s="150" t="s">
        <v>576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501</v>
      </c>
      <c r="H61" s="156" t="s">
        <v>577</v>
      </c>
    </row>
    <row r="62" spans="1:8" x14ac:dyDescent="0.2">
      <c r="A62" s="33">
        <v>16</v>
      </c>
      <c r="B62" s="150" t="s">
        <v>578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501</v>
      </c>
      <c r="H62" s="156" t="s">
        <v>577</v>
      </c>
    </row>
    <row r="63" spans="1:8" x14ac:dyDescent="0.2">
      <c r="A63" s="33">
        <v>17</v>
      </c>
      <c r="B63" s="150" t="s">
        <v>579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501</v>
      </c>
      <c r="H63" s="156" t="s">
        <v>580</v>
      </c>
    </row>
    <row r="64" spans="1:8" x14ac:dyDescent="0.2">
      <c r="A64" s="33">
        <v>18</v>
      </c>
      <c r="B64" s="150" t="s">
        <v>581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501</v>
      </c>
      <c r="H64" s="156" t="s">
        <v>580</v>
      </c>
    </row>
    <row r="65" spans="1:8" x14ac:dyDescent="0.2">
      <c r="A65" s="33">
        <v>19</v>
      </c>
      <c r="B65" s="150" t="s">
        <v>582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501</v>
      </c>
      <c r="H65" s="156" t="s">
        <v>577</v>
      </c>
    </row>
    <row r="66" spans="1:8" x14ac:dyDescent="0.2">
      <c r="A66" s="33">
        <v>20</v>
      </c>
      <c r="B66" s="168" t="s">
        <v>583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501</v>
      </c>
      <c r="H66" s="174" t="s">
        <v>584</v>
      </c>
    </row>
    <row r="67" spans="1:8" x14ac:dyDescent="0.2">
      <c r="B67" s="543" t="s">
        <v>585</v>
      </c>
      <c r="C67" s="543"/>
      <c r="D67" s="543"/>
      <c r="E67" s="543"/>
      <c r="F67" s="543"/>
      <c r="G67" s="543"/>
      <c r="H67" s="543"/>
    </row>
    <row r="68" spans="1:8" x14ac:dyDescent="0.2">
      <c r="B68" s="144" t="s">
        <v>493</v>
      </c>
      <c r="C68" s="145" t="s">
        <v>494</v>
      </c>
      <c r="D68" s="145" t="s">
        <v>495</v>
      </c>
      <c r="E68" s="146" t="s">
        <v>496</v>
      </c>
      <c r="F68" s="146" t="s">
        <v>497</v>
      </c>
      <c r="G68" s="147" t="s">
        <v>498</v>
      </c>
      <c r="H68" s="148" t="s">
        <v>499</v>
      </c>
    </row>
    <row r="69" spans="1:8" x14ac:dyDescent="0.2">
      <c r="A69" s="33">
        <v>1</v>
      </c>
      <c r="B69" s="150" t="s">
        <v>586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501</v>
      </c>
      <c r="H69" s="156" t="s">
        <v>587</v>
      </c>
    </row>
    <row r="70" spans="1:8" x14ac:dyDescent="0.2">
      <c r="A70" s="33">
        <v>2</v>
      </c>
      <c r="B70" s="150" t="s">
        <v>588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501</v>
      </c>
      <c r="H70" s="156" t="s">
        <v>587</v>
      </c>
    </row>
    <row r="71" spans="1:8" x14ac:dyDescent="0.2">
      <c r="A71" s="33">
        <v>3</v>
      </c>
      <c r="B71" s="150" t="s">
        <v>589</v>
      </c>
      <c r="C71" s="151" t="s">
        <v>590</v>
      </c>
      <c r="D71" s="152">
        <v>4816.8</v>
      </c>
      <c r="E71" s="158">
        <v>5205.6000000000004</v>
      </c>
      <c r="F71" s="154">
        <v>8.0717488789237679E-2</v>
      </c>
      <c r="G71" s="155" t="s">
        <v>501</v>
      </c>
      <c r="H71" s="156" t="s">
        <v>587</v>
      </c>
    </row>
    <row r="72" spans="1:8" x14ac:dyDescent="0.2">
      <c r="A72" s="33">
        <v>4</v>
      </c>
      <c r="B72" s="150" t="s">
        <v>591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501</v>
      </c>
      <c r="H72" s="156" t="s">
        <v>587</v>
      </c>
    </row>
    <row r="73" spans="1:8" x14ac:dyDescent="0.2">
      <c r="A73" s="33">
        <v>5</v>
      </c>
      <c r="B73" s="150" t="s">
        <v>592</v>
      </c>
      <c r="C73" s="151" t="s">
        <v>484</v>
      </c>
      <c r="D73" s="152">
        <v>4780</v>
      </c>
      <c r="E73" s="153">
        <v>5170</v>
      </c>
      <c r="F73" s="154">
        <v>8.1589958158995834E-2</v>
      </c>
      <c r="G73" s="155" t="s">
        <v>501</v>
      </c>
      <c r="H73" s="156" t="s">
        <v>593</v>
      </c>
    </row>
    <row r="74" spans="1:8" x14ac:dyDescent="0.2">
      <c r="A74" s="33">
        <v>6</v>
      </c>
      <c r="B74" s="150" t="s">
        <v>594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501</v>
      </c>
      <c r="H74" s="156" t="s">
        <v>593</v>
      </c>
    </row>
    <row r="75" spans="1:8" x14ac:dyDescent="0.2">
      <c r="A75" s="33">
        <v>7</v>
      </c>
      <c r="B75" s="150" t="s">
        <v>595</v>
      </c>
      <c r="C75" s="151" t="s">
        <v>483</v>
      </c>
      <c r="D75" s="152">
        <v>4780</v>
      </c>
      <c r="E75" s="153">
        <v>5170</v>
      </c>
      <c r="F75" s="154">
        <v>8.1589958158995834E-2</v>
      </c>
      <c r="G75" s="155" t="s">
        <v>501</v>
      </c>
      <c r="H75" s="156" t="s">
        <v>593</v>
      </c>
    </row>
    <row r="76" spans="1:8" x14ac:dyDescent="0.2">
      <c r="A76" s="33">
        <v>8</v>
      </c>
      <c r="B76" s="150" t="s">
        <v>596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501</v>
      </c>
      <c r="H76" s="156" t="s">
        <v>597</v>
      </c>
    </row>
    <row r="77" spans="1:8" x14ac:dyDescent="0.2">
      <c r="A77" s="33">
        <v>9</v>
      </c>
      <c r="B77" s="150" t="s">
        <v>598</v>
      </c>
      <c r="C77" s="151" t="s">
        <v>599</v>
      </c>
      <c r="D77" s="152">
        <v>6447.6</v>
      </c>
      <c r="E77" s="158">
        <v>6976.8</v>
      </c>
      <c r="F77" s="154">
        <v>8.2077051926298106E-2</v>
      </c>
      <c r="G77" s="155" t="s">
        <v>501</v>
      </c>
      <c r="H77" s="156" t="s">
        <v>597</v>
      </c>
    </row>
    <row r="78" spans="1:8" x14ac:dyDescent="0.2">
      <c r="A78" s="33">
        <v>10</v>
      </c>
      <c r="B78" s="150" t="s">
        <v>600</v>
      </c>
      <c r="C78" s="151" t="s">
        <v>601</v>
      </c>
      <c r="D78" s="152">
        <v>6447.6</v>
      </c>
      <c r="E78" s="158">
        <v>6976.8</v>
      </c>
      <c r="F78" s="154">
        <v>8.2077051926298106E-2</v>
      </c>
      <c r="G78" s="155" t="s">
        <v>501</v>
      </c>
      <c r="H78" s="156" t="s">
        <v>597</v>
      </c>
    </row>
    <row r="79" spans="1:8" x14ac:dyDescent="0.2">
      <c r="A79" s="33">
        <v>11</v>
      </c>
      <c r="B79" s="150" t="s">
        <v>602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501</v>
      </c>
      <c r="H79" s="156" t="s">
        <v>597</v>
      </c>
    </row>
    <row r="80" spans="1:8" x14ac:dyDescent="0.2">
      <c r="A80" s="33">
        <v>12</v>
      </c>
      <c r="B80" s="150" t="s">
        <v>603</v>
      </c>
      <c r="C80" s="151" t="s">
        <v>604</v>
      </c>
      <c r="D80" s="152">
        <v>5281.2000000000007</v>
      </c>
      <c r="E80" s="158">
        <v>5713.2000000000007</v>
      </c>
      <c r="F80" s="154">
        <v>8.1799591002045036E-2</v>
      </c>
      <c r="G80" s="155" t="s">
        <v>501</v>
      </c>
      <c r="H80" s="156" t="s">
        <v>597</v>
      </c>
    </row>
    <row r="81" spans="1:8" x14ac:dyDescent="0.2">
      <c r="A81" s="33">
        <v>13</v>
      </c>
      <c r="B81" s="150" t="s">
        <v>605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501</v>
      </c>
      <c r="H81" s="156" t="s">
        <v>597</v>
      </c>
    </row>
    <row r="82" spans="1:8" x14ac:dyDescent="0.2">
      <c r="A82" s="33">
        <v>14</v>
      </c>
      <c r="B82" s="150" t="s">
        <v>606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501</v>
      </c>
      <c r="H82" s="156" t="s">
        <v>607</v>
      </c>
    </row>
    <row r="83" spans="1:8" x14ac:dyDescent="0.2">
      <c r="A83" s="33">
        <v>15</v>
      </c>
      <c r="B83" s="150" t="s">
        <v>608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501</v>
      </c>
      <c r="H83" s="156" t="s">
        <v>607</v>
      </c>
    </row>
    <row r="84" spans="1:8" x14ac:dyDescent="0.2">
      <c r="A84" s="33">
        <v>16</v>
      </c>
      <c r="B84" s="150" t="s">
        <v>609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501</v>
      </c>
      <c r="H84" s="156" t="s">
        <v>597</v>
      </c>
    </row>
    <row r="85" spans="1:8" x14ac:dyDescent="0.2">
      <c r="A85" s="33">
        <v>17</v>
      </c>
      <c r="B85" s="150" t="s">
        <v>610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501</v>
      </c>
      <c r="H85" s="156" t="s">
        <v>597</v>
      </c>
    </row>
    <row r="86" spans="1:8" x14ac:dyDescent="0.2">
      <c r="A86" s="33">
        <v>18</v>
      </c>
      <c r="B86" s="150" t="s">
        <v>611</v>
      </c>
      <c r="C86" s="151" t="s">
        <v>612</v>
      </c>
      <c r="D86" s="152">
        <v>6793.2000000000007</v>
      </c>
      <c r="E86" s="158">
        <v>7344.0000000000009</v>
      </c>
      <c r="F86" s="154">
        <v>8.1081081081081141E-2</v>
      </c>
      <c r="G86" s="155" t="s">
        <v>501</v>
      </c>
      <c r="H86" s="156" t="s">
        <v>597</v>
      </c>
    </row>
    <row r="87" spans="1:8" x14ac:dyDescent="0.2">
      <c r="A87" s="33">
        <v>19</v>
      </c>
      <c r="B87" s="150" t="s">
        <v>613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501</v>
      </c>
      <c r="H87" s="156" t="s">
        <v>607</v>
      </c>
    </row>
    <row r="88" spans="1:8" x14ac:dyDescent="0.2">
      <c r="A88" s="33">
        <v>20</v>
      </c>
      <c r="B88" s="150" t="s">
        <v>614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501</v>
      </c>
      <c r="H88" s="156" t="s">
        <v>607</v>
      </c>
    </row>
    <row r="89" spans="1:8" x14ac:dyDescent="0.2">
      <c r="A89" s="33">
        <v>21</v>
      </c>
      <c r="B89" s="150" t="s">
        <v>615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501</v>
      </c>
      <c r="H89" s="156" t="s">
        <v>607</v>
      </c>
    </row>
    <row r="90" spans="1:8" x14ac:dyDescent="0.2">
      <c r="A90" s="33">
        <v>22</v>
      </c>
      <c r="B90" s="150" t="s">
        <v>616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501</v>
      </c>
      <c r="H90" s="156" t="s">
        <v>607</v>
      </c>
    </row>
    <row r="91" spans="1:8" x14ac:dyDescent="0.2">
      <c r="A91" s="33">
        <v>23</v>
      </c>
      <c r="B91" s="150" t="s">
        <v>617</v>
      </c>
      <c r="C91" s="151" t="s">
        <v>618</v>
      </c>
      <c r="D91" s="152">
        <v>6901.2000000000007</v>
      </c>
      <c r="E91" s="158">
        <v>7462.8</v>
      </c>
      <c r="F91" s="154">
        <v>8.1377151799686853E-2</v>
      </c>
      <c r="G91" s="155" t="s">
        <v>501</v>
      </c>
      <c r="H91" s="156" t="s">
        <v>607</v>
      </c>
    </row>
    <row r="92" spans="1:8" x14ac:dyDescent="0.2">
      <c r="A92" s="33">
        <v>24</v>
      </c>
      <c r="B92" s="150" t="s">
        <v>619</v>
      </c>
      <c r="C92" s="151" t="s">
        <v>490</v>
      </c>
      <c r="D92" s="152">
        <v>6460</v>
      </c>
      <c r="E92" s="153">
        <v>6990</v>
      </c>
      <c r="F92" s="154">
        <v>8.2043343653250833E-2</v>
      </c>
      <c r="G92" s="155" t="s">
        <v>501</v>
      </c>
      <c r="H92" s="156" t="s">
        <v>597</v>
      </c>
    </row>
    <row r="93" spans="1:8" x14ac:dyDescent="0.2">
      <c r="A93" s="33">
        <v>25</v>
      </c>
      <c r="B93" s="168" t="s">
        <v>620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501</v>
      </c>
      <c r="H93" s="174" t="s">
        <v>621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 x14ac:dyDescent="0.2">
      <c r="A3" s="31"/>
      <c r="C3" s="75" t="s">
        <v>366</v>
      </c>
      <c r="D3" s="75"/>
      <c r="E3" s="74" t="s">
        <v>367</v>
      </c>
      <c r="F3" s="130" t="s">
        <v>368</v>
      </c>
      <c r="G3" s="77">
        <v>0.08</v>
      </c>
      <c r="H3" s="35">
        <v>1.08</v>
      </c>
    </row>
    <row r="4" spans="1:11" s="74" customFormat="1" x14ac:dyDescent="0.2">
      <c r="A4" s="31"/>
      <c r="C4" s="75" t="s">
        <v>369</v>
      </c>
      <c r="D4" s="75"/>
      <c r="E4" s="74" t="s">
        <v>370</v>
      </c>
      <c r="F4" s="131" t="s">
        <v>371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372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373</v>
      </c>
      <c r="D6" s="75"/>
      <c r="E6" s="74" t="s">
        <v>374</v>
      </c>
      <c r="F6" s="131" t="s">
        <v>375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376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 x14ac:dyDescent="0.2">
      <c r="A10" s="31"/>
      <c r="B10" s="50" t="s">
        <v>381</v>
      </c>
      <c r="C10" s="51"/>
      <c r="D10" s="51">
        <v>4820</v>
      </c>
      <c r="E10" s="51"/>
      <c r="F10" s="52"/>
      <c r="G10" s="53"/>
    </row>
    <row r="11" spans="1:11" s="74" customFormat="1" x14ac:dyDescent="0.2">
      <c r="A11" s="31"/>
      <c r="B11" s="50" t="s">
        <v>423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 x14ac:dyDescent="0.2">
      <c r="A12" s="31"/>
      <c r="B12" s="50" t="s">
        <v>394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 x14ac:dyDescent="0.2">
      <c r="A13" s="31"/>
      <c r="B13" s="54" t="s">
        <v>429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 x14ac:dyDescent="0.2">
      <c r="A14" s="31"/>
      <c r="B14" s="54" t="s">
        <v>396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384</v>
      </c>
      <c r="F15" s="133" t="s">
        <v>385</v>
      </c>
      <c r="G15" s="132" t="s">
        <v>386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377</v>
      </c>
      <c r="E18" s="47" t="s">
        <v>378</v>
      </c>
      <c r="F18" s="48" t="s">
        <v>379</v>
      </c>
      <c r="G18" s="83"/>
    </row>
    <row r="19" spans="1:9" x14ac:dyDescent="0.2">
      <c r="B19" s="50" t="s">
        <v>381</v>
      </c>
      <c r="C19" s="51"/>
      <c r="D19" s="51">
        <v>5205.6000000000004</v>
      </c>
      <c r="E19" s="51"/>
      <c r="F19" s="52"/>
      <c r="G19" s="53"/>
    </row>
    <row r="20" spans="1:9" x14ac:dyDescent="0.2">
      <c r="B20" s="50" t="s">
        <v>435</v>
      </c>
      <c r="C20" s="51"/>
      <c r="D20" s="51">
        <v>740</v>
      </c>
      <c r="E20" s="51">
        <v>1</v>
      </c>
      <c r="F20" s="52">
        <v>740</v>
      </c>
      <c r="G20" s="53"/>
    </row>
    <row r="21" spans="1:9" x14ac:dyDescent="0.2">
      <c r="B21" s="50" t="s">
        <v>394</v>
      </c>
      <c r="C21" s="51"/>
      <c r="D21" s="51">
        <v>270</v>
      </c>
      <c r="E21" s="51">
        <v>2</v>
      </c>
      <c r="F21" s="52">
        <v>540</v>
      </c>
      <c r="G21" s="53"/>
    </row>
    <row r="22" spans="1:9" x14ac:dyDescent="0.2">
      <c r="B22" s="54" t="s">
        <v>429</v>
      </c>
      <c r="C22" s="51"/>
      <c r="D22" s="51">
        <v>500</v>
      </c>
      <c r="E22" s="51">
        <v>3</v>
      </c>
      <c r="F22" s="52">
        <v>1500</v>
      </c>
      <c r="G22" s="53"/>
    </row>
    <row r="23" spans="1:9" x14ac:dyDescent="0.2">
      <c r="B23" s="54" t="s">
        <v>476</v>
      </c>
      <c r="C23" s="51"/>
      <c r="D23" s="51">
        <v>290</v>
      </c>
      <c r="E23" s="51">
        <v>4</v>
      </c>
      <c r="F23" s="52">
        <v>1160</v>
      </c>
      <c r="G23" s="53"/>
    </row>
    <row r="24" spans="1:9" x14ac:dyDescent="0.2">
      <c r="B24" s="544" t="s">
        <v>477</v>
      </c>
      <c r="C24" s="133"/>
      <c r="D24" s="133"/>
      <c r="E24" s="133" t="s">
        <v>384</v>
      </c>
      <c r="F24" s="133" t="s">
        <v>385</v>
      </c>
      <c r="G24" s="132" t="s">
        <v>386</v>
      </c>
    </row>
    <row r="25" spans="1:9" ht="15" x14ac:dyDescent="0.2">
      <c r="A25" s="137">
        <v>2</v>
      </c>
      <c r="B25" s="544"/>
      <c r="C25" s="133">
        <v>600</v>
      </c>
      <c r="D25" s="135"/>
      <c r="E25" s="135">
        <v>9145.6</v>
      </c>
      <c r="F25" s="135"/>
      <c r="G25" s="136"/>
    </row>
    <row r="27" spans="1:9" x14ac:dyDescent="0.2">
      <c r="B27" s="82"/>
      <c r="C27" s="47"/>
      <c r="D27" s="47" t="s">
        <v>377</v>
      </c>
      <c r="E27" s="47" t="s">
        <v>378</v>
      </c>
      <c r="F27" s="48" t="s">
        <v>379</v>
      </c>
      <c r="G27" s="83"/>
    </row>
    <row r="28" spans="1:9" x14ac:dyDescent="0.2">
      <c r="B28" s="50" t="s">
        <v>381</v>
      </c>
      <c r="C28" s="51"/>
      <c r="D28" s="51">
        <v>4820</v>
      </c>
      <c r="E28" s="51"/>
      <c r="F28" s="52"/>
      <c r="G28" s="53"/>
    </row>
    <row r="29" spans="1:9" x14ac:dyDescent="0.2">
      <c r="B29" s="50" t="s">
        <v>423</v>
      </c>
      <c r="C29" s="51"/>
      <c r="D29" s="51">
        <v>750</v>
      </c>
      <c r="E29" s="51">
        <v>1</v>
      </c>
      <c r="F29" s="52">
        <v>750</v>
      </c>
      <c r="G29" s="53"/>
    </row>
    <row r="30" spans="1:9" x14ac:dyDescent="0.2">
      <c r="B30" s="50" t="s">
        <v>394</v>
      </c>
      <c r="C30" s="51"/>
      <c r="D30" s="51">
        <v>270</v>
      </c>
      <c r="E30" s="51">
        <v>2</v>
      </c>
      <c r="F30" s="52">
        <v>540</v>
      </c>
      <c r="G30" s="53"/>
    </row>
    <row r="31" spans="1:9" x14ac:dyDescent="0.2">
      <c r="B31" s="54" t="s">
        <v>429</v>
      </c>
      <c r="C31" s="51"/>
      <c r="D31" s="51">
        <v>500</v>
      </c>
      <c r="E31" s="51">
        <v>2</v>
      </c>
      <c r="F31" s="52">
        <v>1000</v>
      </c>
      <c r="G31" s="53"/>
    </row>
    <row r="32" spans="1:9" x14ac:dyDescent="0.2">
      <c r="B32" s="54" t="s">
        <v>396</v>
      </c>
      <c r="C32" s="51"/>
      <c r="D32" s="51">
        <v>130</v>
      </c>
      <c r="E32" s="51">
        <v>2</v>
      </c>
      <c r="F32" s="52">
        <v>260</v>
      </c>
      <c r="G32" s="53"/>
    </row>
    <row r="33" spans="1:8" x14ac:dyDescent="0.2">
      <c r="B33" s="132"/>
      <c r="C33" s="133"/>
      <c r="D33" s="133"/>
      <c r="E33" s="133" t="s">
        <v>384</v>
      </c>
      <c r="F33" s="133" t="s">
        <v>385</v>
      </c>
      <c r="G33" s="132" t="s">
        <v>478</v>
      </c>
    </row>
    <row r="34" spans="1:8" ht="15" x14ac:dyDescent="0.2">
      <c r="A34" s="31">
        <v>3</v>
      </c>
      <c r="B34" s="545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 x14ac:dyDescent="0.2">
      <c r="B35" s="545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 x14ac:dyDescent="0.2">
      <c r="B37" s="82"/>
      <c r="C37" s="47"/>
      <c r="D37" s="47" t="s">
        <v>377</v>
      </c>
      <c r="E37" s="47" t="s">
        <v>378</v>
      </c>
      <c r="F37" s="48" t="s">
        <v>379</v>
      </c>
      <c r="G37" s="83"/>
    </row>
    <row r="38" spans="1:8" x14ac:dyDescent="0.2">
      <c r="B38" s="50" t="s">
        <v>381</v>
      </c>
      <c r="C38" s="51"/>
      <c r="D38" s="51">
        <v>5170</v>
      </c>
      <c r="E38" s="51"/>
      <c r="F38" s="52"/>
      <c r="G38" s="53"/>
    </row>
    <row r="39" spans="1:8" x14ac:dyDescent="0.2">
      <c r="B39" s="50" t="s">
        <v>423</v>
      </c>
      <c r="C39" s="51"/>
      <c r="D39" s="51">
        <v>740</v>
      </c>
      <c r="E39" s="51">
        <v>1</v>
      </c>
      <c r="F39" s="52">
        <v>740</v>
      </c>
      <c r="G39" s="53"/>
    </row>
    <row r="40" spans="1:8" x14ac:dyDescent="0.2">
      <c r="B40" s="50" t="s">
        <v>394</v>
      </c>
      <c r="C40" s="51"/>
      <c r="D40" s="51">
        <v>270</v>
      </c>
      <c r="E40" s="51">
        <v>2</v>
      </c>
      <c r="F40" s="52">
        <v>540</v>
      </c>
      <c r="G40" s="53"/>
    </row>
    <row r="41" spans="1:8" x14ac:dyDescent="0.2">
      <c r="B41" s="50" t="s">
        <v>479</v>
      </c>
      <c r="C41" s="51"/>
      <c r="D41" s="51">
        <v>5810</v>
      </c>
      <c r="E41" s="51">
        <v>1</v>
      </c>
      <c r="F41" s="52">
        <v>5810</v>
      </c>
      <c r="G41" s="53"/>
    </row>
    <row r="42" spans="1:8" x14ac:dyDescent="0.2">
      <c r="B42" s="54" t="s">
        <v>420</v>
      </c>
      <c r="C42" s="51"/>
      <c r="D42" s="51">
        <v>940</v>
      </c>
      <c r="E42" s="51">
        <v>1</v>
      </c>
      <c r="F42" s="52">
        <v>940</v>
      </c>
      <c r="G42" s="53"/>
    </row>
    <row r="43" spans="1:8" x14ac:dyDescent="0.2">
      <c r="B43" s="54" t="s">
        <v>415</v>
      </c>
      <c r="C43" s="51"/>
      <c r="D43" s="51">
        <v>170</v>
      </c>
      <c r="E43" s="51">
        <v>1</v>
      </c>
      <c r="F43" s="52">
        <v>170</v>
      </c>
      <c r="G43" s="53"/>
    </row>
    <row r="44" spans="1:8" x14ac:dyDescent="0.2">
      <c r="B44" s="54" t="s">
        <v>480</v>
      </c>
      <c r="C44" s="51"/>
      <c r="D44" s="51">
        <v>5040</v>
      </c>
      <c r="E44" s="51">
        <v>1</v>
      </c>
      <c r="F44" s="52">
        <v>5040</v>
      </c>
      <c r="G44" s="53"/>
    </row>
    <row r="45" spans="1:8" x14ac:dyDescent="0.2">
      <c r="B45" s="132"/>
      <c r="C45" s="133"/>
      <c r="D45" s="133"/>
      <c r="E45" s="133" t="s">
        <v>384</v>
      </c>
      <c r="F45" s="133" t="s">
        <v>385</v>
      </c>
      <c r="G45" s="133" t="s">
        <v>481</v>
      </c>
      <c r="H45" s="132" t="s">
        <v>478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 x14ac:dyDescent="0.2">
      <c r="B48" s="82"/>
      <c r="C48" s="47"/>
      <c r="D48" s="47" t="s">
        <v>377</v>
      </c>
      <c r="E48" s="47" t="s">
        <v>378</v>
      </c>
      <c r="F48" s="48" t="s">
        <v>379</v>
      </c>
      <c r="G48" s="83"/>
    </row>
    <row r="49" spans="1:8" x14ac:dyDescent="0.2">
      <c r="B49" s="50" t="s">
        <v>381</v>
      </c>
      <c r="C49" s="51"/>
      <c r="D49" s="51">
        <v>5170</v>
      </c>
      <c r="E49" s="51"/>
      <c r="F49" s="52"/>
      <c r="G49" s="53"/>
    </row>
    <row r="50" spans="1:8" x14ac:dyDescent="0.2">
      <c r="B50" s="50" t="s">
        <v>482</v>
      </c>
      <c r="C50" s="51"/>
      <c r="D50" s="51">
        <v>930</v>
      </c>
      <c r="E50" s="51">
        <v>1</v>
      </c>
      <c r="F50" s="52">
        <v>930</v>
      </c>
      <c r="G50" s="53"/>
    </row>
    <row r="51" spans="1:8" x14ac:dyDescent="0.2">
      <c r="B51" s="50" t="s">
        <v>394</v>
      </c>
      <c r="C51" s="51"/>
      <c r="D51" s="51">
        <v>270</v>
      </c>
      <c r="E51" s="51">
        <v>2</v>
      </c>
      <c r="F51" s="52">
        <v>540</v>
      </c>
      <c r="G51" s="53"/>
    </row>
    <row r="52" spans="1:8" x14ac:dyDescent="0.2">
      <c r="B52" s="50" t="s">
        <v>479</v>
      </c>
      <c r="C52" s="51"/>
      <c r="D52" s="51">
        <v>5810</v>
      </c>
      <c r="E52" s="51">
        <v>1</v>
      </c>
      <c r="F52" s="52">
        <v>5810</v>
      </c>
      <c r="G52" s="53"/>
    </row>
    <row r="53" spans="1:8" x14ac:dyDescent="0.2">
      <c r="B53" s="54" t="s">
        <v>480</v>
      </c>
      <c r="C53" s="51"/>
      <c r="D53" s="51">
        <v>5040</v>
      </c>
      <c r="E53" s="51">
        <v>1</v>
      </c>
      <c r="F53" s="52">
        <v>5040</v>
      </c>
      <c r="G53" s="53"/>
    </row>
    <row r="54" spans="1:8" x14ac:dyDescent="0.2">
      <c r="B54" s="54" t="s">
        <v>420</v>
      </c>
      <c r="C54" s="51"/>
      <c r="D54" s="51">
        <v>940</v>
      </c>
      <c r="E54" s="51">
        <v>1</v>
      </c>
      <c r="F54" s="52">
        <v>940</v>
      </c>
      <c r="G54" s="53"/>
    </row>
    <row r="55" spans="1:8" x14ac:dyDescent="0.2">
      <c r="B55" s="54" t="s">
        <v>415</v>
      </c>
      <c r="C55" s="51"/>
      <c r="D55" s="51">
        <v>170</v>
      </c>
      <c r="E55" s="51">
        <v>1</v>
      </c>
      <c r="F55" s="52">
        <v>170</v>
      </c>
      <c r="G55" s="53"/>
    </row>
    <row r="56" spans="1:8" x14ac:dyDescent="0.2">
      <c r="B56" s="132"/>
      <c r="C56" s="133"/>
      <c r="D56" s="133"/>
      <c r="E56" s="133" t="s">
        <v>384</v>
      </c>
      <c r="F56" s="133" t="s">
        <v>385</v>
      </c>
      <c r="G56" s="133" t="s">
        <v>481</v>
      </c>
      <c r="H56" s="132" t="s">
        <v>478</v>
      </c>
    </row>
    <row r="57" spans="1:8" ht="15" x14ac:dyDescent="0.2">
      <c r="A57" s="31">
        <v>5</v>
      </c>
      <c r="B57" s="134" t="s">
        <v>483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 x14ac:dyDescent="0.2">
      <c r="B59" s="82"/>
      <c r="C59" s="47"/>
      <c r="D59" s="47" t="s">
        <v>377</v>
      </c>
      <c r="E59" s="47" t="s">
        <v>378</v>
      </c>
      <c r="F59" s="48" t="s">
        <v>379</v>
      </c>
      <c r="G59" s="83"/>
    </row>
    <row r="60" spans="1:8" x14ac:dyDescent="0.2">
      <c r="B60" s="50" t="s">
        <v>381</v>
      </c>
      <c r="C60" s="51"/>
      <c r="D60" s="51">
        <v>5170</v>
      </c>
      <c r="E60" s="51"/>
      <c r="F60" s="52"/>
      <c r="G60" s="53"/>
    </row>
    <row r="61" spans="1:8" x14ac:dyDescent="0.2">
      <c r="B61" s="50" t="s">
        <v>482</v>
      </c>
      <c r="C61" s="51"/>
      <c r="D61" s="51">
        <v>740</v>
      </c>
      <c r="E61" s="51">
        <v>1</v>
      </c>
      <c r="F61" s="52">
        <v>740</v>
      </c>
      <c r="G61" s="53"/>
    </row>
    <row r="62" spans="1:8" x14ac:dyDescent="0.2">
      <c r="B62" s="50" t="s">
        <v>394</v>
      </c>
      <c r="C62" s="51"/>
      <c r="D62" s="51">
        <v>270</v>
      </c>
      <c r="E62" s="51">
        <v>2</v>
      </c>
      <c r="F62" s="52">
        <v>540</v>
      </c>
      <c r="G62" s="53"/>
    </row>
    <row r="63" spans="1:8" x14ac:dyDescent="0.2">
      <c r="B63" s="50" t="s">
        <v>479</v>
      </c>
      <c r="C63" s="51"/>
      <c r="D63" s="51">
        <v>5810</v>
      </c>
      <c r="E63" s="51">
        <v>2</v>
      </c>
      <c r="F63" s="52">
        <v>11620</v>
      </c>
      <c r="G63" s="53"/>
    </row>
    <row r="64" spans="1:8" x14ac:dyDescent="0.2">
      <c r="B64" s="54" t="s">
        <v>480</v>
      </c>
      <c r="C64" s="51"/>
      <c r="D64" s="51">
        <v>5040</v>
      </c>
      <c r="E64" s="51">
        <v>2</v>
      </c>
      <c r="F64" s="52">
        <v>10080</v>
      </c>
      <c r="G64" s="53"/>
    </row>
    <row r="65" spans="1:8" x14ac:dyDescent="0.2">
      <c r="B65" s="54" t="s">
        <v>420</v>
      </c>
      <c r="C65" s="51"/>
      <c r="D65" s="51">
        <v>940</v>
      </c>
      <c r="E65" s="51">
        <v>2</v>
      </c>
      <c r="F65" s="52">
        <v>1880</v>
      </c>
      <c r="G65" s="53"/>
    </row>
    <row r="66" spans="1:8" x14ac:dyDescent="0.2">
      <c r="B66" s="54" t="s">
        <v>415</v>
      </c>
      <c r="C66" s="51"/>
      <c r="D66" s="51">
        <v>170</v>
      </c>
      <c r="E66" s="51">
        <v>2</v>
      </c>
      <c r="F66" s="52">
        <v>340</v>
      </c>
      <c r="G66" s="53"/>
    </row>
    <row r="67" spans="1:8" x14ac:dyDescent="0.2">
      <c r="B67" s="132"/>
      <c r="C67" s="133"/>
      <c r="D67" s="133"/>
      <c r="E67" s="133" t="s">
        <v>384</v>
      </c>
      <c r="F67" s="133" t="s">
        <v>385</v>
      </c>
      <c r="G67" s="133" t="s">
        <v>481</v>
      </c>
      <c r="H67" s="132" t="s">
        <v>478</v>
      </c>
    </row>
    <row r="68" spans="1:8" ht="15" x14ac:dyDescent="0.2">
      <c r="A68" s="31">
        <v>6</v>
      </c>
      <c r="B68" s="134" t="s">
        <v>484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 x14ac:dyDescent="0.2">
      <c r="B71" s="82"/>
      <c r="C71" s="47"/>
      <c r="D71" s="47" t="s">
        <v>377</v>
      </c>
      <c r="E71" s="47" t="s">
        <v>378</v>
      </c>
      <c r="F71" s="48" t="s">
        <v>379</v>
      </c>
      <c r="G71" s="83"/>
    </row>
    <row r="72" spans="1:8" x14ac:dyDescent="0.2">
      <c r="B72" s="50" t="s">
        <v>381</v>
      </c>
      <c r="C72" s="51"/>
      <c r="D72" s="51">
        <v>6460</v>
      </c>
      <c r="E72" s="51"/>
      <c r="F72" s="52"/>
      <c r="G72" s="53"/>
    </row>
    <row r="73" spans="1:8" x14ac:dyDescent="0.2">
      <c r="B73" s="50" t="s">
        <v>423</v>
      </c>
      <c r="C73" s="51"/>
      <c r="D73" s="51">
        <v>740</v>
      </c>
      <c r="E73" s="51">
        <v>1</v>
      </c>
      <c r="F73" s="52">
        <v>740</v>
      </c>
      <c r="G73" s="53"/>
    </row>
    <row r="74" spans="1:8" x14ac:dyDescent="0.2">
      <c r="B74" s="50" t="s">
        <v>394</v>
      </c>
      <c r="C74" s="51"/>
      <c r="D74" s="51">
        <v>270</v>
      </c>
      <c r="E74" s="51">
        <v>2</v>
      </c>
      <c r="F74" s="52">
        <v>540</v>
      </c>
      <c r="G74" s="53"/>
    </row>
    <row r="75" spans="1:8" x14ac:dyDescent="0.2">
      <c r="B75" s="50" t="s">
        <v>429</v>
      </c>
      <c r="C75" s="51"/>
      <c r="D75" s="51">
        <v>500</v>
      </c>
      <c r="E75" s="51">
        <v>5</v>
      </c>
      <c r="F75" s="52">
        <v>2500</v>
      </c>
      <c r="G75" s="53"/>
    </row>
    <row r="76" spans="1:8" x14ac:dyDescent="0.2">
      <c r="B76" s="54" t="s">
        <v>396</v>
      </c>
      <c r="C76" s="51"/>
      <c r="D76" s="51">
        <v>130</v>
      </c>
      <c r="E76" s="51">
        <v>5</v>
      </c>
      <c r="F76" s="52">
        <v>650</v>
      </c>
      <c r="G76" s="53"/>
    </row>
    <row r="77" spans="1:8" x14ac:dyDescent="0.2">
      <c r="B77" s="132"/>
      <c r="C77" s="133"/>
      <c r="D77" s="133"/>
      <c r="E77" s="133" t="s">
        <v>384</v>
      </c>
      <c r="F77" s="133" t="s">
        <v>385</v>
      </c>
      <c r="G77" s="132" t="s">
        <v>478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 x14ac:dyDescent="0.2">
      <c r="B81" s="82"/>
      <c r="C81" s="47"/>
      <c r="D81" s="47" t="s">
        <v>377</v>
      </c>
      <c r="E81" s="47" t="s">
        <v>378</v>
      </c>
      <c r="F81" s="48" t="s">
        <v>379</v>
      </c>
      <c r="G81" s="83"/>
    </row>
    <row r="82" spans="1:7" x14ac:dyDescent="0.2">
      <c r="B82" s="50" t="s">
        <v>381</v>
      </c>
      <c r="C82" s="51"/>
      <c r="D82" s="51">
        <v>6976.8</v>
      </c>
      <c r="E82" s="51"/>
      <c r="F82" s="52"/>
      <c r="G82" s="53"/>
    </row>
    <row r="83" spans="1:7" x14ac:dyDescent="0.2">
      <c r="B83" s="50" t="s">
        <v>435</v>
      </c>
      <c r="C83" s="51"/>
      <c r="D83" s="51">
        <v>740</v>
      </c>
      <c r="E83" s="51">
        <v>1</v>
      </c>
      <c r="F83" s="52">
        <v>740</v>
      </c>
      <c r="G83" s="53"/>
    </row>
    <row r="84" spans="1:7" x14ac:dyDescent="0.2">
      <c r="B84" s="50" t="s">
        <v>394</v>
      </c>
      <c r="C84" s="51"/>
      <c r="D84" s="51">
        <v>270</v>
      </c>
      <c r="E84" s="51">
        <v>2</v>
      </c>
      <c r="F84" s="52">
        <v>540</v>
      </c>
      <c r="G84" s="53"/>
    </row>
    <row r="85" spans="1:7" x14ac:dyDescent="0.2">
      <c r="B85" s="50" t="s">
        <v>429</v>
      </c>
      <c r="C85" s="51"/>
      <c r="D85" s="51">
        <v>500</v>
      </c>
      <c r="E85" s="51">
        <v>5</v>
      </c>
      <c r="F85" s="52">
        <v>2500</v>
      </c>
      <c r="G85" s="53"/>
    </row>
    <row r="86" spans="1:7" x14ac:dyDescent="0.2">
      <c r="B86" s="140" t="s">
        <v>476</v>
      </c>
      <c r="C86" s="51"/>
      <c r="D86" s="51">
        <v>290</v>
      </c>
      <c r="E86" s="51">
        <v>4</v>
      </c>
      <c r="F86" s="52">
        <v>1160</v>
      </c>
      <c r="G86" s="53"/>
    </row>
    <row r="87" spans="1:7" x14ac:dyDescent="0.2">
      <c r="B87" s="544" t="s">
        <v>485</v>
      </c>
      <c r="C87" s="133"/>
      <c r="D87" s="133"/>
      <c r="E87" s="133" t="s">
        <v>384</v>
      </c>
      <c r="F87" s="133"/>
      <c r="G87" s="132" t="s">
        <v>478</v>
      </c>
    </row>
    <row r="88" spans="1:7" ht="15" x14ac:dyDescent="0.2">
      <c r="A88" s="137">
        <v>8</v>
      </c>
      <c r="B88" s="544"/>
      <c r="C88" s="133">
        <v>600</v>
      </c>
      <c r="D88" s="138">
        <v>2040</v>
      </c>
      <c r="E88" s="135">
        <v>11916.8</v>
      </c>
      <c r="F88" s="135"/>
      <c r="G88" s="136"/>
    </row>
    <row r="89" spans="1:7" ht="15" x14ac:dyDescent="0.2">
      <c r="B89" s="544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377</v>
      </c>
      <c r="E91" s="47" t="s">
        <v>378</v>
      </c>
      <c r="F91" s="48" t="s">
        <v>379</v>
      </c>
      <c r="G91" s="83"/>
    </row>
    <row r="92" spans="1:7" x14ac:dyDescent="0.2">
      <c r="B92" s="50" t="s">
        <v>381</v>
      </c>
      <c r="C92" s="51"/>
      <c r="D92" s="51">
        <v>5290</v>
      </c>
      <c r="E92" s="51"/>
      <c r="F92" s="52"/>
      <c r="G92" s="53"/>
    </row>
    <row r="93" spans="1:7" x14ac:dyDescent="0.2">
      <c r="B93" s="50" t="s">
        <v>482</v>
      </c>
      <c r="C93" s="51"/>
      <c r="D93" s="51">
        <v>930</v>
      </c>
      <c r="E93" s="51">
        <v>1</v>
      </c>
      <c r="F93" s="52">
        <v>930</v>
      </c>
      <c r="G93" s="53"/>
    </row>
    <row r="94" spans="1:7" x14ac:dyDescent="0.2">
      <c r="B94" s="50" t="s">
        <v>394</v>
      </c>
      <c r="C94" s="51"/>
      <c r="D94" s="51">
        <v>270</v>
      </c>
      <c r="E94" s="51">
        <v>2</v>
      </c>
      <c r="F94" s="52">
        <v>540</v>
      </c>
      <c r="G94" s="53"/>
    </row>
    <row r="95" spans="1:7" x14ac:dyDescent="0.2">
      <c r="B95" s="50" t="s">
        <v>429</v>
      </c>
      <c r="C95" s="51"/>
      <c r="D95" s="51">
        <v>500</v>
      </c>
      <c r="E95" s="51">
        <v>5</v>
      </c>
      <c r="F95" s="52">
        <v>2500</v>
      </c>
      <c r="G95" s="53"/>
    </row>
    <row r="96" spans="1:7" x14ac:dyDescent="0.2">
      <c r="B96" s="54" t="s">
        <v>396</v>
      </c>
      <c r="C96" s="51"/>
      <c r="D96" s="51">
        <v>130</v>
      </c>
      <c r="E96" s="51">
        <v>5</v>
      </c>
      <c r="F96" s="52">
        <v>650</v>
      </c>
      <c r="G96" s="53"/>
    </row>
    <row r="97" spans="1:7" x14ac:dyDescent="0.2">
      <c r="B97" s="544" t="s">
        <v>50</v>
      </c>
      <c r="C97" s="133"/>
      <c r="D97" s="133"/>
      <c r="E97" s="133" t="s">
        <v>384</v>
      </c>
      <c r="F97" s="133"/>
      <c r="G97" s="132" t="s">
        <v>478</v>
      </c>
    </row>
    <row r="98" spans="1:7" ht="15" x14ac:dyDescent="0.2">
      <c r="A98" s="137">
        <v>9</v>
      </c>
      <c r="B98" s="544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 x14ac:dyDescent="0.2">
      <c r="B99" s="544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 x14ac:dyDescent="0.2">
      <c r="B101" s="82"/>
      <c r="C101" s="47"/>
      <c r="D101" s="47" t="s">
        <v>377</v>
      </c>
      <c r="E101" s="47" t="s">
        <v>378</v>
      </c>
      <c r="F101" s="48" t="s">
        <v>379</v>
      </c>
      <c r="G101" s="83"/>
    </row>
    <row r="102" spans="1:7" x14ac:dyDescent="0.2">
      <c r="B102" s="50" t="s">
        <v>381</v>
      </c>
      <c r="C102" s="51"/>
      <c r="D102" s="51">
        <v>5713.2000000000007</v>
      </c>
      <c r="E102" s="51"/>
      <c r="F102" s="52"/>
      <c r="G102" s="53"/>
    </row>
    <row r="103" spans="1:7" x14ac:dyDescent="0.2">
      <c r="B103" s="50" t="s">
        <v>482</v>
      </c>
      <c r="C103" s="51"/>
      <c r="D103" s="51">
        <v>930</v>
      </c>
      <c r="E103" s="51">
        <v>1</v>
      </c>
      <c r="F103" s="52">
        <v>930</v>
      </c>
      <c r="G103" s="53"/>
    </row>
    <row r="104" spans="1:7" x14ac:dyDescent="0.2">
      <c r="B104" s="50" t="s">
        <v>394</v>
      </c>
      <c r="C104" s="51"/>
      <c r="D104" s="51">
        <v>270</v>
      </c>
      <c r="E104" s="51">
        <v>2</v>
      </c>
      <c r="F104" s="52">
        <v>540</v>
      </c>
      <c r="G104" s="53"/>
    </row>
    <row r="105" spans="1:7" x14ac:dyDescent="0.2">
      <c r="B105" s="50" t="s">
        <v>429</v>
      </c>
      <c r="C105" s="51"/>
      <c r="D105" s="51">
        <v>500</v>
      </c>
      <c r="E105" s="51">
        <v>5</v>
      </c>
      <c r="F105" s="52">
        <v>2500</v>
      </c>
      <c r="G105" s="53"/>
    </row>
    <row r="106" spans="1:7" x14ac:dyDescent="0.2">
      <c r="B106" s="140" t="s">
        <v>476</v>
      </c>
      <c r="C106" s="51"/>
      <c r="D106" s="51">
        <v>290</v>
      </c>
      <c r="E106" s="51">
        <v>4</v>
      </c>
      <c r="F106" s="52">
        <v>1160</v>
      </c>
      <c r="G106" s="53"/>
    </row>
    <row r="107" spans="1:7" x14ac:dyDescent="0.2">
      <c r="B107" s="544" t="s">
        <v>486</v>
      </c>
      <c r="C107" s="133"/>
      <c r="D107" s="133"/>
      <c r="E107" s="133" t="s">
        <v>384</v>
      </c>
      <c r="F107" s="133"/>
      <c r="G107" s="132" t="s">
        <v>478</v>
      </c>
    </row>
    <row r="108" spans="1:7" ht="15" x14ac:dyDescent="0.2">
      <c r="A108" s="137">
        <v>10</v>
      </c>
      <c r="B108" s="544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 x14ac:dyDescent="0.2">
      <c r="B109" s="544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377</v>
      </c>
      <c r="E111" s="47" t="s">
        <v>378</v>
      </c>
      <c r="F111" s="48" t="s">
        <v>379</v>
      </c>
      <c r="G111" s="83"/>
    </row>
    <row r="112" spans="1:7" x14ac:dyDescent="0.2">
      <c r="B112" s="50" t="s">
        <v>381</v>
      </c>
      <c r="C112" s="51"/>
      <c r="D112" s="51">
        <v>8650</v>
      </c>
      <c r="E112" s="51"/>
      <c r="F112" s="52"/>
      <c r="G112" s="53"/>
    </row>
    <row r="113" spans="1:8" x14ac:dyDescent="0.2">
      <c r="B113" s="50" t="s">
        <v>482</v>
      </c>
      <c r="C113" s="51"/>
      <c r="D113" s="51">
        <v>930</v>
      </c>
      <c r="E113" s="51">
        <v>1</v>
      </c>
      <c r="F113" s="52">
        <v>930</v>
      </c>
      <c r="G113" s="53"/>
    </row>
    <row r="114" spans="1:8" x14ac:dyDescent="0.2">
      <c r="B114" s="50" t="s">
        <v>394</v>
      </c>
      <c r="C114" s="51"/>
      <c r="D114" s="51">
        <v>270</v>
      </c>
      <c r="E114" s="51">
        <v>2</v>
      </c>
      <c r="F114" s="52">
        <v>540</v>
      </c>
      <c r="G114" s="53"/>
    </row>
    <row r="115" spans="1:8" x14ac:dyDescent="0.2">
      <c r="B115" s="50" t="s">
        <v>413</v>
      </c>
      <c r="C115" s="51"/>
      <c r="D115" s="51">
        <v>4750</v>
      </c>
      <c r="E115" s="51">
        <v>2</v>
      </c>
      <c r="F115" s="52">
        <v>9500</v>
      </c>
      <c r="G115" s="53"/>
    </row>
    <row r="116" spans="1:8" x14ac:dyDescent="0.2">
      <c r="B116" s="50" t="s">
        <v>419</v>
      </c>
      <c r="C116" s="51"/>
      <c r="D116" s="51">
        <v>5810</v>
      </c>
      <c r="E116" s="51">
        <v>1</v>
      </c>
      <c r="F116" s="52">
        <v>5810</v>
      </c>
      <c r="G116" s="53"/>
    </row>
    <row r="117" spans="1:8" x14ac:dyDescent="0.2">
      <c r="B117" s="54" t="s">
        <v>396</v>
      </c>
      <c r="C117" s="51"/>
      <c r="D117" s="51">
        <v>130</v>
      </c>
      <c r="E117" s="51">
        <v>3</v>
      </c>
      <c r="F117" s="52">
        <v>390</v>
      </c>
      <c r="G117" s="53"/>
    </row>
    <row r="118" spans="1:8" x14ac:dyDescent="0.2">
      <c r="B118" s="54" t="s">
        <v>420</v>
      </c>
      <c r="C118" s="51"/>
      <c r="D118" s="51">
        <v>940</v>
      </c>
      <c r="E118" s="51">
        <v>1</v>
      </c>
      <c r="F118" s="52">
        <v>940</v>
      </c>
      <c r="G118" s="53"/>
    </row>
    <row r="119" spans="1:8" x14ac:dyDescent="0.2">
      <c r="B119" s="54" t="s">
        <v>414</v>
      </c>
      <c r="C119" s="51"/>
      <c r="D119" s="51">
        <v>370</v>
      </c>
      <c r="E119" s="51">
        <v>2</v>
      </c>
      <c r="F119" s="52">
        <v>740</v>
      </c>
      <c r="G119" s="53"/>
    </row>
    <row r="120" spans="1:8" x14ac:dyDescent="0.2">
      <c r="B120" s="50" t="s">
        <v>415</v>
      </c>
      <c r="C120" s="51"/>
      <c r="D120" s="51">
        <v>170</v>
      </c>
      <c r="E120" s="51">
        <v>3</v>
      </c>
      <c r="F120" s="52">
        <v>510</v>
      </c>
      <c r="G120" s="53"/>
    </row>
    <row r="121" spans="1:8" x14ac:dyDescent="0.2">
      <c r="B121" s="50" t="s">
        <v>429</v>
      </c>
      <c r="C121" s="51"/>
      <c r="D121" s="51">
        <v>500</v>
      </c>
      <c r="E121" s="51">
        <v>3</v>
      </c>
      <c r="F121" s="52">
        <v>1500</v>
      </c>
      <c r="G121" s="53"/>
    </row>
    <row r="122" spans="1:8" x14ac:dyDescent="0.2">
      <c r="B122" s="50" t="s">
        <v>480</v>
      </c>
      <c r="C122" s="51"/>
      <c r="D122" s="51">
        <v>5040</v>
      </c>
      <c r="E122" s="51">
        <v>1</v>
      </c>
      <c r="F122" s="52">
        <v>5040</v>
      </c>
      <c r="G122" s="53"/>
    </row>
    <row r="123" spans="1:8" x14ac:dyDescent="0.2">
      <c r="B123" s="54" t="s">
        <v>416</v>
      </c>
      <c r="C123" s="51"/>
      <c r="D123" s="51">
        <v>4130</v>
      </c>
      <c r="E123" s="51">
        <v>2</v>
      </c>
      <c r="F123" s="52">
        <v>8260</v>
      </c>
      <c r="G123" s="53"/>
    </row>
    <row r="124" spans="1:8" x14ac:dyDescent="0.2">
      <c r="B124" s="544" t="s">
        <v>52</v>
      </c>
      <c r="C124" s="133"/>
      <c r="D124" s="133"/>
      <c r="E124" s="133" t="s">
        <v>384</v>
      </c>
      <c r="F124" s="133" t="s">
        <v>385</v>
      </c>
      <c r="G124" s="133" t="s">
        <v>481</v>
      </c>
      <c r="H124" s="132" t="s">
        <v>478</v>
      </c>
    </row>
    <row r="125" spans="1:8" ht="15" x14ac:dyDescent="0.2">
      <c r="A125" s="137">
        <v>11</v>
      </c>
      <c r="B125" s="544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 x14ac:dyDescent="0.2">
      <c r="B126" s="544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 x14ac:dyDescent="0.2">
      <c r="B128" s="82"/>
      <c r="C128" s="47"/>
      <c r="D128" s="47" t="s">
        <v>377</v>
      </c>
      <c r="E128" s="47" t="s">
        <v>378</v>
      </c>
      <c r="F128" s="48" t="s">
        <v>379</v>
      </c>
      <c r="G128" s="83"/>
    </row>
    <row r="129" spans="1:8" x14ac:dyDescent="0.2">
      <c r="B129" s="50" t="s">
        <v>381</v>
      </c>
      <c r="C129" s="51"/>
      <c r="D129" s="51">
        <v>8100</v>
      </c>
      <c r="E129" s="51"/>
      <c r="F129" s="52"/>
      <c r="G129" s="53"/>
    </row>
    <row r="130" spans="1:8" x14ac:dyDescent="0.2">
      <c r="B130" s="50" t="s">
        <v>482</v>
      </c>
      <c r="C130" s="51"/>
      <c r="D130" s="51">
        <v>930</v>
      </c>
      <c r="E130" s="51">
        <v>1</v>
      </c>
      <c r="F130" s="52">
        <v>930</v>
      </c>
      <c r="G130" s="53"/>
    </row>
    <row r="131" spans="1:8" x14ac:dyDescent="0.2">
      <c r="B131" s="50" t="s">
        <v>394</v>
      </c>
      <c r="C131" s="51"/>
      <c r="D131" s="51">
        <v>270</v>
      </c>
      <c r="E131" s="51">
        <v>2</v>
      </c>
      <c r="F131" s="52">
        <v>540</v>
      </c>
      <c r="G131" s="53"/>
    </row>
    <row r="132" spans="1:8" x14ac:dyDescent="0.2">
      <c r="B132" s="50" t="s">
        <v>419</v>
      </c>
      <c r="C132" s="51"/>
      <c r="D132" s="51">
        <v>5810</v>
      </c>
      <c r="E132" s="51">
        <v>2</v>
      </c>
      <c r="F132" s="52">
        <v>11620</v>
      </c>
      <c r="G132" s="53"/>
    </row>
    <row r="133" spans="1:8" x14ac:dyDescent="0.2">
      <c r="B133" s="54" t="s">
        <v>396</v>
      </c>
      <c r="C133" s="51"/>
      <c r="D133" s="51">
        <v>130</v>
      </c>
      <c r="E133" s="51">
        <v>3</v>
      </c>
      <c r="F133" s="52">
        <v>390</v>
      </c>
      <c r="G133" s="53"/>
    </row>
    <row r="134" spans="1:8" x14ac:dyDescent="0.2">
      <c r="B134" s="54" t="s">
        <v>420</v>
      </c>
      <c r="C134" s="51"/>
      <c r="D134" s="51">
        <v>940</v>
      </c>
      <c r="E134" s="51">
        <v>2</v>
      </c>
      <c r="F134" s="52">
        <v>1880</v>
      </c>
      <c r="G134" s="53"/>
    </row>
    <row r="135" spans="1:8" x14ac:dyDescent="0.2">
      <c r="B135" s="50" t="s">
        <v>415</v>
      </c>
      <c r="C135" s="51"/>
      <c r="D135" s="51">
        <v>170</v>
      </c>
      <c r="E135" s="51">
        <v>2</v>
      </c>
      <c r="F135" s="52">
        <v>340</v>
      </c>
      <c r="G135" s="53"/>
    </row>
    <row r="136" spans="1:8" x14ac:dyDescent="0.2">
      <c r="B136" s="50" t="s">
        <v>429</v>
      </c>
      <c r="C136" s="51"/>
      <c r="D136" s="51">
        <v>500</v>
      </c>
      <c r="E136" s="51">
        <v>3</v>
      </c>
      <c r="F136" s="52">
        <v>1500</v>
      </c>
      <c r="G136" s="53"/>
    </row>
    <row r="137" spans="1:8" x14ac:dyDescent="0.2">
      <c r="B137" s="50" t="s">
        <v>480</v>
      </c>
      <c r="C137" s="51"/>
      <c r="D137" s="51">
        <v>5040</v>
      </c>
      <c r="E137" s="51">
        <v>2</v>
      </c>
      <c r="F137" s="52">
        <v>10080</v>
      </c>
      <c r="G137" s="53"/>
    </row>
    <row r="138" spans="1:8" x14ac:dyDescent="0.2">
      <c r="B138" s="544" t="s">
        <v>53</v>
      </c>
      <c r="C138" s="133"/>
      <c r="D138" s="133"/>
      <c r="E138" s="133" t="s">
        <v>384</v>
      </c>
      <c r="F138" s="133" t="s">
        <v>385</v>
      </c>
      <c r="G138" s="133" t="s">
        <v>481</v>
      </c>
      <c r="H138" s="132" t="s">
        <v>478</v>
      </c>
    </row>
    <row r="139" spans="1:8" ht="15" x14ac:dyDescent="0.2">
      <c r="A139" s="137">
        <v>12</v>
      </c>
      <c r="B139" s="544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 x14ac:dyDescent="0.2">
      <c r="B140" s="544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 x14ac:dyDescent="0.2">
      <c r="B142" s="82"/>
      <c r="C142" s="47"/>
      <c r="D142" s="47" t="s">
        <v>377</v>
      </c>
      <c r="E142" s="47" t="s">
        <v>378</v>
      </c>
      <c r="F142" s="48" t="s">
        <v>379</v>
      </c>
      <c r="G142" s="83"/>
    </row>
    <row r="143" spans="1:8" x14ac:dyDescent="0.2">
      <c r="B143" s="50" t="s">
        <v>381</v>
      </c>
      <c r="C143" s="51"/>
      <c r="D143" s="51">
        <v>6800</v>
      </c>
      <c r="E143" s="51"/>
      <c r="F143" s="52"/>
      <c r="G143" s="53"/>
    </row>
    <row r="144" spans="1:8" x14ac:dyDescent="0.2">
      <c r="B144" s="50" t="s">
        <v>482</v>
      </c>
      <c r="C144" s="51"/>
      <c r="D144" s="51">
        <v>930</v>
      </c>
      <c r="E144" s="51">
        <v>1</v>
      </c>
      <c r="F144" s="52">
        <v>930</v>
      </c>
      <c r="G144" s="53"/>
    </row>
    <row r="145" spans="1:7" x14ac:dyDescent="0.2">
      <c r="B145" s="50" t="s">
        <v>394</v>
      </c>
      <c r="C145" s="51"/>
      <c r="D145" s="51">
        <v>270</v>
      </c>
      <c r="E145" s="51">
        <v>2</v>
      </c>
      <c r="F145" s="52">
        <v>540</v>
      </c>
      <c r="G145" s="53"/>
    </row>
    <row r="146" spans="1:7" x14ac:dyDescent="0.2">
      <c r="B146" s="54" t="s">
        <v>396</v>
      </c>
      <c r="C146" s="51"/>
      <c r="D146" s="51">
        <v>130</v>
      </c>
      <c r="E146" s="51">
        <v>4</v>
      </c>
      <c r="F146" s="52">
        <v>520</v>
      </c>
      <c r="G146" s="53"/>
    </row>
    <row r="147" spans="1:7" x14ac:dyDescent="0.2">
      <c r="B147" s="50" t="s">
        <v>429</v>
      </c>
      <c r="C147" s="51"/>
      <c r="D147" s="51">
        <v>500</v>
      </c>
      <c r="E147" s="51">
        <v>4</v>
      </c>
      <c r="F147" s="52">
        <v>2000</v>
      </c>
      <c r="G147" s="53"/>
    </row>
    <row r="148" spans="1:7" x14ac:dyDescent="0.2">
      <c r="B148" s="544" t="s">
        <v>54</v>
      </c>
      <c r="C148" s="133"/>
      <c r="D148" s="133"/>
      <c r="E148" s="133" t="s">
        <v>384</v>
      </c>
      <c r="F148" s="133" t="s">
        <v>385</v>
      </c>
      <c r="G148" s="132" t="s">
        <v>478</v>
      </c>
    </row>
    <row r="149" spans="1:7" ht="15" x14ac:dyDescent="0.2">
      <c r="A149" s="137">
        <v>13</v>
      </c>
      <c r="B149" s="544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 x14ac:dyDescent="0.2">
      <c r="B150" s="544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 x14ac:dyDescent="0.2">
      <c r="B152" s="82"/>
      <c r="C152" s="47"/>
      <c r="D152" s="47" t="s">
        <v>377</v>
      </c>
      <c r="E152" s="47" t="s">
        <v>378</v>
      </c>
      <c r="F152" s="48" t="s">
        <v>379</v>
      </c>
      <c r="G152" s="83"/>
    </row>
    <row r="153" spans="1:7" x14ac:dyDescent="0.2">
      <c r="B153" s="50" t="s">
        <v>381</v>
      </c>
      <c r="C153" s="51"/>
      <c r="D153" s="51">
        <v>7344.0000000000009</v>
      </c>
      <c r="E153" s="51"/>
      <c r="F153" s="52"/>
      <c r="G153" s="53"/>
    </row>
    <row r="154" spans="1:7" x14ac:dyDescent="0.2">
      <c r="B154" s="50" t="s">
        <v>482</v>
      </c>
      <c r="C154" s="51"/>
      <c r="D154" s="51">
        <v>930</v>
      </c>
      <c r="E154" s="51">
        <v>1</v>
      </c>
      <c r="F154" s="52">
        <v>930</v>
      </c>
      <c r="G154" s="53"/>
    </row>
    <row r="155" spans="1:7" x14ac:dyDescent="0.2">
      <c r="B155" s="50" t="s">
        <v>394</v>
      </c>
      <c r="C155" s="51"/>
      <c r="D155" s="51">
        <v>270</v>
      </c>
      <c r="E155" s="51">
        <v>2</v>
      </c>
      <c r="F155" s="52">
        <v>540</v>
      </c>
      <c r="G155" s="53"/>
    </row>
    <row r="156" spans="1:7" x14ac:dyDescent="0.2">
      <c r="B156" s="50" t="s">
        <v>429</v>
      </c>
      <c r="C156" s="51"/>
      <c r="D156" s="51">
        <v>500</v>
      </c>
      <c r="E156" s="51">
        <v>4</v>
      </c>
      <c r="F156" s="52">
        <v>2000</v>
      </c>
      <c r="G156" s="53"/>
    </row>
    <row r="157" spans="1:7" x14ac:dyDescent="0.2">
      <c r="B157" s="140" t="s">
        <v>476</v>
      </c>
      <c r="C157" s="51"/>
      <c r="D157" s="51">
        <v>290</v>
      </c>
      <c r="E157" s="51">
        <v>4</v>
      </c>
      <c r="F157" s="52">
        <v>1160</v>
      </c>
      <c r="G157" s="53"/>
    </row>
    <row r="158" spans="1:7" x14ac:dyDescent="0.2">
      <c r="B158" s="544" t="s">
        <v>487</v>
      </c>
      <c r="C158" s="133"/>
      <c r="D158" s="133"/>
      <c r="E158" s="133" t="s">
        <v>384</v>
      </c>
      <c r="F158" s="133"/>
      <c r="G158" s="132" t="s">
        <v>478</v>
      </c>
    </row>
    <row r="159" spans="1:7" ht="15" x14ac:dyDescent="0.2">
      <c r="A159" s="137">
        <v>14</v>
      </c>
      <c r="B159" s="544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 x14ac:dyDescent="0.2">
      <c r="B160" s="544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377</v>
      </c>
      <c r="E162" s="47" t="s">
        <v>378</v>
      </c>
      <c r="F162" s="48" t="s">
        <v>379</v>
      </c>
      <c r="G162" s="83"/>
    </row>
    <row r="163" spans="1:8" x14ac:dyDescent="0.2">
      <c r="B163" s="50" t="s">
        <v>381</v>
      </c>
      <c r="C163" s="51"/>
      <c r="D163" s="51">
        <v>8020</v>
      </c>
      <c r="E163" s="51"/>
      <c r="F163" s="52"/>
      <c r="G163" s="53"/>
    </row>
    <row r="164" spans="1:8" x14ac:dyDescent="0.2">
      <c r="B164" s="50" t="s">
        <v>482</v>
      </c>
      <c r="C164" s="51"/>
      <c r="D164" s="51">
        <v>930</v>
      </c>
      <c r="E164" s="51">
        <v>1</v>
      </c>
      <c r="F164" s="52">
        <v>930</v>
      </c>
      <c r="G164" s="53"/>
    </row>
    <row r="165" spans="1:8" x14ac:dyDescent="0.2">
      <c r="B165" s="50" t="s">
        <v>394</v>
      </c>
      <c r="C165" s="51"/>
      <c r="D165" s="51">
        <v>270</v>
      </c>
      <c r="E165" s="51">
        <v>2</v>
      </c>
      <c r="F165" s="52">
        <v>540</v>
      </c>
      <c r="G165" s="53"/>
    </row>
    <row r="166" spans="1:8" x14ac:dyDescent="0.2">
      <c r="B166" s="50" t="s">
        <v>429</v>
      </c>
      <c r="C166" s="51"/>
      <c r="D166" s="51">
        <v>500</v>
      </c>
      <c r="E166" s="51">
        <v>2</v>
      </c>
      <c r="F166" s="52">
        <v>1000</v>
      </c>
      <c r="G166" s="53"/>
    </row>
    <row r="167" spans="1:8" x14ac:dyDescent="0.2">
      <c r="B167" s="50" t="s">
        <v>419</v>
      </c>
      <c r="C167" s="51"/>
      <c r="D167" s="51">
        <v>5810</v>
      </c>
      <c r="E167" s="51">
        <v>2</v>
      </c>
      <c r="F167" s="52">
        <v>11620</v>
      </c>
      <c r="G167" s="53"/>
    </row>
    <row r="168" spans="1:8" x14ac:dyDescent="0.2">
      <c r="B168" s="50" t="s">
        <v>396</v>
      </c>
      <c r="C168" s="51"/>
      <c r="D168" s="51">
        <v>130</v>
      </c>
      <c r="E168" s="51">
        <v>2</v>
      </c>
      <c r="F168" s="52">
        <v>260</v>
      </c>
      <c r="G168" s="53"/>
    </row>
    <row r="169" spans="1:8" x14ac:dyDescent="0.2">
      <c r="B169" s="50" t="s">
        <v>420</v>
      </c>
      <c r="C169" s="51"/>
      <c r="D169" s="51">
        <v>940</v>
      </c>
      <c r="E169" s="51">
        <v>2</v>
      </c>
      <c r="F169" s="52">
        <v>1880</v>
      </c>
      <c r="G169" s="53"/>
    </row>
    <row r="170" spans="1:8" x14ac:dyDescent="0.2">
      <c r="B170" s="50" t="s">
        <v>415</v>
      </c>
      <c r="C170" s="51"/>
      <c r="D170" s="51">
        <v>170</v>
      </c>
      <c r="E170" s="51">
        <v>2</v>
      </c>
      <c r="F170" s="52">
        <v>340</v>
      </c>
      <c r="G170" s="53"/>
    </row>
    <row r="171" spans="1:8" x14ac:dyDescent="0.2">
      <c r="B171" s="50" t="s">
        <v>480</v>
      </c>
      <c r="C171" s="51"/>
      <c r="D171" s="51">
        <v>5040</v>
      </c>
      <c r="E171" s="51">
        <v>2</v>
      </c>
      <c r="F171" s="52">
        <v>10080</v>
      </c>
      <c r="G171" s="53"/>
    </row>
    <row r="172" spans="1:8" x14ac:dyDescent="0.2">
      <c r="B172" s="544" t="s">
        <v>56</v>
      </c>
      <c r="C172" s="133"/>
      <c r="D172" s="133"/>
      <c r="E172" s="133" t="s">
        <v>384</v>
      </c>
      <c r="F172" s="133" t="s">
        <v>385</v>
      </c>
      <c r="G172" s="133" t="s">
        <v>481</v>
      </c>
      <c r="H172" s="132" t="s">
        <v>478</v>
      </c>
    </row>
    <row r="173" spans="1:8" ht="15" x14ac:dyDescent="0.2">
      <c r="A173" s="137">
        <v>15</v>
      </c>
      <c r="B173" s="544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 x14ac:dyDescent="0.2">
      <c r="B174" s="544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 x14ac:dyDescent="0.2">
      <c r="B176" s="82"/>
      <c r="C176" s="47"/>
      <c r="D176" s="47" t="s">
        <v>377</v>
      </c>
      <c r="E176" s="47" t="s">
        <v>378</v>
      </c>
      <c r="F176" s="48" t="s">
        <v>379</v>
      </c>
      <c r="G176" s="83"/>
    </row>
    <row r="177" spans="1:7" x14ac:dyDescent="0.2">
      <c r="B177" s="50" t="s">
        <v>381</v>
      </c>
      <c r="C177" s="51"/>
      <c r="D177" s="51">
        <v>6990</v>
      </c>
      <c r="E177" s="51"/>
      <c r="F177" s="52"/>
      <c r="G177" s="53"/>
    </row>
    <row r="178" spans="1:7" x14ac:dyDescent="0.2">
      <c r="B178" s="50" t="s">
        <v>441</v>
      </c>
      <c r="C178" s="51"/>
      <c r="D178" s="51">
        <v>1130</v>
      </c>
      <c r="E178" s="51">
        <v>1</v>
      </c>
      <c r="F178" s="52">
        <v>1130</v>
      </c>
      <c r="G178" s="53"/>
    </row>
    <row r="179" spans="1:7" x14ac:dyDescent="0.2">
      <c r="B179" s="50" t="s">
        <v>394</v>
      </c>
      <c r="C179" s="51"/>
      <c r="D179" s="51">
        <v>270</v>
      </c>
      <c r="E179" s="51">
        <v>2</v>
      </c>
      <c r="F179" s="52">
        <v>540</v>
      </c>
      <c r="G179" s="53"/>
    </row>
    <row r="180" spans="1:7" x14ac:dyDescent="0.2">
      <c r="B180" s="50" t="s">
        <v>429</v>
      </c>
      <c r="C180" s="51"/>
      <c r="D180" s="51">
        <v>500</v>
      </c>
      <c r="E180" s="51">
        <v>2</v>
      </c>
      <c r="F180" s="52">
        <v>1000</v>
      </c>
      <c r="G180" s="53"/>
    </row>
    <row r="181" spans="1:7" x14ac:dyDescent="0.2">
      <c r="B181" s="50" t="s">
        <v>488</v>
      </c>
      <c r="C181" s="51"/>
      <c r="D181" s="51">
        <v>6080</v>
      </c>
      <c r="E181" s="51">
        <v>1</v>
      </c>
      <c r="F181" s="52">
        <v>6080</v>
      </c>
      <c r="G181" s="53"/>
    </row>
    <row r="182" spans="1:7" x14ac:dyDescent="0.2">
      <c r="B182" s="50" t="s">
        <v>396</v>
      </c>
      <c r="C182" s="51"/>
      <c r="D182" s="51">
        <v>130</v>
      </c>
      <c r="E182" s="51">
        <v>4</v>
      </c>
      <c r="F182" s="52">
        <v>520</v>
      </c>
      <c r="G182" s="53"/>
    </row>
    <row r="183" spans="1:7" x14ac:dyDescent="0.2">
      <c r="B183" s="50" t="s">
        <v>438</v>
      </c>
      <c r="C183" s="51"/>
      <c r="D183" s="51">
        <v>2290</v>
      </c>
      <c r="E183" s="51">
        <v>1</v>
      </c>
      <c r="F183" s="52">
        <v>2290</v>
      </c>
      <c r="G183" s="53"/>
    </row>
    <row r="184" spans="1:7" x14ac:dyDescent="0.2">
      <c r="B184" s="50" t="s">
        <v>415</v>
      </c>
      <c r="C184" s="51"/>
      <c r="D184" s="51"/>
      <c r="E184" s="51">
        <v>2</v>
      </c>
      <c r="F184" s="52">
        <v>0</v>
      </c>
      <c r="G184" s="53"/>
    </row>
    <row r="185" spans="1:7" x14ac:dyDescent="0.2">
      <c r="B185" s="50" t="s">
        <v>480</v>
      </c>
      <c r="C185" s="51"/>
      <c r="D185" s="51"/>
      <c r="E185" s="51">
        <v>2</v>
      </c>
      <c r="F185" s="52">
        <v>0</v>
      </c>
      <c r="G185" s="53"/>
    </row>
    <row r="186" spans="1:7" x14ac:dyDescent="0.2">
      <c r="B186" s="544" t="s">
        <v>57</v>
      </c>
      <c r="C186" s="133"/>
      <c r="D186" s="133"/>
      <c r="E186" s="133" t="s">
        <v>384</v>
      </c>
      <c r="F186" s="133" t="s">
        <v>385</v>
      </c>
      <c r="G186" s="132" t="s">
        <v>478</v>
      </c>
    </row>
    <row r="187" spans="1:7" ht="15" x14ac:dyDescent="0.2">
      <c r="A187" s="137">
        <v>16</v>
      </c>
      <c r="B187" s="544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 x14ac:dyDescent="0.2">
      <c r="B188" s="544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 x14ac:dyDescent="0.2">
      <c r="B190" s="82"/>
      <c r="C190" s="47"/>
      <c r="D190" s="47" t="s">
        <v>377</v>
      </c>
      <c r="E190" s="47" t="s">
        <v>378</v>
      </c>
      <c r="F190" s="48" t="s">
        <v>379</v>
      </c>
      <c r="G190" s="83"/>
    </row>
    <row r="191" spans="1:7" x14ac:dyDescent="0.2">
      <c r="B191" s="50" t="s">
        <v>381</v>
      </c>
      <c r="C191" s="51"/>
      <c r="D191" s="51">
        <v>6910</v>
      </c>
      <c r="E191" s="51"/>
      <c r="F191" s="52"/>
      <c r="G191" s="53"/>
    </row>
    <row r="192" spans="1:7" x14ac:dyDescent="0.2">
      <c r="B192" s="50" t="s">
        <v>441</v>
      </c>
      <c r="C192" s="51"/>
      <c r="D192" s="51">
        <v>1130</v>
      </c>
      <c r="E192" s="51">
        <v>1</v>
      </c>
      <c r="F192" s="52">
        <v>1130</v>
      </c>
      <c r="G192" s="53"/>
    </row>
    <row r="193" spans="1:8" x14ac:dyDescent="0.2">
      <c r="B193" s="50" t="s">
        <v>394</v>
      </c>
      <c r="C193" s="51"/>
      <c r="D193" s="51">
        <v>270</v>
      </c>
      <c r="E193" s="51">
        <v>2</v>
      </c>
      <c r="F193" s="52">
        <v>540</v>
      </c>
      <c r="G193" s="53"/>
    </row>
    <row r="194" spans="1:8" x14ac:dyDescent="0.2">
      <c r="B194" s="50" t="s">
        <v>429</v>
      </c>
      <c r="C194" s="51"/>
      <c r="D194" s="51">
        <v>500</v>
      </c>
      <c r="E194" s="51">
        <v>2</v>
      </c>
      <c r="F194" s="52">
        <v>1000</v>
      </c>
      <c r="G194" s="53"/>
    </row>
    <row r="195" spans="1:8" x14ac:dyDescent="0.2">
      <c r="B195" s="50" t="s">
        <v>419</v>
      </c>
      <c r="C195" s="51"/>
      <c r="D195" s="51">
        <v>5810</v>
      </c>
      <c r="E195" s="51">
        <v>1</v>
      </c>
      <c r="F195" s="52">
        <v>5810</v>
      </c>
      <c r="G195" s="53"/>
    </row>
    <row r="196" spans="1:8" x14ac:dyDescent="0.2">
      <c r="B196" s="50" t="s">
        <v>396</v>
      </c>
      <c r="C196" s="51"/>
      <c r="D196" s="51">
        <v>130</v>
      </c>
      <c r="E196" s="51">
        <v>2</v>
      </c>
      <c r="F196" s="52">
        <v>260</v>
      </c>
      <c r="G196" s="53"/>
    </row>
    <row r="197" spans="1:8" x14ac:dyDescent="0.2">
      <c r="B197" s="50" t="s">
        <v>420</v>
      </c>
      <c r="C197" s="51"/>
      <c r="D197" s="51">
        <v>940</v>
      </c>
      <c r="E197" s="51">
        <v>1</v>
      </c>
      <c r="F197" s="52">
        <v>940</v>
      </c>
      <c r="G197" s="53"/>
    </row>
    <row r="198" spans="1:8" x14ac:dyDescent="0.2">
      <c r="B198" s="50" t="s">
        <v>415</v>
      </c>
      <c r="C198" s="51"/>
      <c r="D198" s="51">
        <v>170</v>
      </c>
      <c r="E198" s="51">
        <v>1</v>
      </c>
      <c r="F198" s="52">
        <v>170</v>
      </c>
      <c r="G198" s="53"/>
    </row>
    <row r="199" spans="1:8" x14ac:dyDescent="0.2">
      <c r="B199" s="50" t="s">
        <v>480</v>
      </c>
      <c r="C199" s="51"/>
      <c r="D199" s="51">
        <v>5040</v>
      </c>
      <c r="E199" s="51">
        <v>1</v>
      </c>
      <c r="F199" s="52">
        <v>5040</v>
      </c>
      <c r="G199" s="53"/>
    </row>
    <row r="200" spans="1:8" x14ac:dyDescent="0.2">
      <c r="B200" s="544" t="s">
        <v>58</v>
      </c>
      <c r="C200" s="133"/>
      <c r="D200" s="133"/>
      <c r="E200" s="133" t="s">
        <v>384</v>
      </c>
      <c r="F200" s="133" t="s">
        <v>385</v>
      </c>
      <c r="G200" s="133" t="s">
        <v>481</v>
      </c>
      <c r="H200" s="132" t="s">
        <v>478</v>
      </c>
    </row>
    <row r="201" spans="1:8" ht="15" x14ac:dyDescent="0.2">
      <c r="A201" s="137">
        <v>17</v>
      </c>
      <c r="B201" s="544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 x14ac:dyDescent="0.2">
      <c r="B202" s="544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 x14ac:dyDescent="0.2">
      <c r="B204" s="82"/>
      <c r="C204" s="47"/>
      <c r="D204" s="47" t="s">
        <v>377</v>
      </c>
      <c r="E204" s="47" t="s">
        <v>378</v>
      </c>
      <c r="F204" s="48" t="s">
        <v>379</v>
      </c>
      <c r="G204" s="83"/>
    </row>
    <row r="205" spans="1:8" x14ac:dyDescent="0.2">
      <c r="B205" s="50" t="s">
        <v>381</v>
      </c>
      <c r="C205" s="51"/>
      <c r="D205" s="51">
        <v>7462.8</v>
      </c>
      <c r="E205" s="51"/>
      <c r="F205" s="52"/>
      <c r="G205" s="53"/>
    </row>
    <row r="206" spans="1:8" x14ac:dyDescent="0.2">
      <c r="B206" s="50" t="s">
        <v>441</v>
      </c>
      <c r="C206" s="51"/>
      <c r="D206" s="51">
        <v>1130</v>
      </c>
      <c r="E206" s="51">
        <v>1</v>
      </c>
      <c r="F206" s="52">
        <v>1130</v>
      </c>
      <c r="G206" s="53"/>
    </row>
    <row r="207" spans="1:8" x14ac:dyDescent="0.2">
      <c r="B207" s="50" t="s">
        <v>394</v>
      </c>
      <c r="C207" s="51"/>
      <c r="D207" s="51">
        <v>270</v>
      </c>
      <c r="E207" s="51">
        <v>2</v>
      </c>
      <c r="F207" s="52">
        <v>540</v>
      </c>
      <c r="G207" s="53"/>
    </row>
    <row r="208" spans="1:8" x14ac:dyDescent="0.2">
      <c r="B208" s="50" t="s">
        <v>429</v>
      </c>
      <c r="C208" s="51"/>
      <c r="D208" s="51">
        <v>500</v>
      </c>
      <c r="E208" s="51">
        <v>2</v>
      </c>
      <c r="F208" s="52">
        <v>1000</v>
      </c>
      <c r="G208" s="53"/>
    </row>
    <row r="209" spans="1:7" x14ac:dyDescent="0.2">
      <c r="B209" s="50" t="s">
        <v>419</v>
      </c>
      <c r="C209" s="51"/>
      <c r="D209" s="51">
        <v>5810</v>
      </c>
      <c r="E209" s="51">
        <v>1</v>
      </c>
      <c r="F209" s="52">
        <v>5810</v>
      </c>
      <c r="G209" s="53"/>
    </row>
    <row r="210" spans="1:7" x14ac:dyDescent="0.2">
      <c r="B210" s="140" t="s">
        <v>476</v>
      </c>
      <c r="C210" s="51"/>
      <c r="D210" s="51">
        <v>290</v>
      </c>
      <c r="E210" s="51">
        <v>4</v>
      </c>
      <c r="F210" s="52">
        <v>1160</v>
      </c>
      <c r="G210" s="53"/>
    </row>
    <row r="211" spans="1:7" x14ac:dyDescent="0.2">
      <c r="B211" s="544" t="s">
        <v>489</v>
      </c>
      <c r="C211" s="133"/>
      <c r="D211" s="133"/>
      <c r="E211" s="133" t="s">
        <v>384</v>
      </c>
      <c r="F211" s="133"/>
      <c r="G211" s="132" t="s">
        <v>478</v>
      </c>
    </row>
    <row r="212" spans="1:7" ht="15" x14ac:dyDescent="0.2">
      <c r="A212" s="137">
        <v>18</v>
      </c>
      <c r="B212" s="544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 x14ac:dyDescent="0.2">
      <c r="B213" s="544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377</v>
      </c>
      <c r="E215" s="47" t="s">
        <v>378</v>
      </c>
      <c r="F215" s="48" t="s">
        <v>379</v>
      </c>
      <c r="G215" s="83"/>
    </row>
    <row r="216" spans="1:7" x14ac:dyDescent="0.2">
      <c r="B216" s="50" t="s">
        <v>381</v>
      </c>
      <c r="C216" s="51"/>
      <c r="D216" s="51">
        <v>6990</v>
      </c>
      <c r="E216" s="51"/>
      <c r="F216" s="52"/>
      <c r="G216" s="53"/>
    </row>
    <row r="217" spans="1:7" x14ac:dyDescent="0.2">
      <c r="B217" s="50" t="s">
        <v>482</v>
      </c>
      <c r="C217" s="51"/>
      <c r="D217" s="51">
        <v>930</v>
      </c>
      <c r="E217" s="51">
        <v>1</v>
      </c>
      <c r="F217" s="52">
        <v>930</v>
      </c>
      <c r="G217" s="53"/>
    </row>
    <row r="218" spans="1:7" x14ac:dyDescent="0.2">
      <c r="B218" s="50" t="s">
        <v>394</v>
      </c>
      <c r="C218" s="51"/>
      <c r="D218" s="51">
        <v>270</v>
      </c>
      <c r="E218" s="51">
        <v>2</v>
      </c>
      <c r="F218" s="52">
        <v>540</v>
      </c>
      <c r="G218" s="53"/>
    </row>
    <row r="219" spans="1:7" x14ac:dyDescent="0.2">
      <c r="B219" s="50" t="s">
        <v>429</v>
      </c>
      <c r="C219" s="51"/>
      <c r="D219" s="51">
        <v>500</v>
      </c>
      <c r="E219" s="51">
        <v>5</v>
      </c>
      <c r="F219" s="52">
        <v>2500</v>
      </c>
      <c r="G219" s="53"/>
    </row>
    <row r="220" spans="1:7" x14ac:dyDescent="0.2">
      <c r="B220" s="50" t="s">
        <v>488</v>
      </c>
      <c r="C220" s="51"/>
      <c r="D220" s="51">
        <v>6080</v>
      </c>
      <c r="E220" s="51">
        <v>1</v>
      </c>
      <c r="F220" s="52">
        <v>6080</v>
      </c>
      <c r="G220" s="53"/>
    </row>
    <row r="221" spans="1:7" x14ac:dyDescent="0.2">
      <c r="B221" s="50" t="s">
        <v>396</v>
      </c>
      <c r="C221" s="51"/>
      <c r="D221" s="51">
        <v>130</v>
      </c>
      <c r="E221" s="51">
        <v>7</v>
      </c>
      <c r="F221" s="52">
        <v>910</v>
      </c>
      <c r="G221" s="53"/>
    </row>
    <row r="222" spans="1:7" x14ac:dyDescent="0.2">
      <c r="B222" s="50" t="s">
        <v>438</v>
      </c>
      <c r="C222" s="51"/>
      <c r="D222" s="51">
        <v>2290</v>
      </c>
      <c r="E222" s="51">
        <v>1</v>
      </c>
      <c r="F222" s="52">
        <v>2290</v>
      </c>
      <c r="G222" s="53"/>
    </row>
    <row r="223" spans="1:7" x14ac:dyDescent="0.2">
      <c r="B223" s="544" t="s">
        <v>490</v>
      </c>
      <c r="C223" s="133"/>
      <c r="D223" s="133"/>
      <c r="E223" s="133" t="s">
        <v>384</v>
      </c>
      <c r="F223" s="133" t="s">
        <v>385</v>
      </c>
      <c r="G223" s="132" t="s">
        <v>478</v>
      </c>
    </row>
    <row r="224" spans="1:7" ht="15" x14ac:dyDescent="0.2">
      <c r="A224" s="137">
        <v>19</v>
      </c>
      <c r="B224" s="544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 x14ac:dyDescent="0.2">
      <c r="B225" s="544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 x14ac:dyDescent="0.2">
      <c r="B227" s="82"/>
      <c r="C227" s="47"/>
      <c r="D227" s="47" t="s">
        <v>377</v>
      </c>
      <c r="E227" s="47" t="s">
        <v>378</v>
      </c>
      <c r="F227" s="48" t="s">
        <v>379</v>
      </c>
      <c r="G227" s="83"/>
    </row>
    <row r="228" spans="1:7" x14ac:dyDescent="0.2">
      <c r="B228" s="50" t="s">
        <v>381</v>
      </c>
      <c r="C228" s="51"/>
      <c r="D228" s="51">
        <v>6310</v>
      </c>
      <c r="E228" s="51"/>
      <c r="F228" s="52"/>
      <c r="G228" s="53"/>
    </row>
    <row r="229" spans="1:7" x14ac:dyDescent="0.2">
      <c r="B229" s="50" t="s">
        <v>441</v>
      </c>
      <c r="C229" s="51"/>
      <c r="D229" s="51">
        <v>1130</v>
      </c>
      <c r="E229" s="51">
        <v>1</v>
      </c>
      <c r="F229" s="52">
        <v>1130</v>
      </c>
      <c r="G229" s="53"/>
    </row>
    <row r="230" spans="1:7" x14ac:dyDescent="0.2">
      <c r="B230" s="50" t="s">
        <v>394</v>
      </c>
      <c r="C230" s="51"/>
      <c r="D230" s="51">
        <v>270</v>
      </c>
      <c r="E230" s="51">
        <v>2</v>
      </c>
      <c r="F230" s="52">
        <v>540</v>
      </c>
      <c r="G230" s="53"/>
    </row>
    <row r="231" spans="1:7" x14ac:dyDescent="0.2">
      <c r="B231" s="50" t="s">
        <v>429</v>
      </c>
      <c r="C231" s="51"/>
      <c r="D231" s="51">
        <v>500</v>
      </c>
      <c r="E231" s="51">
        <v>5</v>
      </c>
      <c r="F231" s="52">
        <v>2500</v>
      </c>
      <c r="G231" s="53"/>
    </row>
    <row r="232" spans="1:7" x14ac:dyDescent="0.2">
      <c r="B232" s="50" t="s">
        <v>488</v>
      </c>
      <c r="C232" s="51"/>
      <c r="D232" s="51">
        <v>6080</v>
      </c>
      <c r="E232" s="51">
        <v>1</v>
      </c>
      <c r="F232" s="52">
        <v>6080</v>
      </c>
      <c r="G232" s="53"/>
    </row>
    <row r="233" spans="1:7" x14ac:dyDescent="0.2">
      <c r="B233" s="50" t="s">
        <v>396</v>
      </c>
      <c r="C233" s="51"/>
      <c r="D233" s="51">
        <v>130</v>
      </c>
      <c r="E233" s="51">
        <v>7</v>
      </c>
      <c r="F233" s="52">
        <v>910</v>
      </c>
      <c r="G233" s="53"/>
    </row>
    <row r="234" spans="1:7" x14ac:dyDescent="0.2">
      <c r="B234" s="50" t="s">
        <v>438</v>
      </c>
      <c r="C234" s="51"/>
      <c r="D234" s="51">
        <v>2290</v>
      </c>
      <c r="E234" s="51">
        <v>1</v>
      </c>
      <c r="F234" s="52">
        <v>2290</v>
      </c>
      <c r="G234" s="53"/>
    </row>
    <row r="235" spans="1:7" x14ac:dyDescent="0.2">
      <c r="B235" s="544" t="s">
        <v>60</v>
      </c>
      <c r="C235" s="133"/>
      <c r="D235" s="133"/>
      <c r="E235" s="133" t="s">
        <v>384</v>
      </c>
      <c r="F235" s="133" t="s">
        <v>385</v>
      </c>
      <c r="G235" s="132" t="s">
        <v>478</v>
      </c>
    </row>
    <row r="236" spans="1:7" ht="15" x14ac:dyDescent="0.2">
      <c r="A236" s="137">
        <v>20</v>
      </c>
      <c r="B236" s="544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 x14ac:dyDescent="0.2">
      <c r="A3" s="31"/>
      <c r="C3" s="75" t="s">
        <v>366</v>
      </c>
      <c r="D3" s="75"/>
      <c r="E3" s="74" t="s">
        <v>367</v>
      </c>
      <c r="F3" s="76" t="s">
        <v>368</v>
      </c>
      <c r="G3" s="77">
        <v>0.08</v>
      </c>
      <c r="H3" s="35">
        <v>1.08</v>
      </c>
    </row>
    <row r="4" spans="1:11" s="74" customFormat="1" x14ac:dyDescent="0.2">
      <c r="A4" s="31"/>
      <c r="C4" s="75" t="s">
        <v>369</v>
      </c>
      <c r="D4" s="75"/>
      <c r="E4" s="74" t="s">
        <v>370</v>
      </c>
      <c r="F4" s="78" t="s">
        <v>371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372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373</v>
      </c>
      <c r="D6" s="75"/>
      <c r="E6" s="74" t="s">
        <v>374</v>
      </c>
      <c r="F6" s="78" t="s">
        <v>375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376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 x14ac:dyDescent="0.2">
      <c r="A10" s="31"/>
      <c r="B10" s="50" t="s">
        <v>381</v>
      </c>
      <c r="C10" s="51"/>
      <c r="D10" s="51">
        <v>1510</v>
      </c>
      <c r="E10" s="51"/>
      <c r="F10" s="52"/>
      <c r="G10" s="53"/>
    </row>
    <row r="11" spans="1:11" s="74" customFormat="1" x14ac:dyDescent="0.2">
      <c r="A11" s="31"/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 x14ac:dyDescent="0.2">
      <c r="A12" s="31"/>
      <c r="B12" s="54" t="s">
        <v>432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 x14ac:dyDescent="0.2">
      <c r="A13" s="31"/>
      <c r="B13" s="54" t="s">
        <v>433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 x14ac:dyDescent="0.2">
      <c r="A14" s="31"/>
      <c r="B14" s="86"/>
      <c r="C14" s="87"/>
      <c r="D14" s="87"/>
      <c r="E14" s="87" t="s">
        <v>384</v>
      </c>
      <c r="F14" s="87" t="s">
        <v>385</v>
      </c>
      <c r="G14" s="86" t="s">
        <v>386</v>
      </c>
    </row>
    <row r="15" spans="1:11" s="74" customFormat="1" ht="15" x14ac:dyDescent="0.2">
      <c r="A15" s="31">
        <v>1</v>
      </c>
      <c r="B15" s="546" t="s">
        <v>2</v>
      </c>
      <c r="C15" s="87" t="s">
        <v>387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546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 x14ac:dyDescent="0.2">
      <c r="A17" s="31"/>
      <c r="B17" s="546"/>
      <c r="C17" s="87" t="s">
        <v>388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546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546"/>
      <c r="C19" s="87" t="s">
        <v>389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546"/>
      <c r="C20" s="87" t="s">
        <v>390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546"/>
      <c r="C21" s="87" t="s">
        <v>391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546"/>
      <c r="C22" s="87" t="s">
        <v>392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546"/>
      <c r="C23" s="87" t="s">
        <v>393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377</v>
      </c>
      <c r="E25" s="47" t="s">
        <v>378</v>
      </c>
      <c r="F25" s="48" t="s">
        <v>379</v>
      </c>
      <c r="G25" s="96"/>
      <c r="H25" s="97"/>
      <c r="I25" s="98"/>
    </row>
    <row r="26" spans="1:9" ht="15" x14ac:dyDescent="0.2">
      <c r="B26" s="50" t="s">
        <v>381</v>
      </c>
      <c r="C26" s="51"/>
      <c r="D26" s="66">
        <v>1510</v>
      </c>
      <c r="E26" s="82"/>
      <c r="F26" s="52"/>
      <c r="G26" s="53"/>
      <c r="H26" s="97"/>
      <c r="I26" s="98"/>
    </row>
    <row r="27" spans="1:9" x14ac:dyDescent="0.2">
      <c r="B27" s="50" t="s">
        <v>434</v>
      </c>
      <c r="C27" s="51"/>
      <c r="D27" s="51">
        <v>540</v>
      </c>
      <c r="E27" s="66">
        <v>1</v>
      </c>
      <c r="F27" s="52">
        <v>540</v>
      </c>
      <c r="G27" s="53"/>
    </row>
    <row r="28" spans="1:9" x14ac:dyDescent="0.2">
      <c r="B28" s="54" t="s">
        <v>432</v>
      </c>
      <c r="C28" s="51"/>
      <c r="D28" s="51">
        <v>210</v>
      </c>
      <c r="E28" s="66">
        <v>1</v>
      </c>
      <c r="F28" s="52">
        <v>210</v>
      </c>
      <c r="G28" s="53"/>
    </row>
    <row r="29" spans="1:9" x14ac:dyDescent="0.2">
      <c r="B29" s="54" t="s">
        <v>433</v>
      </c>
      <c r="C29" s="51"/>
      <c r="D29" s="51">
        <v>20</v>
      </c>
      <c r="E29" s="66">
        <v>1</v>
      </c>
      <c r="F29" s="52">
        <v>20</v>
      </c>
      <c r="G29" s="53"/>
    </row>
    <row r="30" spans="1:9" x14ac:dyDescent="0.2">
      <c r="B30" s="50" t="s">
        <v>395</v>
      </c>
      <c r="C30" s="51"/>
      <c r="D30" s="51">
        <v>500</v>
      </c>
      <c r="E30" s="66">
        <v>2</v>
      </c>
      <c r="F30" s="52">
        <v>1000</v>
      </c>
      <c r="G30" s="53"/>
    </row>
    <row r="31" spans="1:9" x14ac:dyDescent="0.2">
      <c r="B31" s="50" t="s">
        <v>396</v>
      </c>
      <c r="C31" s="51"/>
      <c r="D31" s="51">
        <v>130</v>
      </c>
      <c r="E31" s="66">
        <v>2</v>
      </c>
      <c r="F31" s="52"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548" t="s">
        <v>131</v>
      </c>
      <c r="C33" s="101"/>
      <c r="D33" s="101"/>
      <c r="E33" s="101" t="s">
        <v>384</v>
      </c>
      <c r="F33" s="101" t="s">
        <v>385</v>
      </c>
      <c r="G33" s="102"/>
    </row>
    <row r="34" spans="1:9" ht="15" x14ac:dyDescent="0.2">
      <c r="B34" s="548"/>
      <c r="C34" s="101" t="s">
        <v>387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 x14ac:dyDescent="0.2">
      <c r="B35" s="548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 x14ac:dyDescent="0.2">
      <c r="B36" s="548"/>
      <c r="C36" s="101" t="s">
        <v>388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 x14ac:dyDescent="0.2">
      <c r="B37" s="548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 x14ac:dyDescent="0.2">
      <c r="B38" s="548"/>
      <c r="C38" s="101" t="s">
        <v>389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 x14ac:dyDescent="0.2">
      <c r="B39" s="548"/>
      <c r="C39" s="101" t="s">
        <v>390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377</v>
      </c>
      <c r="E41" s="47" t="s">
        <v>378</v>
      </c>
      <c r="F41" s="48" t="s">
        <v>379</v>
      </c>
      <c r="G41" s="96"/>
      <c r="H41" s="97"/>
      <c r="I41" s="98"/>
    </row>
    <row r="42" spans="1:9" ht="15" x14ac:dyDescent="0.2">
      <c r="B42" s="50" t="s">
        <v>381</v>
      </c>
      <c r="C42" s="51"/>
      <c r="D42" s="66">
        <v>1510</v>
      </c>
      <c r="E42" s="82"/>
      <c r="F42" s="52"/>
      <c r="G42" s="53"/>
      <c r="H42" s="97"/>
      <c r="I42" s="98"/>
    </row>
    <row r="43" spans="1:9" x14ac:dyDescent="0.2">
      <c r="B43" s="50" t="s">
        <v>435</v>
      </c>
      <c r="C43" s="51"/>
      <c r="D43" s="51">
        <v>740</v>
      </c>
      <c r="E43" s="66">
        <v>1</v>
      </c>
      <c r="F43" s="52">
        <v>740</v>
      </c>
      <c r="G43" s="53"/>
    </row>
    <row r="44" spans="1:9" x14ac:dyDescent="0.2">
      <c r="B44" s="54" t="s">
        <v>432</v>
      </c>
      <c r="C44" s="51"/>
      <c r="D44" s="51">
        <v>210</v>
      </c>
      <c r="E44" s="66">
        <v>1</v>
      </c>
      <c r="F44" s="52">
        <v>210</v>
      </c>
      <c r="G44" s="53"/>
    </row>
    <row r="45" spans="1:9" x14ac:dyDescent="0.2">
      <c r="B45" s="54" t="s">
        <v>433</v>
      </c>
      <c r="C45" s="51"/>
      <c r="D45" s="51">
        <v>20</v>
      </c>
      <c r="E45" s="66">
        <v>1</v>
      </c>
      <c r="F45" s="52">
        <v>20</v>
      </c>
      <c r="G45" s="53"/>
    </row>
    <row r="46" spans="1:9" x14ac:dyDescent="0.2">
      <c r="B46" s="50" t="s">
        <v>395</v>
      </c>
      <c r="C46" s="51"/>
      <c r="D46" s="51">
        <v>500</v>
      </c>
      <c r="E46" s="66">
        <v>2</v>
      </c>
      <c r="F46" s="52">
        <v>1000</v>
      </c>
      <c r="G46" s="53"/>
    </row>
    <row r="47" spans="1:9" x14ac:dyDescent="0.2">
      <c r="B47" s="50" t="s">
        <v>396</v>
      </c>
      <c r="C47" s="51"/>
      <c r="D47" s="51">
        <v>130</v>
      </c>
      <c r="E47" s="66">
        <v>2</v>
      </c>
      <c r="F47" s="52"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132</v>
      </c>
      <c r="C49" s="101"/>
      <c r="D49" s="101"/>
      <c r="E49" s="101" t="s">
        <v>384</v>
      </c>
      <c r="F49" s="101" t="s">
        <v>385</v>
      </c>
      <c r="G49" s="87" t="s">
        <v>370</v>
      </c>
      <c r="H49" s="87" t="s">
        <v>367</v>
      </c>
      <c r="I49" s="87" t="s">
        <v>374</v>
      </c>
    </row>
    <row r="50" spans="1:11" ht="15" x14ac:dyDescent="0.2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377</v>
      </c>
      <c r="E53" s="47" t="s">
        <v>378</v>
      </c>
      <c r="F53" s="48" t="s">
        <v>379</v>
      </c>
      <c r="G53" s="96"/>
    </row>
    <row r="54" spans="1:11" x14ac:dyDescent="0.2">
      <c r="B54" s="50" t="s">
        <v>381</v>
      </c>
      <c r="C54" s="51"/>
      <c r="D54" s="66">
        <v>1510</v>
      </c>
      <c r="E54" s="82"/>
      <c r="F54" s="52"/>
      <c r="G54" s="53"/>
    </row>
    <row r="55" spans="1:11" x14ac:dyDescent="0.2">
      <c r="B55" s="50" t="s">
        <v>382</v>
      </c>
      <c r="C55" s="51"/>
      <c r="D55" s="51">
        <v>540</v>
      </c>
      <c r="E55" s="66">
        <v>1</v>
      </c>
      <c r="F55" s="52">
        <v>540</v>
      </c>
      <c r="G55" s="53"/>
    </row>
    <row r="56" spans="1:11" x14ac:dyDescent="0.2">
      <c r="B56" s="54" t="s">
        <v>432</v>
      </c>
      <c r="C56" s="51"/>
      <c r="D56" s="51">
        <v>210</v>
      </c>
      <c r="E56" s="66">
        <v>1</v>
      </c>
      <c r="F56" s="52">
        <v>210</v>
      </c>
      <c r="G56" s="53"/>
    </row>
    <row r="57" spans="1:11" x14ac:dyDescent="0.2">
      <c r="B57" s="54" t="s">
        <v>433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 x14ac:dyDescent="0.2">
      <c r="B58" s="549" t="s">
        <v>436</v>
      </c>
      <c r="C58" s="549"/>
      <c r="D58" s="51">
        <v>6080</v>
      </c>
      <c r="E58" s="66">
        <v>1</v>
      </c>
      <c r="F58" s="52">
        <v>6080</v>
      </c>
      <c r="G58" s="53"/>
    </row>
    <row r="59" spans="1:11" x14ac:dyDescent="0.2">
      <c r="B59" s="50" t="s">
        <v>437</v>
      </c>
      <c r="C59" s="51"/>
      <c r="D59" s="51">
        <v>6940</v>
      </c>
      <c r="E59" s="66">
        <v>1</v>
      </c>
      <c r="F59" s="52">
        <v>6940</v>
      </c>
      <c r="G59" s="53"/>
    </row>
    <row r="60" spans="1:11" x14ac:dyDescent="0.2">
      <c r="B60" s="50" t="s">
        <v>396</v>
      </c>
      <c r="C60" s="51"/>
      <c r="D60" s="51">
        <v>130</v>
      </c>
      <c r="E60" s="66">
        <v>2</v>
      </c>
      <c r="F60" s="52">
        <v>260</v>
      </c>
      <c r="G60" s="53"/>
    </row>
    <row r="61" spans="1:11" x14ac:dyDescent="0.2">
      <c r="B61" s="82" t="s">
        <v>438</v>
      </c>
      <c r="C61" s="47"/>
      <c r="D61" s="100">
        <v>2290</v>
      </c>
      <c r="E61" s="66">
        <v>1</v>
      </c>
      <c r="F61" s="52">
        <v>2290</v>
      </c>
      <c r="G61" s="82"/>
    </row>
    <row r="62" spans="1:11" x14ac:dyDescent="0.2">
      <c r="A62" s="31">
        <v>4</v>
      </c>
      <c r="B62" s="546" t="s">
        <v>133</v>
      </c>
      <c r="C62" s="87"/>
      <c r="D62" s="87"/>
      <c r="E62" s="87" t="s">
        <v>384</v>
      </c>
      <c r="F62" s="87" t="s">
        <v>385</v>
      </c>
      <c r="G62" s="87" t="s">
        <v>370</v>
      </c>
      <c r="H62" s="87" t="s">
        <v>367</v>
      </c>
    </row>
    <row r="63" spans="1:11" ht="15" x14ac:dyDescent="0.2">
      <c r="B63" s="546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 x14ac:dyDescent="0.2">
      <c r="B64" s="546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 x14ac:dyDescent="0.2">
      <c r="B65" s="546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 x14ac:dyDescent="0.2">
      <c r="B66" s="546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 x14ac:dyDescent="0.2">
      <c r="B67" s="546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 x14ac:dyDescent="0.2">
      <c r="B68" s="546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 x14ac:dyDescent="0.2">
      <c r="B69" s="546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 x14ac:dyDescent="0.2">
      <c r="B71" s="82"/>
      <c r="C71" s="47"/>
      <c r="D71" s="47" t="s">
        <v>377</v>
      </c>
      <c r="E71" s="47" t="s">
        <v>378</v>
      </c>
      <c r="F71" s="48" t="s">
        <v>379</v>
      </c>
      <c r="G71" s="96"/>
    </row>
    <row r="72" spans="1:11" x14ac:dyDescent="0.2">
      <c r="B72" s="50" t="s">
        <v>381</v>
      </c>
      <c r="C72" s="51"/>
      <c r="D72" s="66">
        <v>1510</v>
      </c>
      <c r="E72" s="82"/>
      <c r="F72" s="52"/>
      <c r="G72" s="53"/>
    </row>
    <row r="73" spans="1:11" x14ac:dyDescent="0.2">
      <c r="B73" s="50" t="s">
        <v>423</v>
      </c>
      <c r="C73" s="51"/>
      <c r="D73" s="51">
        <v>740</v>
      </c>
      <c r="E73" s="66">
        <v>1</v>
      </c>
      <c r="F73" s="52">
        <v>740</v>
      </c>
      <c r="G73" s="53"/>
    </row>
    <row r="74" spans="1:11" x14ac:dyDescent="0.2">
      <c r="B74" s="54" t="s">
        <v>432</v>
      </c>
      <c r="C74" s="51"/>
      <c r="D74" s="51">
        <v>210</v>
      </c>
      <c r="E74" s="66">
        <v>1</v>
      </c>
      <c r="F74" s="52">
        <v>210</v>
      </c>
      <c r="G74" s="53"/>
    </row>
    <row r="75" spans="1:11" x14ac:dyDescent="0.2">
      <c r="B75" s="54" t="s">
        <v>439</v>
      </c>
      <c r="C75" s="51"/>
      <c r="D75" s="51">
        <v>20</v>
      </c>
      <c r="E75" s="66">
        <v>1</v>
      </c>
      <c r="F75" s="52">
        <v>20</v>
      </c>
      <c r="G75" s="53"/>
    </row>
    <row r="76" spans="1:11" x14ac:dyDescent="0.2">
      <c r="B76" s="50" t="s">
        <v>436</v>
      </c>
      <c r="C76" s="51"/>
      <c r="D76" s="51">
        <v>6080</v>
      </c>
      <c r="E76" s="66">
        <v>1</v>
      </c>
      <c r="F76" s="52">
        <v>6080</v>
      </c>
      <c r="G76" s="53"/>
    </row>
    <row r="77" spans="1:11" x14ac:dyDescent="0.2">
      <c r="B77" s="50" t="s">
        <v>396</v>
      </c>
      <c r="C77" s="51"/>
      <c r="D77" s="51">
        <v>130</v>
      </c>
      <c r="E77" s="66">
        <v>2</v>
      </c>
      <c r="F77" s="52">
        <v>260</v>
      </c>
      <c r="G77" s="53"/>
    </row>
    <row r="78" spans="1:11" x14ac:dyDescent="0.2">
      <c r="B78" s="82" t="s">
        <v>438</v>
      </c>
      <c r="C78" s="47"/>
      <c r="D78" s="100">
        <v>2290</v>
      </c>
      <c r="E78" s="66">
        <v>1</v>
      </c>
      <c r="F78" s="52">
        <v>2290</v>
      </c>
      <c r="G78" s="82"/>
    </row>
    <row r="79" spans="1:11" x14ac:dyDescent="0.2">
      <c r="A79" s="31">
        <v>5</v>
      </c>
      <c r="B79" s="546" t="s">
        <v>134</v>
      </c>
      <c r="C79" s="87"/>
      <c r="D79" s="87"/>
      <c r="E79" s="87" t="s">
        <v>384</v>
      </c>
      <c r="F79" s="87" t="s">
        <v>385</v>
      </c>
      <c r="G79" s="87" t="s">
        <v>370</v>
      </c>
      <c r="H79" s="87" t="s">
        <v>374</v>
      </c>
    </row>
    <row r="80" spans="1:11" ht="15" x14ac:dyDescent="0.2">
      <c r="B80" s="546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377</v>
      </c>
      <c r="E81" s="47" t="s">
        <v>378</v>
      </c>
      <c r="F81" s="48" t="s">
        <v>379</v>
      </c>
      <c r="G81" s="96"/>
    </row>
    <row r="82" spans="1:8" x14ac:dyDescent="0.2">
      <c r="B82" s="50" t="s">
        <v>381</v>
      </c>
      <c r="C82" s="51"/>
      <c r="D82" s="66">
        <v>1510</v>
      </c>
      <c r="E82" s="82"/>
      <c r="F82" s="52"/>
      <c r="G82" s="53"/>
    </row>
    <row r="83" spans="1:8" x14ac:dyDescent="0.2">
      <c r="B83" s="50" t="s">
        <v>434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 x14ac:dyDescent="0.2">
      <c r="B84" s="54" t="s">
        <v>432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 x14ac:dyDescent="0.2">
      <c r="B85" s="54" t="s">
        <v>433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 x14ac:dyDescent="0.2">
      <c r="B86" s="50" t="s">
        <v>429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 x14ac:dyDescent="0.2">
      <c r="B87" s="50" t="s">
        <v>396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 x14ac:dyDescent="0.2">
      <c r="A88" s="31">
        <v>6</v>
      </c>
      <c r="B88" s="546" t="s">
        <v>135</v>
      </c>
      <c r="C88" s="87"/>
      <c r="D88" s="87"/>
      <c r="E88" s="87" t="s">
        <v>384</v>
      </c>
      <c r="F88" s="87" t="s">
        <v>385</v>
      </c>
      <c r="G88" s="86"/>
      <c r="H88" s="31"/>
    </row>
    <row r="89" spans="1:8" ht="15" x14ac:dyDescent="0.2">
      <c r="B89" s="546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 x14ac:dyDescent="0.2">
      <c r="B90" s="546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 x14ac:dyDescent="0.2">
      <c r="B91" s="546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377</v>
      </c>
      <c r="E94" s="47" t="s">
        <v>378</v>
      </c>
      <c r="F94" s="48" t="s">
        <v>379</v>
      </c>
      <c r="G94" s="96"/>
    </row>
    <row r="95" spans="1:8" x14ac:dyDescent="0.2">
      <c r="B95" s="50" t="s">
        <v>381</v>
      </c>
      <c r="C95" s="51"/>
      <c r="D95" s="66">
        <v>1510</v>
      </c>
      <c r="E95" s="82"/>
      <c r="F95" s="52"/>
      <c r="G95" s="53"/>
    </row>
    <row r="96" spans="1:8" x14ac:dyDescent="0.2">
      <c r="B96" s="50" t="s">
        <v>382</v>
      </c>
      <c r="C96" s="51"/>
      <c r="D96" s="51">
        <v>540</v>
      </c>
      <c r="E96" s="66">
        <v>1</v>
      </c>
      <c r="F96" s="52">
        <v>540</v>
      </c>
      <c r="G96" s="53"/>
    </row>
    <row r="97" spans="1:7" x14ac:dyDescent="0.2">
      <c r="B97" s="54" t="s">
        <v>432</v>
      </c>
      <c r="C97" s="51"/>
      <c r="D97" s="51">
        <v>210</v>
      </c>
      <c r="E97" s="66">
        <v>1</v>
      </c>
      <c r="F97" s="52">
        <v>210</v>
      </c>
      <c r="G97" s="53"/>
    </row>
    <row r="98" spans="1:7" x14ac:dyDescent="0.2">
      <c r="B98" s="54" t="s">
        <v>433</v>
      </c>
      <c r="C98" s="51"/>
      <c r="D98" s="51">
        <v>20</v>
      </c>
      <c r="E98" s="66">
        <v>1</v>
      </c>
      <c r="F98" s="52">
        <v>20</v>
      </c>
      <c r="G98" s="53"/>
    </row>
    <row r="99" spans="1:7" x14ac:dyDescent="0.2">
      <c r="B99" s="50" t="s">
        <v>440</v>
      </c>
      <c r="C99" s="51"/>
      <c r="D99" s="51">
        <v>13990</v>
      </c>
      <c r="E99" s="66">
        <v>1</v>
      </c>
      <c r="F99" s="52"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546" t="s">
        <v>32</v>
      </c>
      <c r="C101" s="87"/>
      <c r="D101" s="87"/>
      <c r="E101" s="87" t="s">
        <v>384</v>
      </c>
      <c r="F101" s="87" t="s">
        <v>385</v>
      </c>
      <c r="G101" s="86"/>
    </row>
    <row r="102" spans="1:7" ht="15" x14ac:dyDescent="0.2">
      <c r="B102" s="546"/>
      <c r="C102" s="87">
        <v>400</v>
      </c>
      <c r="D102" s="87"/>
      <c r="E102" s="88">
        <v>16368.15</v>
      </c>
      <c r="F102" s="88"/>
      <c r="G102" s="89">
        <v>100</v>
      </c>
    </row>
    <row r="103" spans="1:7" ht="15" x14ac:dyDescent="0.2">
      <c r="B103" s="546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 x14ac:dyDescent="0.2">
      <c r="B104" s="546"/>
      <c r="C104" s="87">
        <v>500</v>
      </c>
      <c r="D104" s="87"/>
      <c r="E104" s="88"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377</v>
      </c>
      <c r="E110" s="47" t="s">
        <v>378</v>
      </c>
      <c r="F110" s="48" t="s">
        <v>379</v>
      </c>
      <c r="G110" s="96"/>
    </row>
    <row r="111" spans="1:7" x14ac:dyDescent="0.2">
      <c r="B111" s="50" t="s">
        <v>381</v>
      </c>
      <c r="C111" s="51"/>
      <c r="D111" s="66">
        <v>2580</v>
      </c>
      <c r="E111" s="82"/>
      <c r="F111" s="52"/>
      <c r="G111" s="53"/>
    </row>
    <row r="112" spans="1:7" x14ac:dyDescent="0.2">
      <c r="B112" s="50" t="s">
        <v>441</v>
      </c>
      <c r="C112" s="51"/>
      <c r="D112" s="51">
        <v>1130</v>
      </c>
      <c r="E112" s="66">
        <v>1</v>
      </c>
      <c r="F112" s="52">
        <v>1130</v>
      </c>
      <c r="G112" s="53"/>
    </row>
    <row r="113" spans="1:7" x14ac:dyDescent="0.2">
      <c r="B113" s="54" t="s">
        <v>432</v>
      </c>
      <c r="C113" s="51"/>
      <c r="D113" s="51">
        <v>210</v>
      </c>
      <c r="E113" s="66">
        <v>1</v>
      </c>
      <c r="F113" s="52">
        <v>210</v>
      </c>
      <c r="G113" s="53"/>
    </row>
    <row r="114" spans="1:7" x14ac:dyDescent="0.2">
      <c r="B114" s="54" t="s">
        <v>433</v>
      </c>
      <c r="C114" s="47"/>
      <c r="D114" s="51">
        <v>20</v>
      </c>
      <c r="E114" s="66">
        <v>1</v>
      </c>
      <c r="F114" s="52">
        <v>20</v>
      </c>
      <c r="G114" s="53"/>
    </row>
    <row r="115" spans="1:7" x14ac:dyDescent="0.2">
      <c r="B115" s="50" t="s">
        <v>404</v>
      </c>
      <c r="C115" s="51"/>
      <c r="D115" s="51">
        <v>1300</v>
      </c>
      <c r="E115" s="66">
        <v>2</v>
      </c>
      <c r="F115" s="52">
        <v>2600</v>
      </c>
      <c r="G115" s="53"/>
    </row>
    <row r="116" spans="1:7" x14ac:dyDescent="0.2">
      <c r="B116" s="50" t="s">
        <v>405</v>
      </c>
      <c r="C116" s="51"/>
      <c r="D116" s="51">
        <v>480</v>
      </c>
      <c r="E116" s="66">
        <v>2</v>
      </c>
      <c r="F116" s="52">
        <v>960</v>
      </c>
      <c r="G116" s="53"/>
    </row>
    <row r="117" spans="1:7" x14ac:dyDescent="0.2">
      <c r="B117" s="82" t="s">
        <v>442</v>
      </c>
      <c r="C117" s="47"/>
      <c r="D117" s="51">
        <v>20</v>
      </c>
      <c r="E117" s="66">
        <v>1</v>
      </c>
      <c r="F117" s="52">
        <v>20</v>
      </c>
      <c r="G117" s="82"/>
    </row>
    <row r="118" spans="1:7" x14ac:dyDescent="0.2">
      <c r="B118" s="82" t="s">
        <v>406</v>
      </c>
      <c r="C118" s="99"/>
      <c r="D118" s="51">
        <v>30</v>
      </c>
      <c r="E118" s="66">
        <v>1</v>
      </c>
      <c r="F118" s="52">
        <v>30</v>
      </c>
      <c r="G118" s="82"/>
    </row>
    <row r="119" spans="1:7" x14ac:dyDescent="0.2">
      <c r="A119" s="31">
        <v>8</v>
      </c>
      <c r="B119" s="546" t="s">
        <v>33</v>
      </c>
      <c r="C119" s="87"/>
      <c r="D119" s="87"/>
      <c r="E119" s="87" t="s">
        <v>384</v>
      </c>
      <c r="F119" s="87" t="s">
        <v>385</v>
      </c>
      <c r="G119" s="86"/>
    </row>
    <row r="120" spans="1:7" ht="15" x14ac:dyDescent="0.2">
      <c r="B120" s="546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 x14ac:dyDescent="0.2">
      <c r="B121" s="546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 x14ac:dyDescent="0.2">
      <c r="B122" s="546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 x14ac:dyDescent="0.2">
      <c r="B123" s="546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 x14ac:dyDescent="0.2">
      <c r="B124" s="546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 x14ac:dyDescent="0.2">
      <c r="B125" s="546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 x14ac:dyDescent="0.2">
      <c r="B126" s="546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 x14ac:dyDescent="0.2">
      <c r="B128" s="82"/>
      <c r="C128" s="47"/>
      <c r="D128" s="47" t="s">
        <v>377</v>
      </c>
      <c r="E128" s="47" t="s">
        <v>378</v>
      </c>
      <c r="F128" s="48" t="s">
        <v>379</v>
      </c>
      <c r="G128" s="96"/>
    </row>
    <row r="129" spans="1:7" x14ac:dyDescent="0.2">
      <c r="B129" s="50" t="s">
        <v>381</v>
      </c>
      <c r="C129" s="51"/>
      <c r="D129" s="66">
        <v>2540</v>
      </c>
      <c r="E129" s="82"/>
      <c r="F129" s="52"/>
      <c r="G129" s="53"/>
    </row>
    <row r="130" spans="1:7" x14ac:dyDescent="0.2">
      <c r="B130" s="50" t="s">
        <v>443</v>
      </c>
      <c r="C130" s="51"/>
      <c r="D130" s="51">
        <v>750</v>
      </c>
      <c r="E130" s="66">
        <v>1</v>
      </c>
      <c r="F130" s="52">
        <v>750</v>
      </c>
      <c r="G130" s="53"/>
    </row>
    <row r="131" spans="1:7" x14ac:dyDescent="0.2">
      <c r="B131" s="54" t="s">
        <v>432</v>
      </c>
      <c r="C131" s="51"/>
      <c r="D131" s="51">
        <v>210</v>
      </c>
      <c r="E131" s="66">
        <v>1</v>
      </c>
      <c r="F131" s="52">
        <v>210</v>
      </c>
      <c r="G131" s="53"/>
    </row>
    <row r="132" spans="1:7" x14ac:dyDescent="0.2">
      <c r="B132" s="54" t="s">
        <v>433</v>
      </c>
      <c r="C132" s="51"/>
      <c r="D132" s="51">
        <v>20</v>
      </c>
      <c r="E132" s="66">
        <v>1</v>
      </c>
      <c r="F132" s="52">
        <v>20</v>
      </c>
      <c r="G132" s="53"/>
    </row>
    <row r="133" spans="1:7" x14ac:dyDescent="0.2">
      <c r="B133" s="50" t="s">
        <v>429</v>
      </c>
      <c r="C133" s="51"/>
      <c r="D133" s="51">
        <v>500</v>
      </c>
      <c r="E133" s="66">
        <v>2</v>
      </c>
      <c r="F133" s="52">
        <v>1000</v>
      </c>
      <c r="G133" s="53"/>
    </row>
    <row r="134" spans="1:7" x14ac:dyDescent="0.2">
      <c r="B134" s="50" t="s">
        <v>396</v>
      </c>
      <c r="C134" s="51"/>
      <c r="D134" s="51">
        <v>130</v>
      </c>
      <c r="E134" s="66">
        <v>2</v>
      </c>
      <c r="F134" s="52">
        <v>260</v>
      </c>
      <c r="G134" s="53"/>
    </row>
    <row r="135" spans="1:7" x14ac:dyDescent="0.2">
      <c r="A135" s="31">
        <v>9</v>
      </c>
      <c r="B135" s="546" t="s">
        <v>34</v>
      </c>
      <c r="C135" s="87"/>
      <c r="D135" s="87"/>
      <c r="E135" s="87" t="s">
        <v>384</v>
      </c>
      <c r="F135" s="87" t="s">
        <v>385</v>
      </c>
      <c r="G135" s="86"/>
    </row>
    <row r="136" spans="1:7" ht="15" x14ac:dyDescent="0.2">
      <c r="B136" s="546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 x14ac:dyDescent="0.2">
      <c r="B137" s="546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 x14ac:dyDescent="0.2">
      <c r="B139" s="82"/>
      <c r="C139" s="47"/>
      <c r="D139" s="47" t="s">
        <v>377</v>
      </c>
      <c r="E139" s="47" t="s">
        <v>378</v>
      </c>
      <c r="F139" s="48" t="s">
        <v>379</v>
      </c>
      <c r="G139" s="96"/>
    </row>
    <row r="140" spans="1:7" x14ac:dyDescent="0.2">
      <c r="B140" s="50" t="s">
        <v>381</v>
      </c>
      <c r="C140" s="51"/>
      <c r="D140" s="66">
        <v>2540</v>
      </c>
      <c r="E140" s="82"/>
      <c r="F140" s="52"/>
      <c r="G140" s="53"/>
    </row>
    <row r="141" spans="1:7" x14ac:dyDescent="0.2">
      <c r="B141" s="50" t="s">
        <v>443</v>
      </c>
      <c r="C141" s="51"/>
      <c r="D141" s="51">
        <v>750</v>
      </c>
      <c r="E141" s="66">
        <v>1</v>
      </c>
      <c r="F141" s="52">
        <v>750</v>
      </c>
      <c r="G141" s="53"/>
    </row>
    <row r="142" spans="1:7" x14ac:dyDescent="0.2">
      <c r="B142" s="54" t="s">
        <v>432</v>
      </c>
      <c r="C142" s="51"/>
      <c r="D142" s="51">
        <v>210</v>
      </c>
      <c r="E142" s="66">
        <v>1</v>
      </c>
      <c r="F142" s="52">
        <v>210</v>
      </c>
      <c r="G142" s="53"/>
    </row>
    <row r="143" spans="1:7" x14ac:dyDescent="0.2">
      <c r="B143" s="54" t="s">
        <v>433</v>
      </c>
      <c r="C143" s="51"/>
      <c r="D143" s="51">
        <v>20</v>
      </c>
      <c r="E143" s="66">
        <v>1</v>
      </c>
      <c r="F143" s="52">
        <v>20</v>
      </c>
      <c r="G143" s="53"/>
    </row>
    <row r="144" spans="1:7" x14ac:dyDescent="0.2">
      <c r="B144" s="50" t="s">
        <v>429</v>
      </c>
      <c r="C144" s="51"/>
      <c r="D144" s="51">
        <v>500</v>
      </c>
      <c r="E144" s="66">
        <v>4</v>
      </c>
      <c r="F144" s="52">
        <v>2000</v>
      </c>
      <c r="G144" s="53"/>
    </row>
    <row r="145" spans="1:7" x14ac:dyDescent="0.2">
      <c r="B145" s="50" t="s">
        <v>396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 x14ac:dyDescent="0.2">
      <c r="A146" s="31">
        <v>10</v>
      </c>
      <c r="B146" s="546" t="s">
        <v>35</v>
      </c>
      <c r="C146" s="87"/>
      <c r="D146" s="87"/>
      <c r="E146" s="87" t="s">
        <v>384</v>
      </c>
      <c r="F146" s="87" t="s">
        <v>385</v>
      </c>
      <c r="G146" s="86"/>
    </row>
    <row r="147" spans="1:7" ht="15" x14ac:dyDescent="0.2">
      <c r="B147" s="546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 x14ac:dyDescent="0.2">
      <c r="B148" s="546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 x14ac:dyDescent="0.2">
      <c r="B149" s="546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 x14ac:dyDescent="0.2">
      <c r="B150" s="546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 x14ac:dyDescent="0.2">
      <c r="B152" s="82"/>
      <c r="C152" s="47"/>
      <c r="D152" s="47" t="s">
        <v>377</v>
      </c>
      <c r="E152" s="47" t="s">
        <v>378</v>
      </c>
      <c r="F152" s="48" t="s">
        <v>379</v>
      </c>
      <c r="G152" s="96"/>
    </row>
    <row r="153" spans="1:7" x14ac:dyDescent="0.2">
      <c r="B153" s="50" t="s">
        <v>381</v>
      </c>
      <c r="C153" s="51"/>
      <c r="D153" s="66">
        <v>2530</v>
      </c>
      <c r="E153" s="82"/>
      <c r="F153" s="52"/>
      <c r="G153" s="53"/>
    </row>
    <row r="154" spans="1:7" x14ac:dyDescent="0.2">
      <c r="B154" s="50" t="s">
        <v>382</v>
      </c>
      <c r="C154" s="51"/>
      <c r="D154" s="51">
        <v>740</v>
      </c>
      <c r="E154" s="66">
        <v>1</v>
      </c>
      <c r="F154" s="52">
        <v>740</v>
      </c>
      <c r="G154" s="53"/>
    </row>
    <row r="155" spans="1:7" x14ac:dyDescent="0.2">
      <c r="B155" s="54" t="s">
        <v>432</v>
      </c>
      <c r="C155" s="51"/>
      <c r="D155" s="51">
        <v>210</v>
      </c>
      <c r="E155" s="66">
        <v>1</v>
      </c>
      <c r="F155" s="52">
        <v>210</v>
      </c>
      <c r="G155" s="53"/>
    </row>
    <row r="156" spans="1:7" x14ac:dyDescent="0.2">
      <c r="B156" s="54" t="s">
        <v>433</v>
      </c>
      <c r="C156" s="51"/>
      <c r="D156" s="51">
        <v>20</v>
      </c>
      <c r="E156" s="66">
        <v>1</v>
      </c>
      <c r="F156" s="52">
        <v>20</v>
      </c>
      <c r="G156" s="53"/>
    </row>
    <row r="157" spans="1:7" x14ac:dyDescent="0.2">
      <c r="B157" s="50" t="s">
        <v>411</v>
      </c>
      <c r="C157" s="51"/>
      <c r="D157" s="51">
        <v>1560</v>
      </c>
      <c r="E157" s="66">
        <v>2</v>
      </c>
      <c r="F157" s="52">
        <v>3120</v>
      </c>
      <c r="G157" s="53"/>
    </row>
    <row r="158" spans="1:7" x14ac:dyDescent="0.2">
      <c r="B158" s="50" t="s">
        <v>412</v>
      </c>
      <c r="C158" s="51"/>
      <c r="D158" s="51">
        <v>190</v>
      </c>
      <c r="E158" s="66">
        <v>2</v>
      </c>
      <c r="F158" s="52"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546" t="s">
        <v>36</v>
      </c>
      <c r="C160" s="87"/>
      <c r="D160" s="87"/>
      <c r="E160" s="87" t="s">
        <v>384</v>
      </c>
      <c r="F160" s="87" t="s">
        <v>385</v>
      </c>
      <c r="G160" s="86"/>
    </row>
    <row r="161" spans="1:8" ht="15" x14ac:dyDescent="0.2">
      <c r="B161" s="546"/>
      <c r="C161" s="87">
        <v>600</v>
      </c>
      <c r="D161" s="87"/>
      <c r="E161" s="88">
        <v>6620</v>
      </c>
      <c r="F161" s="88">
        <v>3880</v>
      </c>
      <c r="G161" s="89"/>
    </row>
    <row r="163" spans="1:8" ht="15" x14ac:dyDescent="0.2">
      <c r="B163" s="82"/>
      <c r="C163" s="47"/>
      <c r="D163" s="47" t="s">
        <v>377</v>
      </c>
      <c r="E163" s="47" t="s">
        <v>378</v>
      </c>
      <c r="F163" s="48" t="s">
        <v>379</v>
      </c>
      <c r="G163" s="96"/>
    </row>
    <row r="164" spans="1:8" x14ac:dyDescent="0.2">
      <c r="B164" s="50" t="s">
        <v>381</v>
      </c>
      <c r="C164" s="51"/>
      <c r="D164" s="66">
        <v>1460</v>
      </c>
      <c r="E164" s="82"/>
      <c r="F164" s="52"/>
      <c r="G164" s="53"/>
    </row>
    <row r="165" spans="1:8" x14ac:dyDescent="0.2">
      <c r="B165" s="50" t="s">
        <v>444</v>
      </c>
      <c r="C165" s="51"/>
      <c r="D165" s="51">
        <v>340</v>
      </c>
      <c r="E165" s="66">
        <v>1</v>
      </c>
      <c r="F165" s="52">
        <v>340</v>
      </c>
      <c r="G165" s="53"/>
    </row>
    <row r="166" spans="1:8" x14ac:dyDescent="0.2">
      <c r="B166" s="54" t="s">
        <v>432</v>
      </c>
      <c r="C166" s="51"/>
      <c r="D166" s="51">
        <v>210</v>
      </c>
      <c r="E166" s="66">
        <v>1</v>
      </c>
      <c r="F166" s="52">
        <v>210</v>
      </c>
      <c r="G166" s="53"/>
    </row>
    <row r="167" spans="1:8" x14ac:dyDescent="0.2">
      <c r="B167" s="54" t="s">
        <v>433</v>
      </c>
      <c r="C167" s="51"/>
      <c r="D167" s="51">
        <v>20</v>
      </c>
      <c r="E167" s="66">
        <v>1</v>
      </c>
      <c r="F167" s="52">
        <v>20</v>
      </c>
      <c r="G167" s="53"/>
    </row>
    <row r="168" spans="1:8" x14ac:dyDescent="0.2">
      <c r="B168" s="50" t="s">
        <v>445</v>
      </c>
      <c r="C168" s="51"/>
      <c r="D168" s="51">
        <v>500</v>
      </c>
      <c r="E168" s="66">
        <v>2</v>
      </c>
      <c r="F168" s="52">
        <v>1000</v>
      </c>
      <c r="G168" s="53"/>
    </row>
    <row r="169" spans="1:8" x14ac:dyDescent="0.2">
      <c r="B169" s="109" t="s">
        <v>446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447</v>
      </c>
    </row>
    <row r="170" spans="1:8" x14ac:dyDescent="0.2">
      <c r="B170" s="109" t="s">
        <v>448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449</v>
      </c>
    </row>
    <row r="171" spans="1:8" x14ac:dyDescent="0.2">
      <c r="B171" s="50" t="s">
        <v>396</v>
      </c>
      <c r="C171" s="51"/>
      <c r="D171" s="51">
        <v>130</v>
      </c>
      <c r="E171" s="66">
        <v>2</v>
      </c>
      <c r="F171" s="52"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546" t="s">
        <v>136</v>
      </c>
      <c r="C174" s="87"/>
      <c r="D174" s="87"/>
      <c r="E174" s="87" t="s">
        <v>384</v>
      </c>
      <c r="F174" s="87" t="s">
        <v>385</v>
      </c>
      <c r="G174" s="86"/>
    </row>
    <row r="175" spans="1:8" ht="15" x14ac:dyDescent="0.2">
      <c r="B175" s="546"/>
      <c r="C175" s="87">
        <v>450</v>
      </c>
      <c r="D175" s="87"/>
      <c r="E175" s="88">
        <v>4620</v>
      </c>
      <c r="F175" s="88">
        <v>3880</v>
      </c>
      <c r="G175" s="89"/>
    </row>
    <row r="176" spans="1:8" ht="15" x14ac:dyDescent="0.2">
      <c r="B176" s="546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 x14ac:dyDescent="0.2">
      <c r="B178" s="82"/>
      <c r="C178" s="47"/>
      <c r="D178" s="47" t="s">
        <v>377</v>
      </c>
      <c r="E178" s="47" t="s">
        <v>378</v>
      </c>
      <c r="F178" s="48" t="s">
        <v>379</v>
      </c>
      <c r="G178" s="96"/>
    </row>
    <row r="179" spans="1:8" x14ac:dyDescent="0.2">
      <c r="B179" s="50" t="s">
        <v>381</v>
      </c>
      <c r="C179" s="51"/>
      <c r="D179" s="66">
        <v>1460</v>
      </c>
      <c r="E179" s="82"/>
      <c r="F179" s="52"/>
      <c r="G179" s="53"/>
    </row>
    <row r="180" spans="1:8" x14ac:dyDescent="0.2">
      <c r="B180" s="50" t="s">
        <v>444</v>
      </c>
      <c r="C180" s="51"/>
      <c r="D180" s="51">
        <v>340</v>
      </c>
      <c r="E180" s="66">
        <v>1</v>
      </c>
      <c r="F180" s="52">
        <v>340</v>
      </c>
      <c r="G180" s="53"/>
    </row>
    <row r="181" spans="1:8" x14ac:dyDescent="0.2">
      <c r="B181" s="54" t="s">
        <v>432</v>
      </c>
      <c r="C181" s="51"/>
      <c r="D181" s="51">
        <v>210</v>
      </c>
      <c r="E181" s="66">
        <v>1</v>
      </c>
      <c r="F181" s="52">
        <v>210</v>
      </c>
      <c r="G181" s="53"/>
    </row>
    <row r="182" spans="1:8" x14ac:dyDescent="0.2">
      <c r="B182" s="54" t="s">
        <v>433</v>
      </c>
      <c r="C182" s="51"/>
      <c r="D182" s="51">
        <v>20</v>
      </c>
      <c r="E182" s="66">
        <v>1</v>
      </c>
      <c r="F182" s="52">
        <v>20</v>
      </c>
      <c r="G182" s="53"/>
    </row>
    <row r="183" spans="1:8" x14ac:dyDescent="0.2">
      <c r="B183" s="50" t="s">
        <v>445</v>
      </c>
      <c r="C183" s="51"/>
      <c r="D183" s="51">
        <v>500</v>
      </c>
      <c r="E183" s="66">
        <v>4</v>
      </c>
      <c r="F183" s="52">
        <v>2000</v>
      </c>
      <c r="G183" s="53"/>
    </row>
    <row r="184" spans="1:8" x14ac:dyDescent="0.2">
      <c r="B184" s="50" t="s">
        <v>396</v>
      </c>
      <c r="C184" s="51"/>
      <c r="D184" s="51">
        <v>130</v>
      </c>
      <c r="E184" s="66">
        <v>4</v>
      </c>
      <c r="F184" s="52">
        <v>520</v>
      </c>
      <c r="G184" s="53"/>
    </row>
    <row r="185" spans="1:8" x14ac:dyDescent="0.2">
      <c r="B185" s="109" t="s">
        <v>448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449</v>
      </c>
    </row>
    <row r="186" spans="1:8" x14ac:dyDescent="0.2">
      <c r="B186" s="109" t="s">
        <v>450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449</v>
      </c>
    </row>
    <row r="187" spans="1:8" x14ac:dyDescent="0.2">
      <c r="B187" s="109" t="s">
        <v>451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449</v>
      </c>
    </row>
    <row r="188" spans="1:8" x14ac:dyDescent="0.2">
      <c r="A188" s="31">
        <v>13</v>
      </c>
      <c r="B188" s="546" t="s">
        <v>37</v>
      </c>
      <c r="C188" s="87"/>
      <c r="D188" s="87"/>
      <c r="E188" s="87" t="s">
        <v>384</v>
      </c>
      <c r="F188" s="87" t="s">
        <v>385</v>
      </c>
      <c r="G188" s="86"/>
    </row>
    <row r="189" spans="1:8" ht="15" x14ac:dyDescent="0.2">
      <c r="B189" s="546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 x14ac:dyDescent="0.2">
      <c r="B190" s="546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 x14ac:dyDescent="0.2">
      <c r="B191" s="546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 x14ac:dyDescent="0.2">
      <c r="B193" s="82"/>
      <c r="C193" s="47"/>
      <c r="D193" s="47" t="s">
        <v>377</v>
      </c>
      <c r="E193" s="47" t="s">
        <v>378</v>
      </c>
      <c r="F193" s="48" t="s">
        <v>379</v>
      </c>
      <c r="G193" s="96"/>
      <c r="H193" s="82"/>
    </row>
    <row r="194" spans="1:8" x14ac:dyDescent="0.2">
      <c r="B194" s="50" t="s">
        <v>381</v>
      </c>
      <c r="C194" s="51"/>
      <c r="D194" s="66">
        <v>1460</v>
      </c>
      <c r="E194" s="82"/>
      <c r="F194" s="52"/>
      <c r="G194" s="53"/>
      <c r="H194" s="82"/>
    </row>
    <row r="195" spans="1:8" x14ac:dyDescent="0.2">
      <c r="B195" s="50" t="s">
        <v>444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 x14ac:dyDescent="0.2">
      <c r="B196" s="54" t="s">
        <v>432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 x14ac:dyDescent="0.2">
      <c r="B197" s="54" t="s">
        <v>433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 x14ac:dyDescent="0.2">
      <c r="B198" s="50" t="s">
        <v>452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 x14ac:dyDescent="0.2">
      <c r="B199" s="50" t="s">
        <v>446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447</v>
      </c>
    </row>
    <row r="200" spans="1:8" x14ac:dyDescent="0.2">
      <c r="B200" s="109" t="s">
        <v>448</v>
      </c>
      <c r="C200" s="110"/>
      <c r="D200" s="110">
        <v>4920</v>
      </c>
      <c r="E200" s="66">
        <v>1</v>
      </c>
      <c r="F200" s="52">
        <v>4920</v>
      </c>
      <c r="G200" s="53"/>
    </row>
    <row r="201" spans="1:8" x14ac:dyDescent="0.2">
      <c r="A201" s="31">
        <v>14</v>
      </c>
      <c r="B201" s="546" t="s">
        <v>38</v>
      </c>
      <c r="C201" s="87"/>
      <c r="D201" s="87"/>
      <c r="E201" s="87" t="s">
        <v>384</v>
      </c>
      <c r="F201" s="87" t="s">
        <v>385</v>
      </c>
      <c r="G201" s="87"/>
    </row>
    <row r="202" spans="1:8" ht="15" customHeight="1" x14ac:dyDescent="0.2">
      <c r="B202" s="546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 x14ac:dyDescent="0.2">
      <c r="B203" s="546"/>
      <c r="C203" s="87">
        <v>600</v>
      </c>
      <c r="D203" s="87"/>
      <c r="E203" s="88">
        <v>21082.35</v>
      </c>
      <c r="F203" s="88"/>
      <c r="G203" s="88">
        <v>150</v>
      </c>
    </row>
    <row r="205" spans="1:8" ht="15" x14ac:dyDescent="0.2">
      <c r="A205" s="99"/>
      <c r="D205" s="112" t="s">
        <v>377</v>
      </c>
      <c r="E205" s="112" t="s">
        <v>378</v>
      </c>
      <c r="F205" s="113" t="s">
        <v>379</v>
      </c>
      <c r="G205" s="114"/>
    </row>
    <row r="206" spans="1:8" x14ac:dyDescent="0.2">
      <c r="A206" s="99"/>
      <c r="B206" s="115" t="s">
        <v>381</v>
      </c>
      <c r="C206" s="116"/>
      <c r="D206" s="117">
        <v>1510</v>
      </c>
      <c r="E206" s="118"/>
      <c r="F206" s="119"/>
      <c r="G206" s="120"/>
    </row>
    <row r="207" spans="1:8" x14ac:dyDescent="0.2">
      <c r="A207" s="99"/>
      <c r="B207" s="115" t="s">
        <v>444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 x14ac:dyDescent="0.2">
      <c r="A208" s="99"/>
      <c r="B208" s="121" t="s">
        <v>432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 x14ac:dyDescent="0.2">
      <c r="A209" s="99"/>
      <c r="B209" s="121" t="s">
        <v>433</v>
      </c>
      <c r="C209" s="116"/>
      <c r="D209" s="116">
        <v>20</v>
      </c>
      <c r="E209" s="117">
        <v>1</v>
      </c>
      <c r="F209" s="119">
        <v>20</v>
      </c>
      <c r="G209" s="120"/>
    </row>
    <row r="210" spans="1:9" x14ac:dyDescent="0.2">
      <c r="A210" s="99"/>
      <c r="B210" s="115" t="s">
        <v>436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 x14ac:dyDescent="0.2">
      <c r="A211" s="99"/>
      <c r="B211" s="115" t="s">
        <v>453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 x14ac:dyDescent="0.2">
      <c r="A212" s="99"/>
      <c r="B212" s="122" t="s">
        <v>454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 x14ac:dyDescent="0.2">
      <c r="A213" s="118">
        <v>15</v>
      </c>
      <c r="B213" s="547" t="s">
        <v>137</v>
      </c>
      <c r="C213" s="126"/>
      <c r="D213" s="126"/>
      <c r="E213" s="126" t="s">
        <v>384</v>
      </c>
      <c r="F213" s="126" t="s">
        <v>385</v>
      </c>
      <c r="G213" s="126"/>
      <c r="H213" s="118"/>
      <c r="I213" s="118"/>
    </row>
    <row r="214" spans="1:9" x14ac:dyDescent="0.2">
      <c r="A214" s="118"/>
      <c r="B214" s="547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547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377</v>
      </c>
      <c r="E218" s="47" t="s">
        <v>378</v>
      </c>
      <c r="F218" s="48" t="s">
        <v>379</v>
      </c>
      <c r="G218" s="63"/>
      <c r="H218" s="31"/>
    </row>
    <row r="219" spans="1:9" x14ac:dyDescent="0.2">
      <c r="B219" s="50" t="s">
        <v>381</v>
      </c>
      <c r="C219" s="51"/>
      <c r="D219" s="66">
        <v>1770</v>
      </c>
      <c r="E219" s="31"/>
      <c r="F219" s="52"/>
      <c r="G219" s="53"/>
      <c r="H219" s="31"/>
    </row>
    <row r="220" spans="1:9" x14ac:dyDescent="0.2">
      <c r="B220" s="50" t="s">
        <v>455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 x14ac:dyDescent="0.2">
      <c r="B221" s="50" t="s">
        <v>456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 x14ac:dyDescent="0.2">
      <c r="A222" s="31">
        <v>16</v>
      </c>
      <c r="B222" s="546" t="s">
        <v>39</v>
      </c>
      <c r="C222" s="87"/>
      <c r="D222" s="87"/>
      <c r="E222" s="87" t="s">
        <v>384</v>
      </c>
      <c r="F222" s="87" t="s">
        <v>385</v>
      </c>
      <c r="G222" s="87"/>
      <c r="H222" s="31"/>
    </row>
    <row r="223" spans="1:9" ht="15" x14ac:dyDescent="0.2">
      <c r="B223" s="546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 x14ac:dyDescent="0.2">
      <c r="B225" s="31"/>
      <c r="C225" s="33"/>
      <c r="D225" s="47" t="s">
        <v>377</v>
      </c>
      <c r="E225" s="47" t="s">
        <v>378</v>
      </c>
      <c r="F225" s="48" t="s">
        <v>379</v>
      </c>
      <c r="G225" s="63"/>
      <c r="H225" s="31"/>
    </row>
    <row r="226" spans="1:8" x14ac:dyDescent="0.2">
      <c r="B226" s="50" t="s">
        <v>381</v>
      </c>
      <c r="C226" s="51"/>
      <c r="D226" s="66">
        <v>1770</v>
      </c>
      <c r="E226" s="31"/>
      <c r="F226" s="52"/>
      <c r="G226" s="53"/>
      <c r="H226" s="31"/>
    </row>
    <row r="227" spans="1:8" x14ac:dyDescent="0.2">
      <c r="B227" s="50" t="s">
        <v>456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 x14ac:dyDescent="0.2">
      <c r="B228" s="50" t="s">
        <v>457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 x14ac:dyDescent="0.2">
      <c r="B229" s="50" t="s">
        <v>429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 x14ac:dyDescent="0.2">
      <c r="B230" s="50" t="s">
        <v>396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 x14ac:dyDescent="0.2">
      <c r="A231" s="31">
        <v>17</v>
      </c>
      <c r="B231" s="546" t="s">
        <v>40</v>
      </c>
      <c r="C231" s="87"/>
      <c r="D231" s="87"/>
      <c r="E231" s="87" t="s">
        <v>384</v>
      </c>
      <c r="F231" s="87" t="s">
        <v>385</v>
      </c>
      <c r="G231" s="87"/>
      <c r="H231" s="31"/>
    </row>
    <row r="232" spans="1:8" x14ac:dyDescent="0.2">
      <c r="B232" s="546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 x14ac:dyDescent="0.2">
      <c r="B234" s="82"/>
      <c r="C234" s="47"/>
      <c r="D234" s="47" t="s">
        <v>377</v>
      </c>
      <c r="E234" s="47" t="s">
        <v>378</v>
      </c>
      <c r="F234" s="48" t="s">
        <v>379</v>
      </c>
      <c r="G234" s="96"/>
    </row>
    <row r="235" spans="1:8" x14ac:dyDescent="0.2">
      <c r="B235" s="50" t="s">
        <v>381</v>
      </c>
      <c r="C235" s="51"/>
      <c r="D235" s="66">
        <v>1510</v>
      </c>
      <c r="E235" s="82"/>
      <c r="F235" s="52"/>
      <c r="G235" s="53"/>
    </row>
    <row r="236" spans="1:8" x14ac:dyDescent="0.2">
      <c r="B236" s="50" t="s">
        <v>382</v>
      </c>
      <c r="C236" s="51"/>
      <c r="D236" s="51">
        <v>540</v>
      </c>
      <c r="E236" s="66">
        <v>1</v>
      </c>
      <c r="F236" s="52">
        <v>540</v>
      </c>
      <c r="G236" s="53"/>
    </row>
    <row r="237" spans="1:8" x14ac:dyDescent="0.2">
      <c r="B237" s="54" t="s">
        <v>432</v>
      </c>
      <c r="C237" s="51"/>
      <c r="D237" s="51">
        <v>210</v>
      </c>
      <c r="E237" s="66">
        <v>1</v>
      </c>
      <c r="F237" s="52">
        <v>210</v>
      </c>
      <c r="G237" s="53"/>
    </row>
    <row r="238" spans="1:8" x14ac:dyDescent="0.2">
      <c r="B238" s="54" t="s">
        <v>433</v>
      </c>
      <c r="C238" s="51"/>
      <c r="D238" s="51">
        <v>20</v>
      </c>
      <c r="E238" s="66">
        <v>1</v>
      </c>
      <c r="F238" s="52">
        <v>20</v>
      </c>
      <c r="G238" s="53"/>
    </row>
    <row r="239" spans="1:8" x14ac:dyDescent="0.2">
      <c r="B239" s="50" t="s">
        <v>429</v>
      </c>
      <c r="C239" s="51"/>
      <c r="D239" s="51">
        <v>500</v>
      </c>
      <c r="E239" s="66">
        <v>2</v>
      </c>
      <c r="F239" s="52">
        <v>1000</v>
      </c>
      <c r="G239" s="53"/>
    </row>
    <row r="240" spans="1:8" x14ac:dyDescent="0.2">
      <c r="B240" s="50" t="s">
        <v>396</v>
      </c>
      <c r="C240" s="51"/>
      <c r="D240" s="51">
        <v>130</v>
      </c>
      <c r="E240" s="66">
        <v>2</v>
      </c>
      <c r="F240" s="52">
        <v>260</v>
      </c>
      <c r="G240" s="53"/>
    </row>
    <row r="241" spans="1:7" x14ac:dyDescent="0.2">
      <c r="B241" s="50" t="s">
        <v>458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 x14ac:dyDescent="0.2">
      <c r="B242" s="50" t="s">
        <v>459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 x14ac:dyDescent="0.2">
      <c r="B243" s="50" t="s">
        <v>460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 x14ac:dyDescent="0.2">
      <c r="B244" s="50" t="s">
        <v>461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 x14ac:dyDescent="0.2">
      <c r="B245" s="50" t="s">
        <v>462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 x14ac:dyDescent="0.2">
      <c r="B246" s="50" t="s">
        <v>463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 x14ac:dyDescent="0.2">
      <c r="A247" s="31">
        <v>18</v>
      </c>
      <c r="B247" s="546" t="s">
        <v>138</v>
      </c>
      <c r="C247" s="87"/>
      <c r="D247" s="87"/>
      <c r="E247" s="87" t="s">
        <v>384</v>
      </c>
      <c r="F247" s="87" t="s">
        <v>385</v>
      </c>
      <c r="G247" s="86"/>
    </row>
    <row r="248" spans="1:7" ht="15" x14ac:dyDescent="0.2">
      <c r="B248" s="546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 x14ac:dyDescent="0.2">
      <c r="B249" s="546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 x14ac:dyDescent="0.2">
      <c r="B250" s="546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 x14ac:dyDescent="0.2">
      <c r="B251" s="546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 x14ac:dyDescent="0.2">
      <c r="B252" s="546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 x14ac:dyDescent="0.2">
      <c r="B253" s="546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 x14ac:dyDescent="0.2">
      <c r="B255" s="82"/>
      <c r="C255" s="47"/>
      <c r="D255" s="47" t="s">
        <v>377</v>
      </c>
      <c r="E255" s="47" t="s">
        <v>378</v>
      </c>
      <c r="F255" s="48" t="s">
        <v>379</v>
      </c>
      <c r="G255" s="96"/>
    </row>
    <row r="256" spans="1:7" x14ac:dyDescent="0.2">
      <c r="B256" s="50" t="s">
        <v>381</v>
      </c>
      <c r="C256" s="51"/>
      <c r="D256" s="66">
        <v>1510</v>
      </c>
      <c r="E256" s="82"/>
      <c r="F256" s="52"/>
      <c r="G256" s="53"/>
    </row>
    <row r="257" spans="1:7" x14ac:dyDescent="0.2">
      <c r="B257" s="50" t="s">
        <v>382</v>
      </c>
      <c r="C257" s="51"/>
      <c r="D257" s="51">
        <v>540</v>
      </c>
      <c r="E257" s="66">
        <v>1</v>
      </c>
      <c r="F257" s="52">
        <v>540</v>
      </c>
      <c r="G257" s="53"/>
    </row>
    <row r="258" spans="1:7" x14ac:dyDescent="0.2">
      <c r="B258" s="54" t="s">
        <v>432</v>
      </c>
      <c r="C258" s="51"/>
      <c r="D258" s="51">
        <v>210</v>
      </c>
      <c r="E258" s="66">
        <v>1</v>
      </c>
      <c r="F258" s="52">
        <v>210</v>
      </c>
      <c r="G258" s="53"/>
    </row>
    <row r="259" spans="1:7" x14ac:dyDescent="0.2">
      <c r="B259" s="54" t="s">
        <v>433</v>
      </c>
      <c r="C259" s="51"/>
      <c r="D259" s="51">
        <v>20</v>
      </c>
      <c r="E259" s="66">
        <v>1</v>
      </c>
      <c r="F259" s="52">
        <v>20</v>
      </c>
      <c r="G259" s="53"/>
    </row>
    <row r="260" spans="1:7" x14ac:dyDescent="0.2">
      <c r="B260" s="50" t="s">
        <v>429</v>
      </c>
      <c r="C260" s="51"/>
      <c r="D260" s="51">
        <v>500</v>
      </c>
      <c r="E260" s="66">
        <v>4</v>
      </c>
      <c r="F260" s="52">
        <v>2000</v>
      </c>
      <c r="G260" s="53"/>
    </row>
    <row r="261" spans="1:7" x14ac:dyDescent="0.2">
      <c r="B261" s="50" t="s">
        <v>396</v>
      </c>
      <c r="C261" s="51"/>
      <c r="D261" s="51">
        <v>130</v>
      </c>
      <c r="E261" s="66">
        <v>4</v>
      </c>
      <c r="F261" s="52">
        <v>520</v>
      </c>
      <c r="G261" s="53"/>
    </row>
    <row r="262" spans="1:7" x14ac:dyDescent="0.2">
      <c r="B262" s="50" t="s">
        <v>463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 x14ac:dyDescent="0.2">
      <c r="B263" s="50" t="s">
        <v>464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 x14ac:dyDescent="0.2">
      <c r="B264" s="50" t="s">
        <v>465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 x14ac:dyDescent="0.2">
      <c r="B265" s="50" t="s">
        <v>466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 x14ac:dyDescent="0.2">
      <c r="A266" s="31">
        <v>19</v>
      </c>
      <c r="B266" s="546" t="s">
        <v>41</v>
      </c>
      <c r="C266" s="87"/>
      <c r="D266" s="87"/>
      <c r="E266" s="87" t="s">
        <v>384</v>
      </c>
      <c r="F266" s="87" t="s">
        <v>385</v>
      </c>
      <c r="G266" s="86"/>
    </row>
    <row r="267" spans="1:7" ht="15" x14ac:dyDescent="0.2">
      <c r="B267" s="546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 x14ac:dyDescent="0.2">
      <c r="B268" s="546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 x14ac:dyDescent="0.2">
      <c r="B269" s="546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 x14ac:dyDescent="0.2">
      <c r="B270" s="546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 x14ac:dyDescent="0.2">
      <c r="B272" s="82"/>
      <c r="C272" s="47"/>
      <c r="D272" s="47" t="s">
        <v>377</v>
      </c>
      <c r="E272" s="47" t="s">
        <v>378</v>
      </c>
      <c r="F272" s="48" t="s">
        <v>379</v>
      </c>
      <c r="G272" s="96"/>
    </row>
    <row r="273" spans="1:7" x14ac:dyDescent="0.2">
      <c r="B273" s="50" t="s">
        <v>381</v>
      </c>
      <c r="C273" s="51"/>
      <c r="D273" s="66">
        <v>1510</v>
      </c>
      <c r="E273" s="82"/>
      <c r="F273" s="52"/>
      <c r="G273" s="53"/>
    </row>
    <row r="274" spans="1:7" x14ac:dyDescent="0.2">
      <c r="B274" s="50" t="s">
        <v>382</v>
      </c>
      <c r="C274" s="51"/>
      <c r="D274" s="51">
        <v>540</v>
      </c>
      <c r="E274" s="66">
        <v>1</v>
      </c>
      <c r="F274" s="52">
        <v>540</v>
      </c>
      <c r="G274" s="53"/>
    </row>
    <row r="275" spans="1:7" x14ac:dyDescent="0.2">
      <c r="B275" s="54" t="s">
        <v>432</v>
      </c>
      <c r="C275" s="51"/>
      <c r="D275" s="51">
        <v>210</v>
      </c>
      <c r="E275" s="66">
        <v>1</v>
      </c>
      <c r="F275" s="52">
        <v>210</v>
      </c>
      <c r="G275" s="53"/>
    </row>
    <row r="276" spans="1:7" x14ac:dyDescent="0.2">
      <c r="B276" s="54" t="s">
        <v>433</v>
      </c>
      <c r="C276" s="51"/>
      <c r="D276" s="51">
        <v>20</v>
      </c>
      <c r="E276" s="66">
        <v>1</v>
      </c>
      <c r="F276" s="52">
        <v>20</v>
      </c>
      <c r="G276" s="53"/>
    </row>
    <row r="277" spans="1:7" x14ac:dyDescent="0.2">
      <c r="B277" s="50" t="s">
        <v>467</v>
      </c>
      <c r="C277" s="51"/>
      <c r="D277" s="51">
        <v>13990</v>
      </c>
      <c r="E277" s="66">
        <v>1</v>
      </c>
      <c r="F277" s="52">
        <v>13990</v>
      </c>
      <c r="G277" s="53"/>
    </row>
    <row r="278" spans="1:7" x14ac:dyDescent="0.2">
      <c r="B278" s="50" t="s">
        <v>396</v>
      </c>
      <c r="C278" s="51"/>
      <c r="D278" s="51"/>
      <c r="E278" s="66">
        <v>4</v>
      </c>
      <c r="F278" s="52">
        <v>0</v>
      </c>
      <c r="G278" s="53"/>
    </row>
    <row r="279" spans="1:7" x14ac:dyDescent="0.2">
      <c r="B279" s="50" t="s">
        <v>460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 x14ac:dyDescent="0.2">
      <c r="B280" s="50" t="s">
        <v>462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 x14ac:dyDescent="0.2">
      <c r="B281" s="50" t="s">
        <v>463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 x14ac:dyDescent="0.2">
      <c r="B282" s="50" t="s">
        <v>464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 x14ac:dyDescent="0.2">
      <c r="B283" s="50" t="s">
        <v>465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 x14ac:dyDescent="0.2">
      <c r="B284" s="50" t="s">
        <v>466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 x14ac:dyDescent="0.2">
      <c r="A285" s="31">
        <v>20</v>
      </c>
      <c r="B285" s="546" t="s">
        <v>42</v>
      </c>
      <c r="C285" s="87"/>
      <c r="D285" s="87"/>
      <c r="E285" s="87" t="s">
        <v>384</v>
      </c>
      <c r="F285" s="87" t="s">
        <v>385</v>
      </c>
      <c r="G285" s="86"/>
    </row>
    <row r="286" spans="1:7" ht="15" x14ac:dyDescent="0.2">
      <c r="B286" s="546"/>
      <c r="C286" s="87">
        <v>400</v>
      </c>
      <c r="D286" s="87"/>
      <c r="E286" s="88">
        <v>16776.63</v>
      </c>
      <c r="F286" s="88"/>
      <c r="G286" s="89">
        <v>100</v>
      </c>
    </row>
    <row r="287" spans="1:7" ht="15" x14ac:dyDescent="0.2">
      <c r="B287" s="546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 x14ac:dyDescent="0.2">
      <c r="B288" s="546"/>
      <c r="C288" s="87">
        <v>500</v>
      </c>
      <c r="D288" s="87"/>
      <c r="E288" s="88">
        <v>16985.78</v>
      </c>
      <c r="F288" s="88"/>
      <c r="G288" s="89">
        <v>200</v>
      </c>
    </row>
    <row r="289" spans="2:7" ht="15" x14ac:dyDescent="0.2">
      <c r="B289" s="546"/>
      <c r="C289" s="87">
        <v>600</v>
      </c>
      <c r="D289" s="87"/>
      <c r="E289" s="88">
        <v>17194.93</v>
      </c>
      <c r="F289" s="88"/>
      <c r="G289" s="89">
        <v>300</v>
      </c>
    </row>
    <row r="290" spans="2:7" ht="15" x14ac:dyDescent="0.2">
      <c r="B290" s="546"/>
      <c r="C290" s="87">
        <v>700</v>
      </c>
      <c r="D290" s="87"/>
      <c r="E290" s="88">
        <v>17698.53</v>
      </c>
      <c r="F290" s="88"/>
      <c r="G290" s="89">
        <v>700</v>
      </c>
    </row>
    <row r="291" spans="2:7" ht="15" x14ac:dyDescent="0.2">
      <c r="B291" s="546"/>
      <c r="C291" s="87">
        <v>800</v>
      </c>
      <c r="D291" s="87"/>
      <c r="E291" s="88">
        <v>17613.23</v>
      </c>
      <c r="F291" s="88"/>
      <c r="G291" s="89">
        <v>500</v>
      </c>
    </row>
    <row r="292" spans="2:7" ht="15" x14ac:dyDescent="0.2">
      <c r="B292" s="546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377</v>
      </c>
      <c r="E294" s="47" t="s">
        <v>378</v>
      </c>
      <c r="F294" s="48" t="s">
        <v>379</v>
      </c>
      <c r="G294" s="96"/>
    </row>
    <row r="295" spans="2:7" x14ac:dyDescent="0.2">
      <c r="B295" s="50" t="s">
        <v>381</v>
      </c>
      <c r="C295" s="51"/>
      <c r="D295" s="66">
        <v>2580</v>
      </c>
      <c r="E295" s="82"/>
      <c r="F295" s="52"/>
      <c r="G295" s="53"/>
    </row>
    <row r="296" spans="2:7" x14ac:dyDescent="0.2">
      <c r="B296" s="50" t="s">
        <v>441</v>
      </c>
      <c r="C296" s="51"/>
      <c r="D296" s="51">
        <v>1130</v>
      </c>
      <c r="E296" s="66">
        <v>1</v>
      </c>
      <c r="F296" s="52">
        <v>1130</v>
      </c>
      <c r="G296" s="53"/>
    </row>
    <row r="297" spans="2:7" x14ac:dyDescent="0.2">
      <c r="B297" s="54" t="s">
        <v>432</v>
      </c>
      <c r="C297" s="51"/>
      <c r="D297" s="51">
        <v>210</v>
      </c>
      <c r="E297" s="66">
        <v>1</v>
      </c>
      <c r="F297" s="52">
        <v>210</v>
      </c>
      <c r="G297" s="53"/>
    </row>
    <row r="298" spans="2:7" x14ac:dyDescent="0.2">
      <c r="B298" s="54" t="s">
        <v>433</v>
      </c>
      <c r="C298" s="51"/>
      <c r="D298" s="51">
        <v>20</v>
      </c>
      <c r="E298" s="66">
        <v>1</v>
      </c>
      <c r="F298" s="52">
        <v>20</v>
      </c>
      <c r="G298" s="53"/>
    </row>
    <row r="299" spans="2:7" x14ac:dyDescent="0.2">
      <c r="B299" s="54" t="s">
        <v>406</v>
      </c>
      <c r="C299" s="51"/>
      <c r="D299" s="51">
        <v>30</v>
      </c>
      <c r="E299" s="66">
        <v>1</v>
      </c>
      <c r="F299" s="52">
        <v>30</v>
      </c>
      <c r="G299" s="53"/>
    </row>
    <row r="300" spans="2:7" x14ac:dyDescent="0.2">
      <c r="B300" s="54" t="s">
        <v>442</v>
      </c>
      <c r="C300" s="51"/>
      <c r="D300" s="51">
        <v>20</v>
      </c>
      <c r="E300" s="66">
        <v>1</v>
      </c>
      <c r="F300" s="52">
        <v>20</v>
      </c>
      <c r="G300" s="53"/>
    </row>
    <row r="301" spans="2:7" x14ac:dyDescent="0.2">
      <c r="B301" s="50" t="s">
        <v>427</v>
      </c>
      <c r="C301" s="51"/>
      <c r="D301" s="51">
        <v>1300</v>
      </c>
      <c r="E301" s="66">
        <v>2</v>
      </c>
      <c r="F301" s="52">
        <v>2600</v>
      </c>
      <c r="G301" s="53"/>
    </row>
    <row r="302" spans="2:7" x14ac:dyDescent="0.2">
      <c r="B302" s="50" t="s">
        <v>405</v>
      </c>
      <c r="C302" s="51"/>
      <c r="D302" s="51">
        <v>480</v>
      </c>
      <c r="E302" s="66">
        <v>2</v>
      </c>
      <c r="F302" s="52">
        <v>960</v>
      </c>
      <c r="G302" s="53"/>
    </row>
    <row r="303" spans="2:7" x14ac:dyDescent="0.2">
      <c r="B303" s="50" t="s">
        <v>468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 x14ac:dyDescent="0.2">
      <c r="B304" s="50" t="s">
        <v>469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 x14ac:dyDescent="0.2">
      <c r="B305" s="50" t="s">
        <v>470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 x14ac:dyDescent="0.2">
      <c r="B306" s="50" t="s">
        <v>471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 x14ac:dyDescent="0.2">
      <c r="B307" s="50" t="s">
        <v>472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 x14ac:dyDescent="0.2">
      <c r="B308" s="50" t="s">
        <v>473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 x14ac:dyDescent="0.2">
      <c r="B309" s="50" t="s">
        <v>474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 x14ac:dyDescent="0.2">
      <c r="A310" s="31">
        <v>21</v>
      </c>
      <c r="B310" s="546" t="s">
        <v>43</v>
      </c>
      <c r="C310" s="87"/>
      <c r="D310" s="87"/>
      <c r="E310" s="87" t="s">
        <v>384</v>
      </c>
      <c r="F310" s="87" t="s">
        <v>385</v>
      </c>
      <c r="G310" s="86"/>
    </row>
    <row r="311" spans="1:7" ht="15" x14ac:dyDescent="0.2">
      <c r="B311" s="546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 x14ac:dyDescent="0.2">
      <c r="B312" s="546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 x14ac:dyDescent="0.2">
      <c r="B313" s="546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 x14ac:dyDescent="0.2">
      <c r="B314" s="546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 x14ac:dyDescent="0.2">
      <c r="B315" s="546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 x14ac:dyDescent="0.2">
      <c r="B316" s="546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 x14ac:dyDescent="0.2">
      <c r="B317" s="546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 x14ac:dyDescent="0.2">
      <c r="B319" s="82"/>
      <c r="C319" s="47"/>
      <c r="D319" s="47" t="s">
        <v>377</v>
      </c>
      <c r="E319" s="47" t="s">
        <v>378</v>
      </c>
      <c r="F319" s="48" t="s">
        <v>379</v>
      </c>
      <c r="G319" s="96"/>
    </row>
    <row r="320" spans="1:7" x14ac:dyDescent="0.2">
      <c r="B320" s="50" t="s">
        <v>381</v>
      </c>
      <c r="C320" s="51"/>
      <c r="D320" s="66">
        <v>1640</v>
      </c>
      <c r="E320" s="82"/>
      <c r="F320" s="52"/>
      <c r="G320" s="53"/>
    </row>
    <row r="321" spans="1:8" x14ac:dyDescent="0.2">
      <c r="B321" s="50" t="s">
        <v>431</v>
      </c>
      <c r="C321" s="51"/>
      <c r="D321" s="51">
        <v>590</v>
      </c>
      <c r="E321" s="66">
        <v>1</v>
      </c>
      <c r="F321" s="52">
        <v>590</v>
      </c>
      <c r="G321" s="53"/>
    </row>
    <row r="322" spans="1:8" x14ac:dyDescent="0.2">
      <c r="A322" s="31">
        <v>22</v>
      </c>
      <c r="B322" s="546" t="s">
        <v>31</v>
      </c>
      <c r="C322" s="87"/>
      <c r="D322" s="87"/>
      <c r="E322" s="87" t="s">
        <v>384</v>
      </c>
      <c r="F322" s="87" t="s">
        <v>385</v>
      </c>
      <c r="G322" s="86"/>
    </row>
    <row r="323" spans="1:8" ht="15" x14ac:dyDescent="0.2">
      <c r="B323" s="546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377</v>
      </c>
      <c r="E325" s="47" t="s">
        <v>378</v>
      </c>
      <c r="F325" s="48" t="s">
        <v>379</v>
      </c>
      <c r="G325" s="96"/>
    </row>
    <row r="326" spans="1:8" x14ac:dyDescent="0.2">
      <c r="B326" s="50" t="s">
        <v>381</v>
      </c>
      <c r="C326" s="51"/>
      <c r="D326" s="66">
        <v>1840</v>
      </c>
      <c r="E326" s="82"/>
      <c r="F326" s="52"/>
      <c r="G326" s="53"/>
    </row>
    <row r="327" spans="1:8" x14ac:dyDescent="0.2">
      <c r="B327" s="50" t="s">
        <v>410</v>
      </c>
      <c r="C327" s="51"/>
      <c r="D327" s="51">
        <v>940</v>
      </c>
      <c r="E327" s="66">
        <v>1</v>
      </c>
      <c r="F327" s="52">
        <v>940</v>
      </c>
      <c r="G327" s="53"/>
    </row>
    <row r="328" spans="1:8" x14ac:dyDescent="0.2">
      <c r="B328" s="50" t="s">
        <v>424</v>
      </c>
      <c r="C328" s="51"/>
      <c r="D328" s="51">
        <v>1560</v>
      </c>
      <c r="E328" s="66">
        <v>2</v>
      </c>
      <c r="F328" s="52">
        <v>3120</v>
      </c>
      <c r="G328" s="53"/>
    </row>
    <row r="329" spans="1:8" x14ac:dyDescent="0.2">
      <c r="B329" s="50" t="s">
        <v>455</v>
      </c>
      <c r="C329" s="51"/>
      <c r="D329" s="51">
        <v>40</v>
      </c>
      <c r="E329" s="66">
        <v>2</v>
      </c>
      <c r="F329" s="52">
        <v>80</v>
      </c>
      <c r="G329" s="53"/>
    </row>
    <row r="330" spans="1:8" x14ac:dyDescent="0.2">
      <c r="B330" s="50" t="s">
        <v>412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475</v>
      </c>
    </row>
    <row r="331" spans="1:8" x14ac:dyDescent="0.2">
      <c r="A331" s="31">
        <v>23</v>
      </c>
      <c r="B331" s="546" t="s">
        <v>44</v>
      </c>
      <c r="C331" s="87"/>
      <c r="D331" s="87"/>
      <c r="E331" s="87" t="s">
        <v>384</v>
      </c>
      <c r="F331" s="87" t="s">
        <v>385</v>
      </c>
      <c r="G331" s="86"/>
      <c r="H331" s="129"/>
    </row>
    <row r="332" spans="1:8" ht="15" x14ac:dyDescent="0.2">
      <c r="B332" s="546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361</v>
      </c>
      <c r="E2" s="31" t="s">
        <v>362</v>
      </c>
      <c r="F2" s="35" t="s">
        <v>363</v>
      </c>
      <c r="G2" s="35" t="s">
        <v>364</v>
      </c>
      <c r="H2" s="35" t="s">
        <v>365</v>
      </c>
    </row>
    <row r="3" spans="1:11" x14ac:dyDescent="0.2">
      <c r="C3" s="33" t="s">
        <v>366</v>
      </c>
      <c r="E3" s="31" t="s">
        <v>367</v>
      </c>
      <c r="F3" s="36" t="s">
        <v>368</v>
      </c>
      <c r="G3" s="37">
        <v>0.08</v>
      </c>
      <c r="H3" s="33">
        <v>1.08</v>
      </c>
    </row>
    <row r="4" spans="1:11" x14ac:dyDescent="0.2">
      <c r="C4" s="33" t="s">
        <v>369</v>
      </c>
      <c r="E4" s="31" t="s">
        <v>370</v>
      </c>
      <c r="F4" s="38" t="s">
        <v>371</v>
      </c>
      <c r="G4" s="39">
        <v>6.5000000000000002E-2</v>
      </c>
      <c r="H4" s="33">
        <v>1.0649999999999999</v>
      </c>
    </row>
    <row r="5" spans="1:11" x14ac:dyDescent="0.2">
      <c r="F5" s="38" t="s">
        <v>372</v>
      </c>
      <c r="G5" s="40">
        <v>0.17911771919160485</v>
      </c>
      <c r="H5" s="33">
        <v>1.18</v>
      </c>
    </row>
    <row r="6" spans="1:11" ht="15" x14ac:dyDescent="0.2">
      <c r="C6" s="33" t="s">
        <v>373</v>
      </c>
      <c r="E6" s="31" t="s">
        <v>374</v>
      </c>
      <c r="F6" s="41" t="s">
        <v>375</v>
      </c>
      <c r="G6" s="42">
        <v>0.03</v>
      </c>
      <c r="H6" s="43">
        <v>1.03</v>
      </c>
    </row>
    <row r="7" spans="1:11" x14ac:dyDescent="0.2">
      <c r="F7" s="41" t="s">
        <v>376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377</v>
      </c>
      <c r="E9" s="47" t="s">
        <v>378</v>
      </c>
      <c r="F9" s="48" t="s">
        <v>379</v>
      </c>
      <c r="G9" s="45"/>
      <c r="I9" s="49" t="s">
        <v>380</v>
      </c>
    </row>
    <row r="10" spans="1:11" x14ac:dyDescent="0.2">
      <c r="B10" s="50" t="s">
        <v>381</v>
      </c>
      <c r="C10" s="51"/>
      <c r="D10" s="51">
        <v>2060</v>
      </c>
      <c r="E10" s="51"/>
      <c r="F10" s="52"/>
      <c r="G10" s="53"/>
    </row>
    <row r="11" spans="1:11" x14ac:dyDescent="0.2"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x14ac:dyDescent="0.2">
      <c r="B12" s="54" t="s">
        <v>383</v>
      </c>
      <c r="C12" s="51"/>
      <c r="D12" s="51">
        <v>270</v>
      </c>
      <c r="E12" s="51">
        <v>2</v>
      </c>
      <c r="F12" s="52">
        <v>540</v>
      </c>
      <c r="G12" s="53"/>
    </row>
    <row r="13" spans="1:11" x14ac:dyDescent="0.2">
      <c r="C13" s="33" t="s">
        <v>173</v>
      </c>
      <c r="E13" s="33" t="s">
        <v>384</v>
      </c>
      <c r="F13" s="33" t="s">
        <v>385</v>
      </c>
      <c r="G13" s="31" t="s">
        <v>386</v>
      </c>
      <c r="J13" s="31">
        <v>359.31</v>
      </c>
      <c r="K13" s="31">
        <v>0.89827500000000005</v>
      </c>
    </row>
    <row r="14" spans="1:11" ht="15" x14ac:dyDescent="0.25">
      <c r="A14" s="31">
        <v>1</v>
      </c>
      <c r="B14" s="550" t="s">
        <v>3</v>
      </c>
      <c r="C14" s="55" t="s">
        <v>387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 x14ac:dyDescent="0.2">
      <c r="B15" s="550"/>
      <c r="C15" s="55" t="s">
        <v>388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 x14ac:dyDescent="0.2">
      <c r="B16" s="550"/>
      <c r="C16" s="55" t="s">
        <v>389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 x14ac:dyDescent="0.2">
      <c r="B17" s="550"/>
      <c r="C17" s="55" t="s">
        <v>390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 x14ac:dyDescent="0.2">
      <c r="B18" s="550"/>
      <c r="C18" s="55" t="s">
        <v>391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 x14ac:dyDescent="0.2">
      <c r="B19" s="550"/>
      <c r="C19" s="55" t="s">
        <v>392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 x14ac:dyDescent="0.2">
      <c r="B20" s="550"/>
      <c r="C20" s="55" t="s">
        <v>393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377</v>
      </c>
      <c r="E22" s="47" t="s">
        <v>378</v>
      </c>
      <c r="F22" s="48" t="s">
        <v>379</v>
      </c>
      <c r="G22" s="63"/>
      <c r="H22" s="64"/>
      <c r="I22" s="65"/>
    </row>
    <row r="23" spans="1:9" ht="15" x14ac:dyDescent="0.25">
      <c r="B23" s="50" t="s">
        <v>381</v>
      </c>
      <c r="C23" s="51"/>
      <c r="D23" s="66">
        <v>2060</v>
      </c>
      <c r="F23" s="52"/>
      <c r="G23" s="53"/>
      <c r="H23" s="64"/>
      <c r="I23" s="65"/>
    </row>
    <row r="24" spans="1:9" x14ac:dyDescent="0.2">
      <c r="B24" s="50" t="s">
        <v>382</v>
      </c>
      <c r="C24" s="51"/>
      <c r="D24" s="51">
        <v>540</v>
      </c>
      <c r="E24" s="66">
        <v>1</v>
      </c>
      <c r="F24" s="52">
        <v>540</v>
      </c>
      <c r="G24" s="53"/>
    </row>
    <row r="25" spans="1:9" x14ac:dyDescent="0.2">
      <c r="B25" s="50" t="s">
        <v>394</v>
      </c>
      <c r="C25" s="51"/>
      <c r="D25" s="51">
        <v>270</v>
      </c>
      <c r="E25" s="66">
        <v>2</v>
      </c>
      <c r="F25" s="52">
        <v>540</v>
      </c>
      <c r="G25" s="53"/>
    </row>
    <row r="26" spans="1:9" ht="72" x14ac:dyDescent="0.2">
      <c r="B26" s="255" t="s">
        <v>395</v>
      </c>
      <c r="C26" s="51"/>
      <c r="D26" s="51">
        <v>500</v>
      </c>
      <c r="E26" s="66">
        <v>2</v>
      </c>
      <c r="F26" s="52">
        <v>1000</v>
      </c>
      <c r="G26" s="53"/>
    </row>
    <row r="27" spans="1:9" x14ac:dyDescent="0.2">
      <c r="B27" s="50" t="s">
        <v>396</v>
      </c>
      <c r="C27" s="51"/>
      <c r="D27" s="51">
        <v>130</v>
      </c>
      <c r="E27" s="66">
        <v>2</v>
      </c>
      <c r="F27" s="52">
        <v>260</v>
      </c>
      <c r="G27" s="53"/>
    </row>
    <row r="29" spans="1:9" x14ac:dyDescent="0.2">
      <c r="A29" s="31">
        <v>2</v>
      </c>
      <c r="B29" s="550" t="s">
        <v>0</v>
      </c>
      <c r="C29" s="55"/>
      <c r="D29" s="55"/>
      <c r="E29" s="55" t="s">
        <v>384</v>
      </c>
      <c r="F29" s="55" t="s">
        <v>385</v>
      </c>
      <c r="G29" s="67"/>
    </row>
    <row r="30" spans="1:9" ht="15" x14ac:dyDescent="0.25">
      <c r="B30" s="550"/>
      <c r="C30" s="55" t="s">
        <v>387</v>
      </c>
      <c r="D30" s="55"/>
      <c r="E30" s="56">
        <v>4140</v>
      </c>
      <c r="F30" s="56">
        <v>3400</v>
      </c>
      <c r="G30" s="57"/>
      <c r="H30" s="65"/>
      <c r="I30" s="59"/>
    </row>
    <row r="31" spans="1:9" ht="15" x14ac:dyDescent="0.25">
      <c r="B31" s="550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 x14ac:dyDescent="0.25">
      <c r="B32" s="550"/>
      <c r="C32" s="55" t="s">
        <v>388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 x14ac:dyDescent="0.25">
      <c r="B33" s="550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 x14ac:dyDescent="0.25">
      <c r="B34" s="550"/>
      <c r="C34" s="55" t="s">
        <v>389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 x14ac:dyDescent="0.25">
      <c r="B35" s="550"/>
      <c r="C35" s="55" t="s">
        <v>390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 x14ac:dyDescent="0.2">
      <c r="D37" s="47" t="s">
        <v>377</v>
      </c>
      <c r="E37" s="47" t="s">
        <v>378</v>
      </c>
      <c r="F37" s="48" t="s">
        <v>379</v>
      </c>
      <c r="G37" s="63"/>
    </row>
    <row r="38" spans="1:9" x14ac:dyDescent="0.2">
      <c r="B38" s="50" t="s">
        <v>381</v>
      </c>
      <c r="C38" s="51"/>
      <c r="D38" s="66">
        <v>2060</v>
      </c>
      <c r="F38" s="52"/>
      <c r="G38" s="53"/>
    </row>
    <row r="39" spans="1:9" x14ac:dyDescent="0.2">
      <c r="B39" s="50" t="s">
        <v>382</v>
      </c>
      <c r="C39" s="51"/>
      <c r="D39" s="51">
        <v>540</v>
      </c>
      <c r="E39" s="66">
        <v>1</v>
      </c>
      <c r="F39" s="52">
        <v>540</v>
      </c>
      <c r="G39" s="53"/>
    </row>
    <row r="40" spans="1:9" x14ac:dyDescent="0.2">
      <c r="B40" s="50" t="s">
        <v>394</v>
      </c>
      <c r="C40" s="51"/>
      <c r="D40" s="51">
        <v>270</v>
      </c>
      <c r="E40" s="66">
        <v>2</v>
      </c>
      <c r="F40" s="52">
        <v>540</v>
      </c>
      <c r="G40" s="53"/>
    </row>
    <row r="41" spans="1:9" x14ac:dyDescent="0.2">
      <c r="B41" s="50" t="s">
        <v>395</v>
      </c>
      <c r="C41" s="51"/>
      <c r="D41" s="51">
        <v>500</v>
      </c>
      <c r="E41" s="66">
        <v>4</v>
      </c>
      <c r="F41" s="52">
        <v>2000</v>
      </c>
      <c r="G41" s="53"/>
    </row>
    <row r="42" spans="1:9" x14ac:dyDescent="0.2">
      <c r="B42" s="50" t="s">
        <v>396</v>
      </c>
      <c r="C42" s="51"/>
      <c r="D42" s="51">
        <v>130</v>
      </c>
      <c r="E42" s="66">
        <v>4</v>
      </c>
      <c r="F42" s="52">
        <v>520</v>
      </c>
      <c r="G42" s="53"/>
    </row>
    <row r="44" spans="1:9" x14ac:dyDescent="0.2">
      <c r="A44" s="31">
        <v>3</v>
      </c>
      <c r="B44" s="550" t="s">
        <v>11</v>
      </c>
      <c r="C44" s="55"/>
      <c r="D44" s="55"/>
      <c r="E44" s="55" t="s">
        <v>384</v>
      </c>
      <c r="F44" s="55" t="s">
        <v>385</v>
      </c>
      <c r="G44" s="67"/>
    </row>
    <row r="45" spans="1:9" ht="15" x14ac:dyDescent="0.2">
      <c r="B45" s="550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 x14ac:dyDescent="0.2">
      <c r="B46" s="550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 x14ac:dyDescent="0.2">
      <c r="B47" s="550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 x14ac:dyDescent="0.2">
      <c r="B48" s="550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 x14ac:dyDescent="0.2">
      <c r="D50" s="47" t="s">
        <v>377</v>
      </c>
      <c r="E50" s="47" t="s">
        <v>378</v>
      </c>
      <c r="F50" s="48" t="s">
        <v>379</v>
      </c>
      <c r="G50" s="63"/>
    </row>
    <row r="51" spans="1:7" x14ac:dyDescent="0.2">
      <c r="B51" s="50" t="s">
        <v>381</v>
      </c>
      <c r="C51" s="51"/>
      <c r="D51" s="66">
        <v>2060</v>
      </c>
      <c r="F51" s="52"/>
      <c r="G51" s="53"/>
    </row>
    <row r="52" spans="1:7" x14ac:dyDescent="0.2">
      <c r="B52" s="50" t="s">
        <v>382</v>
      </c>
      <c r="C52" s="51"/>
      <c r="D52" s="51">
        <v>540</v>
      </c>
      <c r="E52" s="66">
        <v>1</v>
      </c>
      <c r="F52" s="52">
        <v>540</v>
      </c>
      <c r="G52" s="53"/>
    </row>
    <row r="53" spans="1:7" x14ac:dyDescent="0.2">
      <c r="B53" s="50" t="s">
        <v>394</v>
      </c>
      <c r="C53" s="51"/>
      <c r="D53" s="51">
        <v>270</v>
      </c>
      <c r="E53" s="66">
        <v>2</v>
      </c>
      <c r="F53" s="52">
        <v>540</v>
      </c>
      <c r="G53" s="53"/>
    </row>
    <row r="54" spans="1:7" ht="24" x14ac:dyDescent="0.2">
      <c r="B54" s="255" t="s">
        <v>397</v>
      </c>
      <c r="C54" s="51"/>
      <c r="D54" s="51">
        <v>11560</v>
      </c>
      <c r="E54" s="66">
        <v>1</v>
      </c>
      <c r="F54" s="52">
        <v>11560</v>
      </c>
      <c r="G54" s="53"/>
    </row>
    <row r="55" spans="1:7" x14ac:dyDescent="0.2">
      <c r="B55" s="256" t="s">
        <v>398</v>
      </c>
      <c r="C55" s="257"/>
      <c r="D55" s="257">
        <v>11370</v>
      </c>
      <c r="E55" s="258">
        <v>1</v>
      </c>
      <c r="F55" s="259">
        <v>11370</v>
      </c>
      <c r="G55" s="260"/>
    </row>
    <row r="56" spans="1:7" x14ac:dyDescent="0.2">
      <c r="B56" s="68" t="s">
        <v>399</v>
      </c>
      <c r="D56" s="51">
        <v>11370</v>
      </c>
      <c r="E56" s="69">
        <v>1</v>
      </c>
      <c r="F56" s="52">
        <v>11370</v>
      </c>
    </row>
    <row r="57" spans="1:7" x14ac:dyDescent="0.2">
      <c r="B57" s="68" t="s">
        <v>400</v>
      </c>
      <c r="D57" s="51">
        <v>10</v>
      </c>
      <c r="E57" s="69">
        <v>2</v>
      </c>
      <c r="F57" s="52">
        <v>20</v>
      </c>
    </row>
    <row r="58" spans="1:7" x14ac:dyDescent="0.2">
      <c r="A58" s="31">
        <v>4</v>
      </c>
      <c r="B58" s="550" t="s">
        <v>12</v>
      </c>
      <c r="C58" s="55"/>
      <c r="D58" s="55"/>
      <c r="E58" s="55" t="s">
        <v>384</v>
      </c>
      <c r="F58" s="55" t="s">
        <v>385</v>
      </c>
      <c r="G58" s="67"/>
    </row>
    <row r="59" spans="1:7" ht="15" x14ac:dyDescent="0.2">
      <c r="B59" s="550"/>
      <c r="C59" s="55">
        <v>150</v>
      </c>
      <c r="D59" s="55"/>
      <c r="E59" s="56">
        <v>14229.15</v>
      </c>
      <c r="F59" s="56"/>
      <c r="G59" s="57">
        <v>150</v>
      </c>
    </row>
    <row r="60" spans="1:7" ht="15" x14ac:dyDescent="0.2">
      <c r="B60" s="550"/>
      <c r="C60" s="55">
        <v>300</v>
      </c>
      <c r="D60" s="55"/>
      <c r="E60" s="70" t="s">
        <v>401</v>
      </c>
      <c r="F60" s="56"/>
      <c r="G60" s="57">
        <v>0</v>
      </c>
    </row>
    <row r="61" spans="1:7" ht="15" x14ac:dyDescent="0.2">
      <c r="B61" s="550"/>
      <c r="C61" s="55">
        <v>450</v>
      </c>
      <c r="D61" s="55"/>
      <c r="E61" s="56">
        <v>14730.85</v>
      </c>
      <c r="F61" s="56"/>
      <c r="G61" s="61">
        <v>150</v>
      </c>
    </row>
    <row r="63" spans="1:7" ht="15" x14ac:dyDescent="0.2">
      <c r="D63" s="47" t="s">
        <v>377</v>
      </c>
      <c r="E63" s="47" t="s">
        <v>378</v>
      </c>
      <c r="F63" s="48" t="s">
        <v>379</v>
      </c>
      <c r="G63" s="63"/>
    </row>
    <row r="64" spans="1:7" x14ac:dyDescent="0.2">
      <c r="B64" s="50" t="s">
        <v>381</v>
      </c>
      <c r="C64" s="51"/>
      <c r="D64" s="66">
        <v>2100</v>
      </c>
      <c r="F64" s="52"/>
      <c r="G64" s="53"/>
    </row>
    <row r="65" spans="1:7" x14ac:dyDescent="0.2">
      <c r="B65" s="50" t="s">
        <v>402</v>
      </c>
      <c r="C65" s="51"/>
      <c r="D65" s="51">
        <v>460</v>
      </c>
      <c r="E65" s="66">
        <v>1</v>
      </c>
      <c r="F65" s="52">
        <v>460</v>
      </c>
      <c r="G65" s="53"/>
    </row>
    <row r="66" spans="1:7" x14ac:dyDescent="0.2">
      <c r="B66" s="50" t="s">
        <v>394</v>
      </c>
      <c r="C66" s="51"/>
      <c r="D66" s="51">
        <v>270</v>
      </c>
      <c r="E66" s="66">
        <v>2</v>
      </c>
      <c r="F66" s="52">
        <v>540</v>
      </c>
      <c r="G66" s="53"/>
    </row>
    <row r="67" spans="1:7" x14ac:dyDescent="0.2">
      <c r="B67" s="50" t="s">
        <v>395</v>
      </c>
      <c r="C67" s="51"/>
      <c r="D67" s="51">
        <v>500</v>
      </c>
      <c r="E67" s="66">
        <v>2</v>
      </c>
      <c r="F67" s="52">
        <v>1000</v>
      </c>
      <c r="G67" s="53"/>
    </row>
    <row r="68" spans="1:7" x14ac:dyDescent="0.2">
      <c r="B68" s="50" t="s">
        <v>396</v>
      </c>
      <c r="C68" s="51"/>
      <c r="D68" s="51">
        <v>130</v>
      </c>
      <c r="E68" s="66">
        <v>2</v>
      </c>
      <c r="F68" s="52">
        <v>260</v>
      </c>
      <c r="G68" s="53"/>
    </row>
    <row r="70" spans="1:7" x14ac:dyDescent="0.2">
      <c r="A70" s="31">
        <v>5</v>
      </c>
      <c r="B70" s="550" t="s">
        <v>13</v>
      </c>
      <c r="C70" s="55"/>
      <c r="D70" s="55"/>
      <c r="E70" s="55" t="s">
        <v>384</v>
      </c>
      <c r="F70" s="55" t="s">
        <v>385</v>
      </c>
      <c r="G70" s="67"/>
    </row>
    <row r="71" spans="1:7" ht="15" x14ac:dyDescent="0.2">
      <c r="B71" s="550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 x14ac:dyDescent="0.2">
      <c r="B72" s="550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 x14ac:dyDescent="0.2">
      <c r="B73" s="550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 x14ac:dyDescent="0.2">
      <c r="D75" s="47" t="s">
        <v>377</v>
      </c>
      <c r="E75" s="47" t="s">
        <v>378</v>
      </c>
      <c r="F75" s="48" t="s">
        <v>379</v>
      </c>
      <c r="G75" s="63"/>
    </row>
    <row r="76" spans="1:7" x14ac:dyDescent="0.2">
      <c r="B76" s="50" t="s">
        <v>381</v>
      </c>
      <c r="C76" s="51"/>
      <c r="D76" s="66">
        <v>2100</v>
      </c>
      <c r="F76" s="52"/>
      <c r="G76" s="53"/>
    </row>
    <row r="77" spans="1:7" x14ac:dyDescent="0.2">
      <c r="B77" s="50" t="s">
        <v>402</v>
      </c>
      <c r="C77" s="51"/>
      <c r="D77" s="51">
        <v>460</v>
      </c>
      <c r="E77" s="66">
        <v>1</v>
      </c>
      <c r="F77" s="52">
        <v>460</v>
      </c>
      <c r="G77" s="53"/>
    </row>
    <row r="78" spans="1:7" x14ac:dyDescent="0.2">
      <c r="B78" s="50" t="s">
        <v>394</v>
      </c>
      <c r="C78" s="51"/>
      <c r="D78" s="51">
        <v>270</v>
      </c>
      <c r="E78" s="66">
        <v>2</v>
      </c>
      <c r="F78" s="52">
        <v>540</v>
      </c>
      <c r="G78" s="53"/>
    </row>
    <row r="79" spans="1:7" x14ac:dyDescent="0.2">
      <c r="B79" s="50" t="s">
        <v>395</v>
      </c>
      <c r="C79" s="51"/>
      <c r="D79" s="51">
        <v>500</v>
      </c>
      <c r="E79" s="66">
        <v>4</v>
      </c>
      <c r="F79" s="52">
        <v>2000</v>
      </c>
      <c r="G79" s="53"/>
    </row>
    <row r="80" spans="1:7" x14ac:dyDescent="0.2">
      <c r="B80" s="50" t="s">
        <v>396</v>
      </c>
      <c r="C80" s="51"/>
      <c r="D80" s="51">
        <v>130</v>
      </c>
      <c r="E80" s="66">
        <v>4</v>
      </c>
      <c r="F80" s="52">
        <v>520</v>
      </c>
      <c r="G80" s="53"/>
    </row>
    <row r="82" spans="1:7" x14ac:dyDescent="0.2">
      <c r="A82" s="31">
        <v>6</v>
      </c>
      <c r="B82" s="550" t="s">
        <v>14</v>
      </c>
      <c r="C82" s="55"/>
      <c r="D82" s="55"/>
      <c r="E82" s="55" t="s">
        <v>384</v>
      </c>
      <c r="F82" s="55" t="s">
        <v>385</v>
      </c>
      <c r="G82" s="67"/>
    </row>
    <row r="83" spans="1:7" ht="15" x14ac:dyDescent="0.2">
      <c r="B83" s="550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 x14ac:dyDescent="0.2">
      <c r="B84" s="550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 x14ac:dyDescent="0.2">
      <c r="B85" s="550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 x14ac:dyDescent="0.2">
      <c r="B86" s="550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 x14ac:dyDescent="0.2">
      <c r="D88" s="47" t="s">
        <v>377</v>
      </c>
      <c r="E88" s="47" t="s">
        <v>378</v>
      </c>
      <c r="F88" s="48" t="s">
        <v>379</v>
      </c>
      <c r="G88" s="63"/>
    </row>
    <row r="89" spans="1:7" x14ac:dyDescent="0.2">
      <c r="B89" s="50" t="s">
        <v>381</v>
      </c>
      <c r="C89" s="51"/>
      <c r="D89" s="66">
        <v>3070</v>
      </c>
      <c r="F89" s="52"/>
      <c r="G89" s="53"/>
    </row>
    <row r="90" spans="1:7" x14ac:dyDescent="0.2">
      <c r="B90" s="50" t="s">
        <v>403</v>
      </c>
      <c r="C90" s="51"/>
      <c r="D90" s="51">
        <v>810</v>
      </c>
      <c r="E90" s="66">
        <v>1</v>
      </c>
      <c r="F90" s="52">
        <v>810</v>
      </c>
      <c r="G90" s="53"/>
    </row>
    <row r="91" spans="1:7" x14ac:dyDescent="0.2">
      <c r="B91" s="50" t="s">
        <v>394</v>
      </c>
      <c r="C91" s="51"/>
      <c r="D91" s="51">
        <v>270</v>
      </c>
      <c r="E91" s="66">
        <v>2</v>
      </c>
      <c r="F91" s="52">
        <v>540</v>
      </c>
      <c r="G91" s="53"/>
    </row>
    <row r="92" spans="1:7" ht="60" x14ac:dyDescent="0.2">
      <c r="B92" s="261" t="s">
        <v>404</v>
      </c>
      <c r="C92" s="51"/>
      <c r="D92" s="51">
        <v>1300</v>
      </c>
      <c r="E92" s="66">
        <v>2</v>
      </c>
      <c r="F92" s="52">
        <v>2600</v>
      </c>
      <c r="G92" s="53"/>
    </row>
    <row r="93" spans="1:7" x14ac:dyDescent="0.2">
      <c r="B93" s="50" t="s">
        <v>405</v>
      </c>
      <c r="C93" s="51"/>
      <c r="D93" s="51">
        <v>480</v>
      </c>
      <c r="E93" s="66">
        <v>2</v>
      </c>
      <c r="F93" s="52">
        <v>960</v>
      </c>
      <c r="G93" s="53"/>
    </row>
    <row r="94" spans="1:7" x14ac:dyDescent="0.2">
      <c r="B94" s="50" t="s">
        <v>406</v>
      </c>
      <c r="C94" s="51"/>
      <c r="D94" s="51">
        <v>30</v>
      </c>
      <c r="E94" s="66">
        <v>1</v>
      </c>
      <c r="F94" s="52">
        <v>30</v>
      </c>
      <c r="G94" s="53"/>
    </row>
    <row r="95" spans="1:7" x14ac:dyDescent="0.2">
      <c r="A95" s="31">
        <v>7</v>
      </c>
      <c r="B95" s="551" t="s">
        <v>407</v>
      </c>
      <c r="C95" s="55"/>
      <c r="D95" s="55"/>
      <c r="E95" s="55" t="s">
        <v>384</v>
      </c>
      <c r="F95" s="55" t="s">
        <v>385</v>
      </c>
      <c r="G95" s="67"/>
    </row>
    <row r="96" spans="1:7" ht="15" x14ac:dyDescent="0.2">
      <c r="B96" s="551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 x14ac:dyDescent="0.2">
      <c r="B97" s="551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 x14ac:dyDescent="0.2">
      <c r="D99" s="47" t="s">
        <v>377</v>
      </c>
      <c r="E99" s="47" t="s">
        <v>378</v>
      </c>
      <c r="F99" s="48" t="s">
        <v>379</v>
      </c>
      <c r="G99" s="63"/>
    </row>
    <row r="100" spans="1:7" x14ac:dyDescent="0.2">
      <c r="B100" s="50" t="s">
        <v>381</v>
      </c>
      <c r="C100" s="51"/>
      <c r="D100" s="66">
        <v>2850</v>
      </c>
      <c r="F100" s="52"/>
      <c r="G100" s="53"/>
    </row>
    <row r="101" spans="1:7" x14ac:dyDescent="0.2">
      <c r="B101" s="50" t="s">
        <v>408</v>
      </c>
      <c r="C101" s="51"/>
      <c r="D101" s="51">
        <v>740</v>
      </c>
      <c r="E101" s="66">
        <v>1</v>
      </c>
      <c r="F101" s="52">
        <v>740</v>
      </c>
      <c r="G101" s="53"/>
    </row>
    <row r="102" spans="1:7" x14ac:dyDescent="0.2">
      <c r="B102" s="50" t="s">
        <v>394</v>
      </c>
      <c r="C102" s="51"/>
      <c r="D102" s="51">
        <v>270</v>
      </c>
      <c r="E102" s="66">
        <v>2</v>
      </c>
      <c r="F102" s="52">
        <v>540</v>
      </c>
      <c r="G102" s="53"/>
    </row>
    <row r="103" spans="1:7" x14ac:dyDescent="0.2">
      <c r="B103" s="71" t="s">
        <v>404</v>
      </c>
      <c r="C103" s="51"/>
      <c r="D103" s="51">
        <v>1300</v>
      </c>
      <c r="E103" s="66">
        <v>2</v>
      </c>
      <c r="F103" s="52">
        <v>2600</v>
      </c>
      <c r="G103" s="53"/>
    </row>
    <row r="104" spans="1:7" x14ac:dyDescent="0.2">
      <c r="B104" s="50" t="s">
        <v>405</v>
      </c>
      <c r="C104" s="51"/>
      <c r="D104" s="51">
        <v>480</v>
      </c>
      <c r="E104" s="66">
        <v>2</v>
      </c>
      <c r="F104" s="52">
        <v>960</v>
      </c>
      <c r="G104" s="53"/>
    </row>
    <row r="105" spans="1:7" x14ac:dyDescent="0.2">
      <c r="B105" s="50" t="s">
        <v>406</v>
      </c>
      <c r="C105" s="51"/>
      <c r="D105" s="51">
        <v>30</v>
      </c>
      <c r="E105" s="66">
        <v>1</v>
      </c>
      <c r="F105" s="52">
        <v>30</v>
      </c>
      <c r="G105" s="53"/>
    </row>
    <row r="106" spans="1:7" x14ac:dyDescent="0.2">
      <c r="A106" s="31">
        <v>8</v>
      </c>
      <c r="B106" s="551" t="s">
        <v>409</v>
      </c>
      <c r="C106" s="55"/>
      <c r="D106" s="55"/>
      <c r="E106" s="55" t="s">
        <v>384</v>
      </c>
      <c r="F106" s="55" t="s">
        <v>385</v>
      </c>
      <c r="G106" s="67"/>
    </row>
    <row r="107" spans="1:7" ht="15" x14ac:dyDescent="0.2">
      <c r="B107" s="551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 x14ac:dyDescent="0.2">
      <c r="B108" s="551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 x14ac:dyDescent="0.2">
      <c r="D110" s="47" t="s">
        <v>377</v>
      </c>
      <c r="E110" s="47" t="s">
        <v>378</v>
      </c>
      <c r="F110" s="48" t="s">
        <v>379</v>
      </c>
      <c r="G110" s="63"/>
    </row>
    <row r="111" spans="1:7" x14ac:dyDescent="0.2">
      <c r="B111" s="50" t="s">
        <v>381</v>
      </c>
      <c r="C111" s="51"/>
      <c r="D111" s="66">
        <v>2480</v>
      </c>
      <c r="F111" s="52"/>
      <c r="G111" s="53"/>
    </row>
    <row r="112" spans="1:7" x14ac:dyDescent="0.2">
      <c r="B112" s="50" t="s">
        <v>410</v>
      </c>
      <c r="C112" s="51"/>
      <c r="D112" s="51">
        <v>940</v>
      </c>
      <c r="E112" s="66">
        <v>1</v>
      </c>
      <c r="F112" s="52">
        <v>940</v>
      </c>
      <c r="G112" s="53"/>
    </row>
    <row r="113" spans="1:7" x14ac:dyDescent="0.2">
      <c r="B113" s="50" t="s">
        <v>394</v>
      </c>
      <c r="C113" s="51"/>
      <c r="D113" s="51">
        <v>270</v>
      </c>
      <c r="E113" s="66">
        <v>3</v>
      </c>
      <c r="F113" s="52">
        <v>810</v>
      </c>
      <c r="G113" s="53"/>
    </row>
    <row r="114" spans="1:7" x14ac:dyDescent="0.2">
      <c r="B114" s="50" t="s">
        <v>411</v>
      </c>
      <c r="C114" s="51"/>
      <c r="D114" s="51">
        <v>1560</v>
      </c>
      <c r="E114" s="66">
        <v>2</v>
      </c>
      <c r="F114" s="52">
        <v>3120</v>
      </c>
      <c r="G114" s="53"/>
    </row>
    <row r="115" spans="1:7" x14ac:dyDescent="0.2">
      <c r="B115" s="50" t="s">
        <v>412</v>
      </c>
      <c r="C115" s="51"/>
      <c r="D115" s="51">
        <v>190</v>
      </c>
      <c r="E115" s="66">
        <v>2</v>
      </c>
      <c r="F115" s="52"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550" t="s">
        <v>15</v>
      </c>
      <c r="C117" s="55"/>
      <c r="D117" s="55"/>
      <c r="E117" s="55" t="s">
        <v>384</v>
      </c>
      <c r="F117" s="55" t="s">
        <v>385</v>
      </c>
      <c r="G117" s="67"/>
    </row>
    <row r="118" spans="1:7" ht="15" x14ac:dyDescent="0.2">
      <c r="B118" s="550"/>
      <c r="C118" s="55">
        <v>700</v>
      </c>
      <c r="D118" s="55"/>
      <c r="E118" s="56">
        <v>7350</v>
      </c>
      <c r="F118" s="56">
        <v>4610</v>
      </c>
      <c r="G118" s="57"/>
    </row>
    <row r="119" spans="1:7" ht="15" x14ac:dyDescent="0.2">
      <c r="B119" s="550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 x14ac:dyDescent="0.2">
      <c r="B120" s="550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 x14ac:dyDescent="0.2">
      <c r="D122" s="47" t="s">
        <v>377</v>
      </c>
      <c r="E122" s="47" t="s">
        <v>378</v>
      </c>
      <c r="F122" s="48" t="s">
        <v>379</v>
      </c>
      <c r="G122" s="63"/>
    </row>
    <row r="123" spans="1:7" x14ac:dyDescent="0.2">
      <c r="B123" s="50" t="s">
        <v>381</v>
      </c>
      <c r="C123" s="51"/>
      <c r="D123" s="66">
        <v>2740</v>
      </c>
      <c r="F123" s="52"/>
      <c r="G123" s="53"/>
    </row>
    <row r="124" spans="1:7" x14ac:dyDescent="0.2">
      <c r="B124" s="50" t="s">
        <v>410</v>
      </c>
      <c r="C124" s="51"/>
      <c r="D124" s="51">
        <v>940</v>
      </c>
      <c r="E124" s="66">
        <v>1</v>
      </c>
      <c r="F124" s="52">
        <v>940</v>
      </c>
      <c r="G124" s="53"/>
    </row>
    <row r="125" spans="1:7" x14ac:dyDescent="0.2">
      <c r="B125" s="50" t="s">
        <v>394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 x14ac:dyDescent="0.2">
      <c r="B126" s="255" t="s">
        <v>411</v>
      </c>
      <c r="C126" s="51"/>
      <c r="D126" s="51">
        <v>1560</v>
      </c>
      <c r="E126" s="66">
        <v>2</v>
      </c>
      <c r="F126" s="52">
        <v>3120</v>
      </c>
      <c r="G126" s="53"/>
    </row>
    <row r="127" spans="1:7" x14ac:dyDescent="0.2">
      <c r="B127" s="50" t="s">
        <v>412</v>
      </c>
      <c r="C127" s="51"/>
      <c r="D127" s="51">
        <v>190</v>
      </c>
      <c r="E127" s="66">
        <v>2</v>
      </c>
      <c r="F127" s="52"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550" t="s">
        <v>16</v>
      </c>
      <c r="C129" s="55"/>
      <c r="D129" s="55"/>
      <c r="E129" s="55" t="s">
        <v>384</v>
      </c>
      <c r="F129" s="55" t="s">
        <v>385</v>
      </c>
      <c r="G129" s="67"/>
    </row>
    <row r="130" spans="1:8" ht="15" x14ac:dyDescent="0.2">
      <c r="B130" s="550"/>
      <c r="C130" s="55">
        <v>700</v>
      </c>
      <c r="D130" s="55"/>
      <c r="E130" s="56">
        <v>7610</v>
      </c>
      <c r="F130" s="56">
        <v>4870</v>
      </c>
      <c r="G130" s="57"/>
    </row>
    <row r="131" spans="1:8" ht="15" x14ac:dyDescent="0.2">
      <c r="B131" s="550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 x14ac:dyDescent="0.2">
      <c r="B132" s="550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 x14ac:dyDescent="0.2">
      <c r="D134" s="47" t="s">
        <v>377</v>
      </c>
      <c r="E134" s="47" t="s">
        <v>378</v>
      </c>
      <c r="F134" s="48" t="s">
        <v>379</v>
      </c>
      <c r="G134" s="63"/>
    </row>
    <row r="135" spans="1:8" x14ac:dyDescent="0.2">
      <c r="B135" s="50" t="s">
        <v>381</v>
      </c>
      <c r="C135" s="51"/>
      <c r="D135" s="66">
        <v>2300</v>
      </c>
      <c r="F135" s="52"/>
      <c r="G135" s="53"/>
    </row>
    <row r="136" spans="1:8" x14ac:dyDescent="0.2">
      <c r="B136" s="50" t="s">
        <v>382</v>
      </c>
      <c r="C136" s="51"/>
      <c r="D136" s="51">
        <v>540</v>
      </c>
      <c r="E136" s="66">
        <v>1</v>
      </c>
      <c r="F136" s="52">
        <v>540</v>
      </c>
      <c r="G136" s="53"/>
    </row>
    <row r="137" spans="1:8" x14ac:dyDescent="0.2">
      <c r="B137" s="50" t="s">
        <v>394</v>
      </c>
      <c r="C137" s="51"/>
      <c r="D137" s="51">
        <v>270</v>
      </c>
      <c r="E137" s="66">
        <v>2</v>
      </c>
      <c r="F137" s="52">
        <v>540</v>
      </c>
      <c r="G137" s="53"/>
    </row>
    <row r="138" spans="1:8" x14ac:dyDescent="0.2">
      <c r="B138" s="50" t="s">
        <v>395</v>
      </c>
      <c r="C138" s="51"/>
      <c r="D138" s="51">
        <v>500</v>
      </c>
      <c r="E138" s="66">
        <v>2</v>
      </c>
      <c r="F138" s="52">
        <v>1000</v>
      </c>
      <c r="G138" s="53"/>
    </row>
    <row r="139" spans="1:8" x14ac:dyDescent="0.2">
      <c r="B139" s="50" t="s">
        <v>413</v>
      </c>
      <c r="C139" s="51"/>
      <c r="D139" s="51">
        <v>4750</v>
      </c>
      <c r="E139" s="66">
        <v>1</v>
      </c>
      <c r="F139" s="52">
        <v>4750</v>
      </c>
      <c r="G139" s="53"/>
    </row>
    <row r="140" spans="1:8" x14ac:dyDescent="0.2">
      <c r="B140" s="50" t="s">
        <v>396</v>
      </c>
      <c r="C140" s="51"/>
      <c r="D140" s="51">
        <v>130</v>
      </c>
      <c r="E140" s="66">
        <v>2</v>
      </c>
      <c r="F140" s="52">
        <v>260</v>
      </c>
      <c r="G140" s="53"/>
    </row>
    <row r="141" spans="1:8" x14ac:dyDescent="0.2">
      <c r="B141" s="50" t="s">
        <v>414</v>
      </c>
      <c r="C141" s="51"/>
      <c r="D141" s="51">
        <v>370</v>
      </c>
      <c r="E141" s="66">
        <v>1</v>
      </c>
      <c r="F141" s="52">
        <v>370</v>
      </c>
      <c r="G141" s="53"/>
    </row>
    <row r="142" spans="1:8" x14ac:dyDescent="0.2">
      <c r="B142" s="50" t="s">
        <v>415</v>
      </c>
      <c r="C142" s="51"/>
      <c r="D142" s="51">
        <v>170</v>
      </c>
      <c r="E142" s="66">
        <v>1</v>
      </c>
      <c r="F142" s="52">
        <v>170</v>
      </c>
      <c r="G142" s="53"/>
    </row>
    <row r="143" spans="1:8" x14ac:dyDescent="0.2">
      <c r="B143" s="68" t="s">
        <v>416</v>
      </c>
      <c r="C143" s="31"/>
      <c r="D143" s="51">
        <v>4130</v>
      </c>
      <c r="E143" s="69">
        <v>1</v>
      </c>
      <c r="F143" s="52">
        <v>4130</v>
      </c>
      <c r="G143" s="53"/>
    </row>
    <row r="144" spans="1:8" x14ac:dyDescent="0.2">
      <c r="A144" s="31">
        <v>11</v>
      </c>
      <c r="B144" s="550" t="s">
        <v>17</v>
      </c>
      <c r="C144" s="55"/>
      <c r="D144" s="55"/>
      <c r="E144" s="55" t="s">
        <v>384</v>
      </c>
      <c r="F144" s="55" t="s">
        <v>385</v>
      </c>
      <c r="G144" s="55" t="s">
        <v>417</v>
      </c>
      <c r="H144" s="67"/>
    </row>
    <row r="145" spans="2:8" ht="15" x14ac:dyDescent="0.2">
      <c r="B145" s="550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 x14ac:dyDescent="0.2">
      <c r="B146" s="550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 x14ac:dyDescent="0.2">
      <c r="B147" s="550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 x14ac:dyDescent="0.2">
      <c r="B148" s="550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 x14ac:dyDescent="0.2">
      <c r="B149" s="550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 x14ac:dyDescent="0.2">
      <c r="B150" s="550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 x14ac:dyDescent="0.2">
      <c r="D152" s="47" t="s">
        <v>377</v>
      </c>
      <c r="E152" s="47" t="s">
        <v>378</v>
      </c>
      <c r="F152" s="48" t="s">
        <v>379</v>
      </c>
      <c r="G152" s="63"/>
    </row>
    <row r="153" spans="2:8" x14ac:dyDescent="0.2">
      <c r="B153" s="50" t="s">
        <v>381</v>
      </c>
      <c r="C153" s="51"/>
      <c r="D153" s="66">
        <v>2300</v>
      </c>
      <c r="F153" s="52"/>
      <c r="G153" s="53"/>
    </row>
    <row r="154" spans="2:8" x14ac:dyDescent="0.2">
      <c r="B154" s="50" t="s">
        <v>382</v>
      </c>
      <c r="C154" s="51"/>
      <c r="D154" s="51">
        <v>540</v>
      </c>
      <c r="E154" s="66">
        <v>1</v>
      </c>
      <c r="F154" s="52">
        <v>540</v>
      </c>
      <c r="G154" s="53"/>
    </row>
    <row r="155" spans="2:8" x14ac:dyDescent="0.2">
      <c r="B155" s="50" t="s">
        <v>394</v>
      </c>
      <c r="C155" s="51"/>
      <c r="D155" s="51">
        <v>270</v>
      </c>
      <c r="E155" s="66">
        <v>2</v>
      </c>
      <c r="F155" s="52">
        <v>540</v>
      </c>
      <c r="G155" s="53"/>
    </row>
    <row r="156" spans="2:8" x14ac:dyDescent="0.2">
      <c r="B156" s="50" t="s">
        <v>395</v>
      </c>
      <c r="C156" s="51"/>
      <c r="D156" s="51">
        <v>500</v>
      </c>
      <c r="E156" s="66">
        <v>4</v>
      </c>
      <c r="F156" s="52">
        <v>2000</v>
      </c>
      <c r="G156" s="53"/>
    </row>
    <row r="157" spans="2:8" x14ac:dyDescent="0.2">
      <c r="B157" s="50" t="s">
        <v>413</v>
      </c>
      <c r="C157" s="51"/>
      <c r="D157" s="51">
        <v>4750</v>
      </c>
      <c r="E157" s="66">
        <v>1</v>
      </c>
      <c r="F157" s="52">
        <v>4750</v>
      </c>
      <c r="G157" s="53"/>
    </row>
    <row r="158" spans="2:8" x14ac:dyDescent="0.2">
      <c r="B158" s="50" t="s">
        <v>396</v>
      </c>
      <c r="C158" s="51"/>
      <c r="D158" s="51">
        <v>130</v>
      </c>
      <c r="E158" s="66">
        <v>4</v>
      </c>
      <c r="F158" s="52">
        <v>520</v>
      </c>
      <c r="G158" s="53"/>
    </row>
    <row r="159" spans="2:8" x14ac:dyDescent="0.2">
      <c r="B159" s="50" t="s">
        <v>414</v>
      </c>
      <c r="C159" s="51"/>
      <c r="D159" s="51">
        <v>370</v>
      </c>
      <c r="E159" s="66">
        <v>1</v>
      </c>
      <c r="F159" s="52">
        <v>370</v>
      </c>
      <c r="G159" s="53"/>
    </row>
    <row r="160" spans="2:8" x14ac:dyDescent="0.2">
      <c r="B160" s="50" t="s">
        <v>415</v>
      </c>
      <c r="C160" s="51"/>
      <c r="D160" s="51">
        <v>170</v>
      </c>
      <c r="E160" s="66">
        <v>1</v>
      </c>
      <c r="F160" s="52">
        <v>170</v>
      </c>
      <c r="G160" s="53"/>
    </row>
    <row r="161" spans="1:8" x14ac:dyDescent="0.2">
      <c r="B161" s="68" t="s">
        <v>416</v>
      </c>
      <c r="C161" s="31"/>
      <c r="D161" s="51">
        <v>4130</v>
      </c>
      <c r="E161" s="69">
        <v>1</v>
      </c>
      <c r="F161" s="52">
        <v>4130</v>
      </c>
      <c r="G161" s="53"/>
    </row>
    <row r="162" spans="1:8" x14ac:dyDescent="0.2">
      <c r="A162" s="31">
        <v>12</v>
      </c>
      <c r="B162" s="550" t="s">
        <v>140</v>
      </c>
      <c r="C162" s="55"/>
      <c r="D162" s="55"/>
      <c r="E162" s="55" t="s">
        <v>384</v>
      </c>
      <c r="F162" s="55" t="s">
        <v>385</v>
      </c>
      <c r="G162" s="55"/>
      <c r="H162" s="67"/>
    </row>
    <row r="163" spans="1:8" ht="15" x14ac:dyDescent="0.2">
      <c r="B163" s="550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 x14ac:dyDescent="0.2">
      <c r="B164" s="550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 x14ac:dyDescent="0.2">
      <c r="B165" s="550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 x14ac:dyDescent="0.2">
      <c r="B166" s="550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 x14ac:dyDescent="0.2">
      <c r="D168" s="47" t="s">
        <v>377</v>
      </c>
      <c r="E168" s="47" t="s">
        <v>378</v>
      </c>
      <c r="F168" s="48" t="s">
        <v>379</v>
      </c>
      <c r="G168" s="63"/>
    </row>
    <row r="169" spans="1:8" x14ac:dyDescent="0.2">
      <c r="B169" s="50" t="s">
        <v>381</v>
      </c>
      <c r="C169" s="51"/>
      <c r="D169" s="66">
        <v>3030</v>
      </c>
      <c r="F169" s="52"/>
      <c r="G169" s="53"/>
    </row>
    <row r="170" spans="1:8" x14ac:dyDescent="0.2">
      <c r="B170" s="50" t="s">
        <v>382</v>
      </c>
      <c r="C170" s="51"/>
      <c r="D170" s="51">
        <v>540</v>
      </c>
      <c r="E170" s="66">
        <v>1</v>
      </c>
      <c r="F170" s="52">
        <v>540</v>
      </c>
      <c r="G170" s="53"/>
    </row>
    <row r="171" spans="1:8" x14ac:dyDescent="0.2">
      <c r="B171" s="50" t="s">
        <v>394</v>
      </c>
      <c r="C171" s="51"/>
      <c r="D171" s="51">
        <v>270</v>
      </c>
      <c r="E171" s="66">
        <v>2</v>
      </c>
      <c r="F171" s="52">
        <v>540</v>
      </c>
      <c r="G171" s="53"/>
    </row>
    <row r="172" spans="1:8" x14ac:dyDescent="0.2">
      <c r="B172" s="50" t="s">
        <v>413</v>
      </c>
      <c r="C172" s="51"/>
      <c r="D172" s="51">
        <v>4750</v>
      </c>
      <c r="E172" s="66">
        <v>4</v>
      </c>
      <c r="F172" s="52">
        <v>19000</v>
      </c>
      <c r="G172" s="53"/>
    </row>
    <row r="173" spans="1:8" x14ac:dyDescent="0.2">
      <c r="B173" s="50" t="s">
        <v>414</v>
      </c>
      <c r="C173" s="51"/>
      <c r="D173" s="51">
        <v>370</v>
      </c>
      <c r="E173" s="66">
        <v>4</v>
      </c>
      <c r="F173" s="52">
        <v>1480</v>
      </c>
      <c r="G173" s="53"/>
    </row>
    <row r="174" spans="1:8" x14ac:dyDescent="0.2">
      <c r="B174" s="50" t="s">
        <v>415</v>
      </c>
      <c r="C174" s="51"/>
      <c r="D174" s="51">
        <v>170</v>
      </c>
      <c r="E174" s="66">
        <v>4</v>
      </c>
      <c r="F174" s="52">
        <v>680</v>
      </c>
      <c r="G174" s="53"/>
    </row>
    <row r="175" spans="1:8" x14ac:dyDescent="0.2">
      <c r="B175" s="68" t="s">
        <v>418</v>
      </c>
      <c r="C175" s="31"/>
      <c r="D175" s="51">
        <v>6440</v>
      </c>
      <c r="E175" s="69">
        <v>4</v>
      </c>
      <c r="F175" s="52">
        <v>25760</v>
      </c>
      <c r="G175" s="53"/>
    </row>
    <row r="176" spans="1:8" x14ac:dyDescent="0.2">
      <c r="A176" s="31">
        <v>13</v>
      </c>
      <c r="B176" s="550" t="s">
        <v>18</v>
      </c>
      <c r="C176" s="55"/>
      <c r="D176" s="55"/>
      <c r="E176" s="55" t="s">
        <v>384</v>
      </c>
      <c r="F176" s="55" t="s">
        <v>385</v>
      </c>
      <c r="G176" s="55" t="s">
        <v>417</v>
      </c>
      <c r="H176" s="67"/>
    </row>
    <row r="177" spans="2:8" ht="15" x14ac:dyDescent="0.2">
      <c r="B177" s="550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 x14ac:dyDescent="0.2">
      <c r="B178" s="550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 x14ac:dyDescent="0.2">
      <c r="B179" s="550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 x14ac:dyDescent="0.2">
      <c r="B180" s="550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 x14ac:dyDescent="0.2">
      <c r="B181" s="550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 x14ac:dyDescent="0.2">
      <c r="B182" s="550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 x14ac:dyDescent="0.2">
      <c r="D184" s="47" t="s">
        <v>377</v>
      </c>
      <c r="E184" s="47" t="s">
        <v>378</v>
      </c>
      <c r="F184" s="48" t="s">
        <v>379</v>
      </c>
      <c r="G184" s="63"/>
    </row>
    <row r="185" spans="2:8" x14ac:dyDescent="0.2">
      <c r="B185" s="50" t="s">
        <v>381</v>
      </c>
      <c r="C185" s="51"/>
      <c r="D185" s="66">
        <v>2700</v>
      </c>
      <c r="F185" s="52"/>
      <c r="G185" s="53"/>
    </row>
    <row r="186" spans="2:8" x14ac:dyDescent="0.2">
      <c r="B186" s="50" t="s">
        <v>382</v>
      </c>
      <c r="C186" s="51"/>
      <c r="D186" s="51">
        <v>540</v>
      </c>
      <c r="E186" s="66">
        <v>1</v>
      </c>
      <c r="F186" s="52">
        <v>540</v>
      </c>
      <c r="G186" s="53"/>
    </row>
    <row r="187" spans="2:8" x14ac:dyDescent="0.2">
      <c r="B187" s="50" t="s">
        <v>394</v>
      </c>
      <c r="C187" s="51"/>
      <c r="D187" s="51">
        <v>270</v>
      </c>
      <c r="E187" s="66">
        <v>2</v>
      </c>
      <c r="F187" s="52">
        <v>540</v>
      </c>
      <c r="G187" s="53"/>
    </row>
    <row r="188" spans="2:8" x14ac:dyDescent="0.2">
      <c r="B188" s="50" t="s">
        <v>413</v>
      </c>
      <c r="C188" s="51"/>
      <c r="D188" s="51">
        <v>4750</v>
      </c>
      <c r="E188" s="66">
        <v>2</v>
      </c>
      <c r="F188" s="52">
        <v>9500</v>
      </c>
      <c r="G188" s="53"/>
    </row>
    <row r="189" spans="2:8" x14ac:dyDescent="0.2">
      <c r="B189" s="50" t="s">
        <v>419</v>
      </c>
      <c r="C189" s="51"/>
      <c r="D189" s="51">
        <v>5810</v>
      </c>
      <c r="E189" s="66">
        <v>1</v>
      </c>
      <c r="F189" s="52">
        <v>5810</v>
      </c>
      <c r="G189" s="53"/>
    </row>
    <row r="190" spans="2:8" x14ac:dyDescent="0.2">
      <c r="B190" s="50" t="s">
        <v>420</v>
      </c>
      <c r="C190" s="51"/>
      <c r="D190" s="51">
        <v>940</v>
      </c>
      <c r="E190" s="66">
        <v>1</v>
      </c>
      <c r="F190" s="52">
        <v>940</v>
      </c>
      <c r="G190" s="53"/>
    </row>
    <row r="191" spans="2:8" x14ac:dyDescent="0.2">
      <c r="B191" s="50" t="s">
        <v>414</v>
      </c>
      <c r="C191" s="51"/>
      <c r="D191" s="51">
        <v>370</v>
      </c>
      <c r="E191" s="66">
        <v>2</v>
      </c>
      <c r="F191" s="52">
        <v>740</v>
      </c>
      <c r="G191" s="53"/>
    </row>
    <row r="192" spans="2:8" x14ac:dyDescent="0.2">
      <c r="B192" s="50" t="s">
        <v>415</v>
      </c>
      <c r="C192" s="51"/>
      <c r="D192" s="51">
        <v>170</v>
      </c>
      <c r="E192" s="66">
        <v>3</v>
      </c>
      <c r="F192" s="52">
        <v>510</v>
      </c>
      <c r="G192" s="53"/>
    </row>
    <row r="193" spans="1:8" x14ac:dyDescent="0.2">
      <c r="B193" s="68" t="s">
        <v>421</v>
      </c>
      <c r="C193" s="51"/>
      <c r="D193" s="51">
        <v>7970</v>
      </c>
      <c r="E193" s="66">
        <v>1</v>
      </c>
      <c r="F193" s="52">
        <v>7970</v>
      </c>
      <c r="G193" s="53"/>
    </row>
    <row r="194" spans="1:8" x14ac:dyDescent="0.2">
      <c r="B194" s="68" t="s">
        <v>418</v>
      </c>
      <c r="C194" s="31"/>
      <c r="D194" s="51">
        <v>6440</v>
      </c>
      <c r="E194" s="69">
        <v>2</v>
      </c>
      <c r="F194" s="52">
        <v>12880</v>
      </c>
      <c r="G194" s="53"/>
    </row>
    <row r="195" spans="1:8" x14ac:dyDescent="0.2">
      <c r="A195" s="31">
        <v>14</v>
      </c>
      <c r="B195" s="550" t="s">
        <v>1</v>
      </c>
      <c r="C195" s="55"/>
      <c r="D195" s="55"/>
      <c r="E195" s="55" t="s">
        <v>384</v>
      </c>
      <c r="F195" s="55" t="s">
        <v>385</v>
      </c>
      <c r="G195" s="55" t="s">
        <v>417</v>
      </c>
      <c r="H195" s="67"/>
    </row>
    <row r="196" spans="1:8" ht="15" x14ac:dyDescent="0.2">
      <c r="B196" s="550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 x14ac:dyDescent="0.2">
      <c r="B197" s="550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 x14ac:dyDescent="0.2">
      <c r="B198" s="550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 x14ac:dyDescent="0.2">
      <c r="B199" s="550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 x14ac:dyDescent="0.2">
      <c r="B200" s="550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 x14ac:dyDescent="0.2">
      <c r="B201" s="550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 x14ac:dyDescent="0.2">
      <c r="D203" s="47" t="s">
        <v>377</v>
      </c>
      <c r="E203" s="47" t="s">
        <v>378</v>
      </c>
      <c r="F203" s="48" t="s">
        <v>379</v>
      </c>
      <c r="G203" s="63"/>
    </row>
    <row r="204" spans="1:8" x14ac:dyDescent="0.2">
      <c r="B204" s="50" t="s">
        <v>381</v>
      </c>
      <c r="C204" s="51"/>
      <c r="D204" s="66">
        <v>2580</v>
      </c>
      <c r="F204" s="52"/>
      <c r="G204" s="53"/>
    </row>
    <row r="205" spans="1:8" x14ac:dyDescent="0.2">
      <c r="B205" s="50" t="s">
        <v>382</v>
      </c>
      <c r="C205" s="51"/>
      <c r="D205" s="51">
        <v>540</v>
      </c>
      <c r="E205" s="66">
        <v>1</v>
      </c>
      <c r="F205" s="52">
        <v>540</v>
      </c>
      <c r="G205" s="53"/>
    </row>
    <row r="206" spans="1:8" x14ac:dyDescent="0.2">
      <c r="B206" s="50" t="s">
        <v>394</v>
      </c>
      <c r="C206" s="51"/>
      <c r="D206" s="51">
        <v>270</v>
      </c>
      <c r="E206" s="66">
        <v>2</v>
      </c>
      <c r="F206" s="52">
        <v>540</v>
      </c>
      <c r="G206" s="53"/>
    </row>
    <row r="207" spans="1:8" x14ac:dyDescent="0.2">
      <c r="B207" s="50" t="s">
        <v>419</v>
      </c>
      <c r="C207" s="51"/>
      <c r="D207" s="51">
        <v>5810</v>
      </c>
      <c r="E207" s="66">
        <v>2</v>
      </c>
      <c r="F207" s="52">
        <v>11620</v>
      </c>
      <c r="G207" s="53"/>
    </row>
    <row r="208" spans="1:8" x14ac:dyDescent="0.2">
      <c r="B208" s="50" t="s">
        <v>420</v>
      </c>
      <c r="C208" s="51"/>
      <c r="D208" s="51">
        <v>940</v>
      </c>
      <c r="E208" s="66">
        <v>2</v>
      </c>
      <c r="F208" s="52">
        <v>1880</v>
      </c>
      <c r="G208" s="53"/>
    </row>
    <row r="209" spans="1:8" x14ac:dyDescent="0.2">
      <c r="B209" s="50" t="s">
        <v>415</v>
      </c>
      <c r="C209" s="51"/>
      <c r="D209" s="51">
        <v>170</v>
      </c>
      <c r="E209" s="66">
        <v>2</v>
      </c>
      <c r="F209" s="52">
        <v>340</v>
      </c>
      <c r="G209" s="53"/>
    </row>
    <row r="210" spans="1:8" x14ac:dyDescent="0.2">
      <c r="B210" s="68" t="s">
        <v>421</v>
      </c>
      <c r="C210" s="51"/>
      <c r="D210" s="51">
        <v>7970</v>
      </c>
      <c r="E210" s="66">
        <v>2</v>
      </c>
      <c r="F210" s="52">
        <v>15940</v>
      </c>
      <c r="G210" s="53"/>
    </row>
    <row r="211" spans="1:8" x14ac:dyDescent="0.2">
      <c r="A211" s="31">
        <v>15</v>
      </c>
      <c r="B211" s="550" t="s">
        <v>19</v>
      </c>
      <c r="C211" s="55"/>
      <c r="D211" s="55"/>
      <c r="E211" s="55" t="s">
        <v>384</v>
      </c>
      <c r="F211" s="55" t="s">
        <v>385</v>
      </c>
      <c r="G211" s="55" t="s">
        <v>417</v>
      </c>
      <c r="H211" s="67"/>
    </row>
    <row r="212" spans="1:8" ht="15" x14ac:dyDescent="0.2">
      <c r="B212" s="550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 x14ac:dyDescent="0.2">
      <c r="B213" s="550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 x14ac:dyDescent="0.2">
      <c r="B214" s="550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 x14ac:dyDescent="0.2">
      <c r="B215" s="550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 x14ac:dyDescent="0.2">
      <c r="B216" s="550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 x14ac:dyDescent="0.2">
      <c r="B217" s="550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 x14ac:dyDescent="0.2">
      <c r="D219" s="47" t="s">
        <v>377</v>
      </c>
      <c r="E219" s="47" t="s">
        <v>378</v>
      </c>
      <c r="F219" s="48" t="s">
        <v>379</v>
      </c>
      <c r="G219" s="63"/>
    </row>
    <row r="220" spans="1:8" x14ac:dyDescent="0.2">
      <c r="B220" s="50" t="s">
        <v>381</v>
      </c>
      <c r="C220" s="51"/>
      <c r="D220" s="66">
        <v>2510</v>
      </c>
      <c r="F220" s="52"/>
      <c r="G220" s="53"/>
    </row>
    <row r="221" spans="1:8" x14ac:dyDescent="0.2">
      <c r="B221" s="50" t="s">
        <v>402</v>
      </c>
      <c r="C221" s="51"/>
      <c r="D221" s="51">
        <v>460</v>
      </c>
      <c r="E221" s="66">
        <v>1</v>
      </c>
      <c r="F221" s="52">
        <v>460</v>
      </c>
      <c r="G221" s="53"/>
    </row>
    <row r="222" spans="1:8" x14ac:dyDescent="0.2">
      <c r="B222" s="50" t="s">
        <v>394</v>
      </c>
      <c r="C222" s="51"/>
      <c r="D222" s="51">
        <v>270</v>
      </c>
      <c r="E222" s="66">
        <v>2</v>
      </c>
      <c r="F222" s="52">
        <v>540</v>
      </c>
      <c r="G222" s="53"/>
    </row>
    <row r="223" spans="1:8" x14ac:dyDescent="0.2">
      <c r="B223" s="50" t="s">
        <v>422</v>
      </c>
      <c r="C223" s="51"/>
      <c r="D223" s="51">
        <v>480</v>
      </c>
      <c r="E223" s="66">
        <v>1</v>
      </c>
      <c r="F223" s="52">
        <v>480</v>
      </c>
      <c r="G223" s="53"/>
    </row>
    <row r="224" spans="1:8" x14ac:dyDescent="0.2">
      <c r="B224" s="50" t="s">
        <v>415</v>
      </c>
      <c r="C224" s="51"/>
      <c r="D224" s="51">
        <v>170</v>
      </c>
      <c r="E224" s="66">
        <v>1</v>
      </c>
      <c r="F224" s="52">
        <v>170</v>
      </c>
      <c r="G224" s="53"/>
    </row>
    <row r="225" spans="1:8" x14ac:dyDescent="0.2">
      <c r="A225" s="31">
        <v>16</v>
      </c>
      <c r="B225" s="550" t="s">
        <v>20</v>
      </c>
      <c r="C225" s="55"/>
      <c r="D225" s="55"/>
      <c r="E225" s="55" t="s">
        <v>384</v>
      </c>
      <c r="F225" s="55" t="s">
        <v>385</v>
      </c>
      <c r="G225" s="55" t="s">
        <v>417</v>
      </c>
      <c r="H225" s="67"/>
    </row>
    <row r="226" spans="1:8" ht="15" x14ac:dyDescent="0.2">
      <c r="B226" s="550"/>
      <c r="C226" s="55">
        <v>450</v>
      </c>
      <c r="D226" s="55"/>
      <c r="E226" s="56"/>
      <c r="F226" s="56">
        <v>4160</v>
      </c>
      <c r="G226" s="56"/>
      <c r="H226" s="57"/>
    </row>
    <row r="227" spans="1:8" ht="15" x14ac:dyDescent="0.2">
      <c r="B227" s="550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 x14ac:dyDescent="0.2">
      <c r="D229" s="47" t="s">
        <v>377</v>
      </c>
      <c r="E229" s="47" t="s">
        <v>378</v>
      </c>
      <c r="F229" s="48" t="s">
        <v>379</v>
      </c>
      <c r="G229" s="63"/>
    </row>
    <row r="230" spans="1:8" x14ac:dyDescent="0.2">
      <c r="B230" s="50" t="s">
        <v>381</v>
      </c>
      <c r="C230" s="51"/>
      <c r="D230" s="66">
        <v>2450</v>
      </c>
      <c r="F230" s="52"/>
      <c r="G230" s="53"/>
    </row>
    <row r="231" spans="1:8" x14ac:dyDescent="0.2">
      <c r="B231" s="50" t="s">
        <v>423</v>
      </c>
      <c r="C231" s="51"/>
      <c r="D231" s="51">
        <v>740</v>
      </c>
      <c r="E231" s="66">
        <v>1</v>
      </c>
      <c r="F231" s="52">
        <v>740</v>
      </c>
      <c r="G231" s="53"/>
    </row>
    <row r="232" spans="1:8" x14ac:dyDescent="0.2">
      <c r="B232" s="50" t="s">
        <v>394</v>
      </c>
      <c r="C232" s="51"/>
      <c r="D232" s="51">
        <v>270</v>
      </c>
      <c r="E232" s="66">
        <v>2</v>
      </c>
      <c r="F232" s="52">
        <v>540</v>
      </c>
      <c r="G232" s="53"/>
    </row>
    <row r="233" spans="1:8" x14ac:dyDescent="0.2">
      <c r="B233" s="50" t="s">
        <v>424</v>
      </c>
      <c r="C233" s="51"/>
      <c r="D233" s="51">
        <v>1560</v>
      </c>
      <c r="E233" s="66">
        <v>2</v>
      </c>
      <c r="F233" s="52">
        <v>3120</v>
      </c>
      <c r="G233" s="53"/>
    </row>
    <row r="234" spans="1:8" x14ac:dyDescent="0.2">
      <c r="B234" s="50" t="s">
        <v>412</v>
      </c>
      <c r="C234" s="51"/>
      <c r="D234" s="51">
        <v>190</v>
      </c>
      <c r="E234" s="66">
        <v>2</v>
      </c>
      <c r="F234" s="52">
        <v>380</v>
      </c>
      <c r="G234" s="53"/>
    </row>
    <row r="235" spans="1:8" x14ac:dyDescent="0.2">
      <c r="A235" s="31">
        <v>17</v>
      </c>
      <c r="B235" s="550" t="s">
        <v>21</v>
      </c>
      <c r="C235" s="55"/>
      <c r="D235" s="55"/>
      <c r="E235" s="55" t="s">
        <v>384</v>
      </c>
      <c r="F235" s="55" t="s">
        <v>385</v>
      </c>
      <c r="G235" s="55" t="s">
        <v>417</v>
      </c>
      <c r="H235" s="67"/>
    </row>
    <row r="236" spans="1:8" ht="15" x14ac:dyDescent="0.2">
      <c r="B236" s="550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 x14ac:dyDescent="0.2">
      <c r="B237" s="550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 x14ac:dyDescent="0.2">
      <c r="D239" s="47" t="s">
        <v>377</v>
      </c>
      <c r="E239" s="47" t="s">
        <v>378</v>
      </c>
      <c r="F239" s="48" t="s">
        <v>379</v>
      </c>
      <c r="G239" s="63"/>
    </row>
    <row r="240" spans="1:8" x14ac:dyDescent="0.2">
      <c r="B240" s="50" t="s">
        <v>381</v>
      </c>
      <c r="C240" s="51"/>
      <c r="D240" s="66">
        <v>2000</v>
      </c>
      <c r="F240" s="52"/>
      <c r="G240" s="53"/>
    </row>
    <row r="241" spans="1:8" x14ac:dyDescent="0.2">
      <c r="B241" s="50" t="s">
        <v>425</v>
      </c>
      <c r="C241" s="51"/>
      <c r="D241" s="51">
        <v>650</v>
      </c>
      <c r="E241" s="66">
        <v>1</v>
      </c>
      <c r="F241" s="52">
        <v>650</v>
      </c>
      <c r="G241" s="53"/>
    </row>
    <row r="242" spans="1:8" x14ac:dyDescent="0.2">
      <c r="B242" s="50" t="s">
        <v>394</v>
      </c>
      <c r="C242" s="51"/>
      <c r="D242" s="51">
        <v>270</v>
      </c>
      <c r="E242" s="66">
        <v>2</v>
      </c>
      <c r="F242" s="52">
        <v>540</v>
      </c>
      <c r="G242" s="53"/>
    </row>
    <row r="243" spans="1:8" x14ac:dyDescent="0.2">
      <c r="A243" s="31">
        <v>18</v>
      </c>
      <c r="B243" s="550" t="s">
        <v>22</v>
      </c>
      <c r="C243" s="55"/>
      <c r="D243" s="55"/>
      <c r="E243" s="55" t="s">
        <v>384</v>
      </c>
      <c r="F243" s="55" t="s">
        <v>385</v>
      </c>
      <c r="G243" s="55" t="s">
        <v>417</v>
      </c>
      <c r="H243" s="67"/>
    </row>
    <row r="244" spans="1:8" ht="15" x14ac:dyDescent="0.2">
      <c r="B244" s="550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 x14ac:dyDescent="0.2">
      <c r="B245" s="550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 x14ac:dyDescent="0.2">
      <c r="D247" s="47" t="s">
        <v>377</v>
      </c>
      <c r="E247" s="47" t="s">
        <v>378</v>
      </c>
      <c r="F247" s="48" t="s">
        <v>379</v>
      </c>
      <c r="G247" s="63"/>
    </row>
    <row r="248" spans="1:8" x14ac:dyDescent="0.2">
      <c r="B248" s="50" t="s">
        <v>381</v>
      </c>
      <c r="C248" s="51"/>
      <c r="D248" s="66">
        <v>2000</v>
      </c>
      <c r="F248" s="52"/>
      <c r="G248" s="53"/>
    </row>
    <row r="249" spans="1:8" x14ac:dyDescent="0.2">
      <c r="B249" s="50" t="s">
        <v>410</v>
      </c>
      <c r="C249" s="51"/>
      <c r="D249" s="51">
        <v>940</v>
      </c>
      <c r="E249" s="66">
        <v>1</v>
      </c>
      <c r="F249" s="52">
        <v>940</v>
      </c>
      <c r="G249" s="53"/>
    </row>
    <row r="250" spans="1:8" x14ac:dyDescent="0.2">
      <c r="B250" s="50" t="s">
        <v>394</v>
      </c>
      <c r="C250" s="51"/>
      <c r="D250" s="51">
        <v>270</v>
      </c>
      <c r="E250" s="66">
        <v>2</v>
      </c>
      <c r="F250" s="52">
        <v>540</v>
      </c>
      <c r="G250" s="53"/>
    </row>
    <row r="251" spans="1:8" x14ac:dyDescent="0.2">
      <c r="B251" s="50" t="s">
        <v>426</v>
      </c>
      <c r="C251" s="51"/>
      <c r="D251" s="51">
        <v>200</v>
      </c>
      <c r="E251" s="66">
        <v>2</v>
      </c>
      <c r="F251" s="52">
        <v>400</v>
      </c>
      <c r="G251" s="53"/>
    </row>
    <row r="252" spans="1:8" x14ac:dyDescent="0.2">
      <c r="B252" s="71" t="s">
        <v>427</v>
      </c>
      <c r="C252" s="51"/>
      <c r="D252" s="51">
        <v>1300</v>
      </c>
      <c r="E252" s="66">
        <v>2</v>
      </c>
      <c r="F252" s="52">
        <v>2600</v>
      </c>
      <c r="G252" s="53"/>
    </row>
    <row r="253" spans="1:8" x14ac:dyDescent="0.2">
      <c r="A253" s="31">
        <v>19</v>
      </c>
      <c r="B253" s="550" t="s">
        <v>23</v>
      </c>
      <c r="C253" s="55"/>
      <c r="D253" s="55"/>
      <c r="E253" s="55" t="s">
        <v>384</v>
      </c>
      <c r="F253" s="55" t="s">
        <v>385</v>
      </c>
      <c r="G253" s="55" t="s">
        <v>417</v>
      </c>
      <c r="H253" s="67"/>
    </row>
    <row r="254" spans="1:8" ht="15" x14ac:dyDescent="0.2">
      <c r="B254" s="550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 x14ac:dyDescent="0.2">
      <c r="D256" s="47" t="s">
        <v>377</v>
      </c>
      <c r="E256" s="47" t="s">
        <v>378</v>
      </c>
      <c r="F256" s="48" t="s">
        <v>379</v>
      </c>
      <c r="G256" s="63"/>
    </row>
    <row r="257" spans="1:13" x14ac:dyDescent="0.2">
      <c r="B257" s="50" t="s">
        <v>381</v>
      </c>
      <c r="C257" s="51"/>
      <c r="D257" s="66">
        <v>2574.8000000000002</v>
      </c>
      <c r="F257" s="52"/>
      <c r="G257" s="53"/>
    </row>
    <row r="258" spans="1:13" x14ac:dyDescent="0.2">
      <c r="B258" s="50" t="s">
        <v>382</v>
      </c>
      <c r="C258" s="51"/>
      <c r="D258" s="51">
        <v>540</v>
      </c>
      <c r="E258" s="66">
        <v>1</v>
      </c>
      <c r="F258" s="52">
        <v>540</v>
      </c>
      <c r="G258" s="53"/>
    </row>
    <row r="259" spans="1:13" x14ac:dyDescent="0.2">
      <c r="B259" s="50" t="s">
        <v>394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428</v>
      </c>
      <c r="M259" s="31">
        <v>350</v>
      </c>
    </row>
    <row r="260" spans="1:13" x14ac:dyDescent="0.2">
      <c r="B260" s="50" t="s">
        <v>429</v>
      </c>
      <c r="C260" s="51"/>
      <c r="D260" s="51">
        <v>500</v>
      </c>
      <c r="E260" s="66">
        <v>2</v>
      </c>
      <c r="F260" s="52">
        <v>1000</v>
      </c>
      <c r="G260" s="53"/>
    </row>
    <row r="261" spans="1:13" x14ac:dyDescent="0.2">
      <c r="B261" s="50" t="s">
        <v>430</v>
      </c>
      <c r="C261" s="51"/>
      <c r="D261" s="51">
        <v>390</v>
      </c>
      <c r="E261" s="66">
        <v>1</v>
      </c>
      <c r="F261" s="52">
        <v>390</v>
      </c>
      <c r="G261" s="53"/>
    </row>
    <row r="262" spans="1:13" x14ac:dyDescent="0.2">
      <c r="A262" s="31">
        <v>20</v>
      </c>
      <c r="B262" s="550" t="s">
        <v>24</v>
      </c>
      <c r="C262" s="55"/>
      <c r="D262" s="55"/>
      <c r="E262" s="55" t="s">
        <v>384</v>
      </c>
      <c r="F262" s="55" t="s">
        <v>385</v>
      </c>
      <c r="G262" s="55" t="s">
        <v>417</v>
      </c>
      <c r="H262" s="67"/>
    </row>
    <row r="263" spans="1:13" ht="15" x14ac:dyDescent="0.25">
      <c r="B263" s="550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 x14ac:dyDescent="0.25">
      <c r="B264" s="550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 x14ac:dyDescent="0.25">
      <c r="B265" s="550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 x14ac:dyDescent="0.25">
      <c r="B266" s="550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 x14ac:dyDescent="0.25">
      <c r="B267" s="550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 x14ac:dyDescent="0.25">
      <c r="B268" s="550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 x14ac:dyDescent="0.2">
      <c r="D270" s="47" t="s">
        <v>377</v>
      </c>
      <c r="E270" s="47" t="s">
        <v>378</v>
      </c>
      <c r="F270" s="48" t="s">
        <v>379</v>
      </c>
      <c r="G270" s="271">
        <v>3076.8860000000004</v>
      </c>
    </row>
    <row r="271" spans="1:13" x14ac:dyDescent="0.2">
      <c r="B271" s="50" t="s">
        <v>381</v>
      </c>
      <c r="C271" s="51"/>
      <c r="D271" s="66">
        <v>2224.8000000000002</v>
      </c>
      <c r="F271" s="52"/>
      <c r="G271" s="53"/>
    </row>
    <row r="272" spans="1:13" x14ac:dyDescent="0.2">
      <c r="B272" s="50" t="s">
        <v>382</v>
      </c>
      <c r="C272" s="51"/>
      <c r="D272" s="51">
        <v>540</v>
      </c>
      <c r="E272" s="66">
        <v>1</v>
      </c>
      <c r="F272" s="52">
        <v>540</v>
      </c>
      <c r="G272" s="53"/>
    </row>
    <row r="273" spans="1:13" x14ac:dyDescent="0.2">
      <c r="B273" s="50" t="s">
        <v>394</v>
      </c>
      <c r="C273" s="51"/>
      <c r="D273" s="51">
        <v>270</v>
      </c>
      <c r="E273" s="66">
        <v>2</v>
      </c>
      <c r="F273" s="52">
        <v>540</v>
      </c>
      <c r="G273" s="53"/>
    </row>
    <row r="274" spans="1:13" x14ac:dyDescent="0.2">
      <c r="B274" s="50" t="s">
        <v>429</v>
      </c>
      <c r="C274" s="51"/>
      <c r="D274" s="51">
        <v>500</v>
      </c>
      <c r="E274" s="66">
        <v>4</v>
      </c>
      <c r="F274" s="52">
        <v>2000</v>
      </c>
      <c r="G274" s="53"/>
    </row>
    <row r="275" spans="1:13" x14ac:dyDescent="0.2">
      <c r="B275" s="50" t="s">
        <v>430</v>
      </c>
      <c r="C275" s="51"/>
      <c r="D275" s="51">
        <v>390</v>
      </c>
      <c r="E275" s="66">
        <v>1</v>
      </c>
      <c r="F275" s="52">
        <v>390</v>
      </c>
      <c r="G275" s="53"/>
    </row>
    <row r="276" spans="1:13" x14ac:dyDescent="0.2">
      <c r="A276" s="31">
        <v>21</v>
      </c>
      <c r="B276" s="550" t="s">
        <v>25</v>
      </c>
      <c r="C276" s="55"/>
      <c r="D276" s="55"/>
      <c r="E276" s="55" t="s">
        <v>384</v>
      </c>
      <c r="F276" s="55" t="s">
        <v>385</v>
      </c>
      <c r="G276" s="55" t="s">
        <v>417</v>
      </c>
      <c r="H276" s="67"/>
    </row>
    <row r="277" spans="1:13" ht="15" x14ac:dyDescent="0.25">
      <c r="B277" s="550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550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550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550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377</v>
      </c>
      <c r="E282" s="47" t="s">
        <v>378</v>
      </c>
      <c r="F282" s="48" t="s">
        <v>379</v>
      </c>
      <c r="G282" s="63"/>
      <c r="J282" s="59"/>
      <c r="K282" s="59"/>
    </row>
    <row r="283" spans="1:13" x14ac:dyDescent="0.2">
      <c r="B283" s="50" t="s">
        <v>381</v>
      </c>
      <c r="C283" s="51"/>
      <c r="D283" s="66">
        <v>3636.4</v>
      </c>
      <c r="F283" s="52"/>
      <c r="G283" s="53"/>
    </row>
    <row r="284" spans="1:13" x14ac:dyDescent="0.2">
      <c r="B284" s="50" t="s">
        <v>382</v>
      </c>
      <c r="C284" s="51"/>
      <c r="D284" s="51">
        <v>540</v>
      </c>
      <c r="E284" s="66">
        <v>1</v>
      </c>
      <c r="F284" s="52">
        <v>540</v>
      </c>
      <c r="G284" s="53"/>
    </row>
    <row r="285" spans="1:13" x14ac:dyDescent="0.2">
      <c r="B285" s="50" t="s">
        <v>394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428</v>
      </c>
      <c r="M285" s="31">
        <v>850</v>
      </c>
    </row>
    <row r="286" spans="1:13" x14ac:dyDescent="0.2">
      <c r="B286" s="50" t="s">
        <v>419</v>
      </c>
      <c r="C286" s="51"/>
      <c r="D286" s="51">
        <v>5810</v>
      </c>
      <c r="E286" s="66">
        <v>2</v>
      </c>
      <c r="F286" s="52">
        <v>11620</v>
      </c>
      <c r="G286" s="53"/>
    </row>
    <row r="287" spans="1:13" x14ac:dyDescent="0.2">
      <c r="B287" s="50" t="s">
        <v>430</v>
      </c>
      <c r="C287" s="51"/>
      <c r="D287" s="51">
        <v>390</v>
      </c>
      <c r="E287" s="66">
        <v>2</v>
      </c>
      <c r="F287" s="52">
        <v>780</v>
      </c>
      <c r="G287" s="53"/>
    </row>
    <row r="288" spans="1:13" x14ac:dyDescent="0.2">
      <c r="A288" s="31">
        <v>22</v>
      </c>
      <c r="B288" s="550" t="s">
        <v>26</v>
      </c>
      <c r="C288" s="55"/>
      <c r="D288" s="55"/>
      <c r="E288" s="55" t="s">
        <v>384</v>
      </c>
      <c r="F288" s="55" t="s">
        <v>385</v>
      </c>
      <c r="G288" s="55" t="s">
        <v>417</v>
      </c>
      <c r="H288" s="67"/>
    </row>
    <row r="289" spans="1:11" ht="15" x14ac:dyDescent="0.25">
      <c r="B289" s="550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 x14ac:dyDescent="0.25">
      <c r="B290" s="550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 x14ac:dyDescent="0.25">
      <c r="B291" s="550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 x14ac:dyDescent="0.25">
      <c r="B292" s="550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 x14ac:dyDescent="0.25">
      <c r="B293" s="550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 x14ac:dyDescent="0.25">
      <c r="B294" s="550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 x14ac:dyDescent="0.2">
      <c r="D296" s="47" t="s">
        <v>377</v>
      </c>
      <c r="E296" s="47" t="s">
        <v>378</v>
      </c>
      <c r="F296" s="48" t="s">
        <v>379</v>
      </c>
      <c r="G296" s="63"/>
    </row>
    <row r="297" spans="1:11" x14ac:dyDescent="0.2">
      <c r="B297" s="50" t="s">
        <v>381</v>
      </c>
      <c r="C297" s="51"/>
      <c r="D297" s="66">
        <v>2916</v>
      </c>
      <c r="F297" s="52"/>
      <c r="G297" s="53"/>
    </row>
    <row r="298" spans="1:11" x14ac:dyDescent="0.2">
      <c r="B298" s="50" t="s">
        <v>382</v>
      </c>
      <c r="C298" s="51"/>
      <c r="D298" s="51">
        <v>540</v>
      </c>
      <c r="E298" s="66">
        <v>1</v>
      </c>
      <c r="F298" s="52">
        <v>540</v>
      </c>
      <c r="G298" s="53"/>
    </row>
    <row r="299" spans="1:11" x14ac:dyDescent="0.2">
      <c r="B299" s="50" t="s">
        <v>394</v>
      </c>
      <c r="C299" s="51"/>
      <c r="D299" s="51">
        <v>270</v>
      </c>
      <c r="E299" s="66">
        <v>2</v>
      </c>
      <c r="F299" s="52">
        <v>540</v>
      </c>
      <c r="G299" s="53"/>
    </row>
    <row r="300" spans="1:11" x14ac:dyDescent="0.2">
      <c r="B300" s="50" t="s">
        <v>419</v>
      </c>
      <c r="C300" s="51"/>
      <c r="D300" s="51">
        <v>5810</v>
      </c>
      <c r="E300" s="66">
        <v>1</v>
      </c>
      <c r="F300" s="52">
        <v>5810</v>
      </c>
      <c r="G300" s="53"/>
    </row>
    <row r="301" spans="1:11" x14ac:dyDescent="0.2">
      <c r="B301" s="50" t="s">
        <v>430</v>
      </c>
      <c r="C301" s="51"/>
      <c r="D301" s="51">
        <v>390</v>
      </c>
      <c r="E301" s="66">
        <v>2</v>
      </c>
      <c r="F301" s="52">
        <v>780</v>
      </c>
      <c r="G301" s="53"/>
    </row>
    <row r="302" spans="1:11" x14ac:dyDescent="0.2">
      <c r="B302" s="50" t="s">
        <v>413</v>
      </c>
      <c r="C302" s="51"/>
      <c r="D302" s="51">
        <v>4750</v>
      </c>
      <c r="E302" s="66">
        <v>2</v>
      </c>
      <c r="F302" s="52">
        <v>9500</v>
      </c>
      <c r="G302" s="53"/>
    </row>
    <row r="303" spans="1:11" x14ac:dyDescent="0.2">
      <c r="A303" s="31">
        <v>23</v>
      </c>
      <c r="B303" s="550" t="s">
        <v>27</v>
      </c>
      <c r="C303" s="55"/>
      <c r="D303" s="55"/>
      <c r="E303" s="55" t="s">
        <v>384</v>
      </c>
      <c r="F303" s="55" t="s">
        <v>385</v>
      </c>
      <c r="G303" s="55" t="s">
        <v>417</v>
      </c>
      <c r="H303" s="67"/>
    </row>
    <row r="304" spans="1:11" ht="15" x14ac:dyDescent="0.2">
      <c r="B304" s="550"/>
      <c r="C304" s="55">
        <v>300</v>
      </c>
      <c r="D304" s="55"/>
      <c r="E304" s="56">
        <v>20086</v>
      </c>
      <c r="F304" s="56"/>
      <c r="G304" s="56"/>
      <c r="H304" s="57"/>
    </row>
    <row r="305" spans="1:8" ht="15" x14ac:dyDescent="0.2">
      <c r="B305" s="550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 x14ac:dyDescent="0.2">
      <c r="B306" s="550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 x14ac:dyDescent="0.2">
      <c r="B307" s="550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 x14ac:dyDescent="0.2">
      <c r="B308" s="550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 x14ac:dyDescent="0.2">
      <c r="B309" s="550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 x14ac:dyDescent="0.2">
      <c r="D311" s="47" t="s">
        <v>377</v>
      </c>
      <c r="E311" s="47" t="s">
        <v>378</v>
      </c>
      <c r="F311" s="48" t="s">
        <v>379</v>
      </c>
      <c r="G311" s="63"/>
    </row>
    <row r="312" spans="1:8" x14ac:dyDescent="0.2">
      <c r="B312" s="50" t="s">
        <v>381</v>
      </c>
      <c r="C312" s="51"/>
      <c r="D312" s="66">
        <v>2224.8000000000002</v>
      </c>
      <c r="F312" s="52"/>
      <c r="G312" s="53"/>
    </row>
    <row r="313" spans="1:8" x14ac:dyDescent="0.2">
      <c r="B313" s="50" t="s">
        <v>382</v>
      </c>
      <c r="C313" s="51"/>
      <c r="D313" s="51">
        <v>540</v>
      </c>
      <c r="E313" s="66">
        <v>1</v>
      </c>
      <c r="F313" s="52">
        <v>540</v>
      </c>
      <c r="G313" s="53"/>
    </row>
    <row r="314" spans="1:8" x14ac:dyDescent="0.2">
      <c r="B314" s="50" t="s">
        <v>394</v>
      </c>
      <c r="C314" s="51"/>
      <c r="D314" s="51">
        <v>270</v>
      </c>
      <c r="E314" s="66">
        <v>2</v>
      </c>
      <c r="F314" s="52">
        <v>540</v>
      </c>
      <c r="G314" s="53"/>
    </row>
    <row r="315" spans="1:8" x14ac:dyDescent="0.2">
      <c r="B315" s="50" t="s">
        <v>397</v>
      </c>
      <c r="C315" s="51"/>
      <c r="D315" s="51">
        <v>11560</v>
      </c>
      <c r="E315" s="66">
        <v>1</v>
      </c>
      <c r="F315" s="52">
        <v>11560</v>
      </c>
      <c r="G315" s="53"/>
    </row>
    <row r="316" spans="1:8" x14ac:dyDescent="0.2">
      <c r="B316" s="50" t="s">
        <v>398</v>
      </c>
      <c r="C316" s="51"/>
      <c r="D316" s="51">
        <v>11370</v>
      </c>
      <c r="E316" s="66">
        <v>1</v>
      </c>
      <c r="F316" s="52">
        <v>11370</v>
      </c>
      <c r="G316" s="53"/>
    </row>
    <row r="317" spans="1:8" x14ac:dyDescent="0.2">
      <c r="B317" s="68" t="s">
        <v>399</v>
      </c>
      <c r="D317" s="51">
        <v>11370</v>
      </c>
      <c r="E317" s="69">
        <v>1</v>
      </c>
      <c r="F317" s="52">
        <v>11370</v>
      </c>
    </row>
    <row r="318" spans="1:8" x14ac:dyDescent="0.2">
      <c r="B318" s="68" t="s">
        <v>430</v>
      </c>
      <c r="D318" s="51">
        <v>390</v>
      </c>
      <c r="E318" s="69">
        <v>1</v>
      </c>
      <c r="F318" s="52">
        <v>390</v>
      </c>
    </row>
    <row r="319" spans="1:8" x14ac:dyDescent="0.2">
      <c r="B319" s="68" t="s">
        <v>400</v>
      </c>
      <c r="D319" s="51">
        <v>10</v>
      </c>
      <c r="E319" s="69">
        <v>2</v>
      </c>
      <c r="F319" s="52">
        <v>20</v>
      </c>
    </row>
    <row r="320" spans="1:8" x14ac:dyDescent="0.2">
      <c r="A320" s="31">
        <v>24</v>
      </c>
      <c r="B320" s="550" t="s">
        <v>28</v>
      </c>
      <c r="C320" s="55"/>
      <c r="D320" s="55"/>
      <c r="E320" s="55" t="s">
        <v>384</v>
      </c>
      <c r="F320" s="55" t="s">
        <v>385</v>
      </c>
      <c r="G320" s="67"/>
    </row>
    <row r="321" spans="1:7" ht="15" x14ac:dyDescent="0.2">
      <c r="B321" s="550"/>
      <c r="C321" s="55">
        <v>150</v>
      </c>
      <c r="D321" s="55"/>
      <c r="E321" s="56">
        <v>14767.882</v>
      </c>
      <c r="F321" s="56"/>
      <c r="G321" s="57">
        <v>150</v>
      </c>
    </row>
    <row r="322" spans="1:7" ht="15" x14ac:dyDescent="0.2">
      <c r="B322" s="550"/>
      <c r="C322" s="55">
        <v>300</v>
      </c>
      <c r="D322" s="55"/>
      <c r="E322" s="56">
        <v>15074.8</v>
      </c>
      <c r="F322" s="56"/>
      <c r="G322" s="57">
        <v>0</v>
      </c>
    </row>
    <row r="323" spans="1:7" ht="15" x14ac:dyDescent="0.2">
      <c r="B323" s="550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 x14ac:dyDescent="0.2">
      <c r="D325" s="47" t="s">
        <v>377</v>
      </c>
      <c r="E325" s="47" t="s">
        <v>378</v>
      </c>
      <c r="F325" s="48" t="s">
        <v>379</v>
      </c>
      <c r="G325" s="63"/>
    </row>
    <row r="326" spans="1:7" x14ac:dyDescent="0.2">
      <c r="B326" s="50" t="s">
        <v>381</v>
      </c>
      <c r="C326" s="51"/>
      <c r="D326" s="66">
        <v>2224.8000000000002</v>
      </c>
      <c r="F326" s="52"/>
      <c r="G326" s="53"/>
    </row>
    <row r="327" spans="1:7" x14ac:dyDescent="0.2">
      <c r="B327" s="50" t="s">
        <v>382</v>
      </c>
      <c r="C327" s="51"/>
      <c r="D327" s="51">
        <v>540</v>
      </c>
      <c r="E327" s="66">
        <v>1</v>
      </c>
      <c r="F327" s="52">
        <v>540</v>
      </c>
      <c r="G327" s="53"/>
    </row>
    <row r="328" spans="1:7" x14ac:dyDescent="0.2">
      <c r="B328" s="50" t="s">
        <v>429</v>
      </c>
      <c r="C328" s="51"/>
      <c r="D328" s="51">
        <v>500</v>
      </c>
      <c r="E328" s="66">
        <v>2</v>
      </c>
      <c r="F328" s="52">
        <v>1000</v>
      </c>
      <c r="G328" s="53"/>
    </row>
    <row r="329" spans="1:7" x14ac:dyDescent="0.2">
      <c r="B329" s="50" t="s">
        <v>394</v>
      </c>
      <c r="C329" s="51"/>
      <c r="D329" s="51">
        <v>270</v>
      </c>
      <c r="E329" s="66">
        <v>2</v>
      </c>
      <c r="F329" s="52">
        <v>540</v>
      </c>
      <c r="G329" s="53"/>
    </row>
    <row r="330" spans="1:7" x14ac:dyDescent="0.2">
      <c r="B330" s="68" t="s">
        <v>430</v>
      </c>
      <c r="C330" s="51"/>
      <c r="D330" s="51">
        <v>390</v>
      </c>
      <c r="E330" s="66">
        <v>1</v>
      </c>
      <c r="F330" s="52">
        <v>390</v>
      </c>
      <c r="G330" s="53"/>
    </row>
    <row r="331" spans="1:7" x14ac:dyDescent="0.2">
      <c r="A331" s="31">
        <v>25</v>
      </c>
      <c r="B331" s="550" t="s">
        <v>29</v>
      </c>
      <c r="C331" s="55"/>
      <c r="D331" s="55"/>
      <c r="E331" s="55" t="s">
        <v>384</v>
      </c>
      <c r="F331" s="55" t="s">
        <v>385</v>
      </c>
      <c r="G331" s="67"/>
    </row>
    <row r="332" spans="1:7" ht="15" x14ac:dyDescent="0.2">
      <c r="B332" s="550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 x14ac:dyDescent="0.2">
      <c r="B333" s="550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 x14ac:dyDescent="0.2">
      <c r="B334" s="550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 x14ac:dyDescent="0.2">
      <c r="D336" s="47" t="s">
        <v>377</v>
      </c>
      <c r="E336" s="47" t="s">
        <v>378</v>
      </c>
      <c r="F336" s="48" t="s">
        <v>379</v>
      </c>
      <c r="G336" s="63"/>
    </row>
    <row r="337" spans="1:7" x14ac:dyDescent="0.2">
      <c r="B337" s="50" t="s">
        <v>381</v>
      </c>
      <c r="C337" s="51"/>
      <c r="D337" s="66">
        <v>2224.8000000000002</v>
      </c>
      <c r="F337" s="52"/>
      <c r="G337" s="53"/>
    </row>
    <row r="338" spans="1:7" x14ac:dyDescent="0.2">
      <c r="B338" s="50" t="s">
        <v>382</v>
      </c>
      <c r="C338" s="51"/>
      <c r="D338" s="51">
        <v>540</v>
      </c>
      <c r="E338" s="66">
        <v>1</v>
      </c>
      <c r="F338" s="52">
        <v>540</v>
      </c>
      <c r="G338" s="53"/>
    </row>
    <row r="339" spans="1:7" x14ac:dyDescent="0.2">
      <c r="B339" s="50" t="s">
        <v>429</v>
      </c>
      <c r="C339" s="51"/>
      <c r="D339" s="51">
        <v>500</v>
      </c>
      <c r="E339" s="66">
        <v>4</v>
      </c>
      <c r="F339" s="52">
        <v>2000</v>
      </c>
      <c r="G339" s="53"/>
    </row>
    <row r="340" spans="1:7" x14ac:dyDescent="0.2">
      <c r="B340" s="50" t="s">
        <v>394</v>
      </c>
      <c r="C340" s="51"/>
      <c r="D340" s="51">
        <v>270</v>
      </c>
      <c r="E340" s="66">
        <v>2</v>
      </c>
      <c r="F340" s="52">
        <v>540</v>
      </c>
      <c r="G340" s="53"/>
    </row>
    <row r="341" spans="1:7" x14ac:dyDescent="0.2">
      <c r="B341" s="68" t="s">
        <v>430</v>
      </c>
      <c r="C341" s="51"/>
      <c r="D341" s="51">
        <v>390</v>
      </c>
      <c r="E341" s="66">
        <v>1</v>
      </c>
      <c r="F341" s="52">
        <v>390</v>
      </c>
      <c r="G341" s="53"/>
    </row>
    <row r="342" spans="1:7" x14ac:dyDescent="0.2">
      <c r="A342" s="31">
        <v>26</v>
      </c>
      <c r="B342" s="550" t="s">
        <v>30</v>
      </c>
      <c r="C342" s="55"/>
      <c r="D342" s="55"/>
      <c r="E342" s="55" t="s">
        <v>384</v>
      </c>
      <c r="F342" s="55" t="s">
        <v>385</v>
      </c>
      <c r="G342" s="67"/>
    </row>
    <row r="343" spans="1:7" ht="15" x14ac:dyDescent="0.2">
      <c r="B343" s="550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 x14ac:dyDescent="0.2">
      <c r="B344" s="550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 x14ac:dyDescent="0.2">
      <c r="B345" s="550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 x14ac:dyDescent="0.2">
      <c r="B346" s="550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 x14ac:dyDescent="0.2">
      <c r="D348" s="47" t="s">
        <v>377</v>
      </c>
      <c r="E348" s="47" t="s">
        <v>378</v>
      </c>
      <c r="F348" s="48" t="s">
        <v>379</v>
      </c>
      <c r="G348" s="63"/>
    </row>
    <row r="349" spans="1:7" x14ac:dyDescent="0.2">
      <c r="B349" s="50" t="s">
        <v>381</v>
      </c>
      <c r="C349" s="51"/>
      <c r="D349" s="66">
        <v>3315.6000000000004</v>
      </c>
      <c r="F349" s="52"/>
      <c r="G349" s="53"/>
    </row>
    <row r="350" spans="1:7" x14ac:dyDescent="0.2">
      <c r="B350" s="50" t="s">
        <v>403</v>
      </c>
      <c r="C350" s="51"/>
      <c r="D350" s="51">
        <v>810</v>
      </c>
      <c r="E350" s="66">
        <v>1</v>
      </c>
      <c r="F350" s="52">
        <v>810</v>
      </c>
      <c r="G350" s="53"/>
    </row>
    <row r="351" spans="1:7" x14ac:dyDescent="0.2">
      <c r="B351" s="71" t="s">
        <v>427</v>
      </c>
      <c r="C351" s="51"/>
      <c r="D351" s="51">
        <v>1300</v>
      </c>
      <c r="E351" s="66">
        <v>2</v>
      </c>
      <c r="F351" s="52">
        <v>2600</v>
      </c>
      <c r="G351" s="53"/>
    </row>
    <row r="352" spans="1:7" x14ac:dyDescent="0.2">
      <c r="B352" s="50" t="s">
        <v>394</v>
      </c>
      <c r="C352" s="51"/>
      <c r="D352" s="51">
        <v>270</v>
      </c>
      <c r="E352" s="66">
        <v>2</v>
      </c>
      <c r="F352" s="52">
        <v>540</v>
      </c>
      <c r="G352" s="53"/>
    </row>
    <row r="353" spans="1:7" x14ac:dyDescent="0.2">
      <c r="B353" s="68" t="s">
        <v>430</v>
      </c>
      <c r="C353" s="51"/>
      <c r="D353" s="51">
        <v>390</v>
      </c>
      <c r="E353" s="66">
        <v>1</v>
      </c>
      <c r="F353" s="52">
        <v>390</v>
      </c>
      <c r="G353" s="53"/>
    </row>
    <row r="354" spans="1:7" x14ac:dyDescent="0.2">
      <c r="B354" s="68" t="s">
        <v>406</v>
      </c>
      <c r="C354" s="51"/>
      <c r="D354" s="51">
        <v>30</v>
      </c>
      <c r="E354" s="66">
        <v>1</v>
      </c>
      <c r="F354" s="52">
        <v>30</v>
      </c>
      <c r="G354" s="53"/>
    </row>
    <row r="355" spans="1:7" x14ac:dyDescent="0.2">
      <c r="A355" s="31">
        <v>27</v>
      </c>
      <c r="B355" s="550" t="s">
        <v>192</v>
      </c>
      <c r="C355" s="55"/>
      <c r="D355" s="55"/>
      <c r="E355" s="55" t="s">
        <v>384</v>
      </c>
      <c r="F355" s="55" t="s">
        <v>385</v>
      </c>
      <c r="G355" s="67"/>
    </row>
    <row r="356" spans="1:7" ht="15" x14ac:dyDescent="0.2">
      <c r="B356" s="550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 x14ac:dyDescent="0.2">
      <c r="B357" s="550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 x14ac:dyDescent="0.2">
      <c r="D359" s="47" t="s">
        <v>377</v>
      </c>
      <c r="E359" s="47" t="s">
        <v>378</v>
      </c>
      <c r="F359" s="48" t="s">
        <v>379</v>
      </c>
      <c r="G359" s="63"/>
    </row>
    <row r="360" spans="1:7" x14ac:dyDescent="0.2">
      <c r="B360" s="50" t="s">
        <v>381</v>
      </c>
      <c r="C360" s="51"/>
      <c r="D360" s="66">
        <v>1640</v>
      </c>
      <c r="F360" s="52"/>
      <c r="G360" s="53"/>
    </row>
    <row r="361" spans="1:7" x14ac:dyDescent="0.2">
      <c r="B361" s="50" t="s">
        <v>431</v>
      </c>
      <c r="C361" s="51"/>
      <c r="D361" s="51">
        <v>590</v>
      </c>
      <c r="E361" s="66">
        <v>1</v>
      </c>
      <c r="F361" s="52">
        <v>590</v>
      </c>
      <c r="G361" s="53"/>
    </row>
    <row r="362" spans="1:7" x14ac:dyDescent="0.2">
      <c r="A362" s="31">
        <v>28</v>
      </c>
      <c r="B362" s="550" t="s">
        <v>31</v>
      </c>
      <c r="C362" s="55"/>
      <c r="D362" s="55"/>
      <c r="E362" s="55" t="s">
        <v>384</v>
      </c>
      <c r="F362" s="55" t="s">
        <v>385</v>
      </c>
      <c r="G362" s="67"/>
    </row>
    <row r="363" spans="1:7" ht="15" x14ac:dyDescent="0.2">
      <c r="B363" s="550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topLeftCell="A4" workbookViewId="0">
      <selection activeCell="G21" sqref="G21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272" t="s">
        <v>358</v>
      </c>
      <c r="C2" s="30" t="s">
        <v>158</v>
      </c>
      <c r="D2" t="s">
        <v>169</v>
      </c>
      <c r="G2" s="30">
        <v>120</v>
      </c>
      <c r="J2" s="30" t="s">
        <v>184</v>
      </c>
    </row>
    <row r="3" spans="1:10" x14ac:dyDescent="0.25">
      <c r="A3" s="272" t="s">
        <v>359</v>
      </c>
      <c r="C3" s="30" t="s">
        <v>159</v>
      </c>
      <c r="D3" t="s">
        <v>169</v>
      </c>
      <c r="G3" s="30">
        <v>150</v>
      </c>
      <c r="J3" s="30" t="s">
        <v>185</v>
      </c>
    </row>
    <row r="4" spans="1:10" x14ac:dyDescent="0.25">
      <c r="A4" s="272" t="s">
        <v>360</v>
      </c>
      <c r="C4" s="30" t="s">
        <v>160</v>
      </c>
      <c r="D4" t="s">
        <v>169</v>
      </c>
      <c r="J4" s="30" t="s">
        <v>1252</v>
      </c>
    </row>
    <row r="5" spans="1:10" x14ac:dyDescent="0.25">
      <c r="C5" s="30" t="s">
        <v>161</v>
      </c>
      <c r="D5" t="s">
        <v>169</v>
      </c>
    </row>
    <row r="6" spans="1:10" x14ac:dyDescent="0.25">
      <c r="C6" s="30" t="s">
        <v>162</v>
      </c>
      <c r="D6" t="s">
        <v>169</v>
      </c>
    </row>
    <row r="7" spans="1:10" x14ac:dyDescent="0.25">
      <c r="C7" s="30" t="s">
        <v>163</v>
      </c>
      <c r="D7" t="s">
        <v>169</v>
      </c>
    </row>
    <row r="8" spans="1:10" x14ac:dyDescent="0.25">
      <c r="C8" s="30" t="s">
        <v>164</v>
      </c>
      <c r="D8" t="s">
        <v>169</v>
      </c>
    </row>
    <row r="9" spans="1:10" x14ac:dyDescent="0.25">
      <c r="C9" s="30" t="s">
        <v>165</v>
      </c>
      <c r="D9" t="s">
        <v>169</v>
      </c>
    </row>
    <row r="10" spans="1:10" x14ac:dyDescent="0.25">
      <c r="C10" s="30" t="s">
        <v>166</v>
      </c>
      <c r="D10" t="s">
        <v>169</v>
      </c>
    </row>
    <row r="11" spans="1:10" x14ac:dyDescent="0.25">
      <c r="C11" s="30" t="s">
        <v>168</v>
      </c>
      <c r="D11" t="s">
        <v>171</v>
      </c>
    </row>
    <row r="12" spans="1:10" x14ac:dyDescent="0.25">
      <c r="C12" s="30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Заказ</vt:lpstr>
      <vt:lpstr>Тест</vt:lpstr>
      <vt:lpstr>Заказ для теста</vt:lpstr>
      <vt:lpstr>Расчет</vt:lpstr>
      <vt:lpstr>Таблица с признаками</vt:lpstr>
      <vt:lpstr>комплекты фурнитуры</vt:lpstr>
      <vt:lpstr>Базовые цены</vt:lpstr>
      <vt:lpstr>186</vt:lpstr>
      <vt:lpstr>Результат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2025-02-16T00:20:39Z</dcterms:modified>
</cp:coreProperties>
</file>