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E8FD34E2-17C6-4C82-B39C-5A1B059B64B9}" xr6:coauthVersionLast="47" xr6:coauthVersionMax="47" xr10:uidLastSave="{00000000-0000-0000-0000-000000000000}"/>
  <bookViews>
    <workbookView xWindow="23880" yWindow="-120" windowWidth="29040" windowHeight="15840" tabRatio="589" firstSheet="1" activeTab="1" xr2:uid="{F87E9273-758C-4CB3-8CA7-04461C90845A}"/>
  </bookViews>
  <sheets>
    <sheet name="Заказ" sheetId="215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6" i="215" l="1"/>
  <c r="J16" i="215"/>
  <c r="AG14" i="215"/>
  <c r="AI14" i="215" s="1"/>
  <c r="AJ14" i="215" s="1"/>
  <c r="AG13" i="215"/>
  <c r="AI13" i="215" s="1"/>
  <c r="AJ13" i="215" s="1"/>
  <c r="AG12" i="215"/>
  <c r="AI12" i="215" s="1"/>
  <c r="AJ12" i="215" s="1"/>
  <c r="AG11" i="215"/>
  <c r="AI11" i="215" s="1"/>
  <c r="AJ11" i="215" s="1"/>
  <c r="AG10" i="215"/>
  <c r="AI10" i="215" s="1"/>
  <c r="AJ10" i="215" s="1"/>
  <c r="AG9" i="215"/>
  <c r="AI9" i="215" s="1"/>
  <c r="AJ9" i="215" s="1"/>
  <c r="AG8" i="215"/>
  <c r="AI8" i="215" s="1"/>
  <c r="AJ8" i="215" s="1"/>
  <c r="AG7" i="215"/>
  <c r="AI7" i="215" s="1"/>
  <c r="AJ7" i="215" s="1"/>
  <c r="BI6" i="215"/>
  <c r="AG6" i="215"/>
  <c r="AI6" i="215" s="1"/>
  <c r="AJ6" i="215" s="1"/>
  <c r="AG5" i="215"/>
  <c r="AI5" i="215" s="1"/>
  <c r="AJ5" i="215" s="1"/>
  <c r="AG4" i="215"/>
  <c r="AI4" i="215" s="1"/>
  <c r="AJ4" i="215" s="1"/>
  <c r="AG3" i="215"/>
  <c r="AI3" i="215" s="1"/>
  <c r="AJ3" i="215" s="1"/>
  <c r="AG2" i="215"/>
  <c r="AI2" i="215" s="1"/>
  <c r="AJ2" i="215" s="1"/>
  <c r="AY3" i="10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J16" i="10" l="1"/>
  <c r="DJ2" i="10"/>
  <c r="DE51" i="10"/>
  <c r="DH33" i="10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DD51" i="10" l="1"/>
  <c r="V39" i="10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29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6" i="1" l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<sst xmlns="http://schemas.openxmlformats.org/spreadsheetml/2006/main" count="2472" uniqueCount="904">
  <si>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</si>
  <si>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</si>
  <si>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</si>
  <si>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</si>
  <si>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</si>
  <si>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</si>
  <si>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</si>
  <si>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</si>
  <si>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</si>
  <si>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</si>
  <si>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</si>
  <si>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</si>
  <si>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</si>
  <si>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</si>
  <si>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</si>
  <si>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</si>
  <si>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</si>
  <si>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</si>
  <si>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</si>
  <si>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</si>
  <si>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</si>
  <si>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</si>
  <si>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</si>
  <si>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</si>
  <si>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</si>
  <si>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</si>
  <si>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</si>
  <si>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</si>
  <si>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</si>
  <si>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</si>
  <si>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</si>
  <si>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</si>
  <si>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</si>
  <si>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</si>
  <si>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</si>
  <si>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</si>
  <si>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</si>
  <si>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</si>
  <si>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</si>
  <si>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</si>
  <si>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</si>
  <si>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</si>
  <si>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</si>
  <si>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</si>
  <si>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</si>
  <si>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</si>
  <si>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</si>
  <si>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</si>
  <si>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</si>
  <si>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</si>
  <si>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</si>
  <si>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</si>
  <si>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</si>
  <si>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</si>
  <si>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</si>
  <si>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</si>
  <si>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</si>
  <si>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</si>
  <si>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</si>
  <si>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</si>
  <si>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</si>
  <si>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</si>
  <si>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</si>
  <si>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</si>
  <si>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</si>
  <si>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</si>
  <si>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</si>
  <si>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</si>
  <si>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</si>
  <si>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</si>
  <si>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</si>
  <si>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</si>
  <si>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</si>
  <si>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</si>
  <si>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</si>
  <si>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</si>
  <si>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</si>
  <si>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</si>
  <si>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</si>
  <si>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</si>
  <si>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</si>
  <si>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</si>
  <si>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</si>
  <si>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</si>
  <si>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</si>
  <si>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</si>
  <si>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</si>
  <si>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</si>
  <si>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</si>
  <si>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</si>
  <si>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</si>
  <si>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</si>
  <si>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</si>
  <si>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</si>
  <si>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</si>
  <si>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</si>
  <si>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</si>
  <si>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</si>
  <si>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</si>
  <si>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</si>
  <si>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</si>
  <si>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</si>
  <si>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</si>
  <si>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</si>
  <si>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</si>
  <si>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</si>
  <si>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</si>
  <si>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</si>
  <si>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</si>
  <si>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</si>
  <si>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</si>
  <si>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</si>
  <si>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</si>
  <si>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</si>
  <si>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</si>
  <si>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</si>
  <si>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</si>
  <si>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</si>
  <si>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</si>
  <si>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</si>
  <si>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</si>
  <si>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</si>
  <si>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</si>
  <si>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</si>
  <si>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</si>
  <si>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</si>
  <si>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</si>
  <si>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</si>
  <si>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</si>
  <si>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</si>
  <si>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</si>
  <si>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</si>
  <si>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</si>
  <si>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</si>
  <si>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</si>
  <si>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</si>
  <si>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</si>
  <si>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</si>
  <si>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</si>
  <si>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</si>
  <si>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</si>
  <si>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</si>
  <si>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</si>
  <si>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</si>
  <si>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</si>
  <si>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</si>
  <si>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</si>
  <si>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</si>
  <si>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</si>
  <si>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</si>
  <si>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</si>
  <si>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</si>
  <si>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</si>
  <si>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</si>
  <si>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</si>
  <si>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</si>
  <si>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</si>
  <si>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</si>
  <si>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</si>
  <si>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</si>
  <si>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</si>
  <si>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</si>
  <si>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</si>
  <si>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</si>
  <si>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</si>
  <si>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</si>
  <si>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</si>
  <si>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</si>
  <si>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</si>
  <si>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</si>
  <si>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</si>
  <si>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</si>
  <si>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</si>
  <si>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</si>
  <si>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</si>
  <si>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</si>
  <si>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</si>
  <si>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</si>
  <si>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</si>
  <si>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</si>
  <si>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</si>
  <si>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</si>
  <si>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</si>
  <si>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</si>
  <si>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</si>
  <si>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</si>
  <si>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</si>
  <si>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</si>
  <si>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</si>
  <si>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</si>
  <si>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</si>
  <si>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</si>
  <si>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</si>
  <si>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</si>
  <si>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</si>
  <si>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</si>
  <si>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</si>
  <si>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</si>
  <si>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</si>
  <si>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</si>
  <si>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</si>
  <si>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</si>
  <si>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</si>
  <si>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</si>
  <si>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</si>
  <si>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</si>
  <si>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</si>
  <si>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</si>
  <si>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</si>
  <si>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</si>
  <si>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</si>
  <si>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</si>
  <si>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</si>
  <si>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</si>
  <si>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</si>
  <si>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</si>
  <si>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</si>
  <si>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</si>
  <si>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</si>
  <si>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</si>
  <si>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</si>
  <si>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</si>
  <si>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</si>
  <si>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</si>
  <si>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</si>
  <si>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</si>
  <si>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</si>
  <si>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</si>
  <si>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</si>
  <si>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</si>
  <si>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</si>
  <si>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</si>
  <si>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</si>
  <si>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</si>
  <si>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</si>
  <si>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</si>
  <si>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</si>
  <si>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</si>
  <si>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</si>
  <si>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</si>
  <si>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</si>
  <si>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</si>
  <si>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</si>
  <si>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</si>
  <si>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</si>
  <si>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</si>
  <si>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</si>
  <si>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</si>
  <si>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</si>
  <si>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</si>
  <si>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</si>
  <si>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</si>
  <si>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</si>
  <si>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</si>
  <si>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</si>
  <si>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</si>
  <si>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</si>
  <si>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</si>
  <si>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</si>
  <si>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</si>
  <si>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</si>
  <si>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</si>
  <si>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</si>
  <si>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</si>
  <si>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</si>
  <si>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</si>
  <si>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</si>
  <si>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</si>
  <si>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</si>
  <si>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</si>
  <si>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</si>
  <si>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</si>
  <si>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</si>
  <si>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</si>
  <si>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</si>
  <si>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</si>
  <si>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</si>
  <si>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</si>
  <si>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</si>
  <si>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</si>
  <si>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</si>
  <si>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</si>
  <si>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</si>
  <si>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</si>
  <si>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</si>
  <si>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</si>
  <si>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</si>
  <si>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</si>
  <si>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</si>
  <si>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</si>
  <si>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</si>
  <si>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</si>
  <si>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</si>
  <si>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</si>
  <si>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</si>
  <si>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</si>
  <si>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</si>
  <si>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</si>
  <si>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</si>
  <si>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</si>
  <si>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</si>
  <si>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</si>
  <si>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</si>
  <si>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</si>
  <si>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</si>
  <si>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</si>
  <si>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</si>
  <si>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</si>
  <si>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</si>
  <si>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</si>
  <si>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</si>
  <si>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</si>
  <si>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</si>
  <si>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</si>
  <si>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</si>
  <si>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</si>
  <si>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</si>
  <si>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</si>
  <si>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</si>
  <si>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</si>
  <si>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</si>
  <si>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</si>
  <si>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</si>
  <si>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</si>
  <si>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</si>
  <si>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</si>
  <si>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</si>
  <si>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</si>
  <si>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</si>
  <si>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</si>
  <si>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</si>
  <si>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</si>
  <si>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</si>
  <si>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</si>
  <si>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</si>
  <si>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</si>
  <si>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</si>
  <si>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</si>
  <si>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</si>
  <si>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</si>
  <si>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</si>
  <si>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</si>
  <si>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</si>
  <si>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</si>
  <si>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</si>
  <si>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</si>
  <si>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</si>
  <si>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</si>
  <si>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</si>
  <si>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</si>
  <si>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</si>
  <si>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</si>
  <si>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</si>
  <si>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</si>
  <si>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</si>
  <si>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</si>
  <si>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</si>
  <si>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</si>
  <si>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</si>
  <si>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</si>
  <si>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</si>
  <si>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</si>
  <si>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</si>
  <si>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</si>
  <si>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</si>
  <si>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</si>
  <si>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</si>
  <si>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</si>
  <si>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</si>
  <si>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</si>
  <si>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</si>
  <si>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</si>
  <si>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</si>
  <si>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</si>
  <si>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</si>
  <si>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</si>
  <si>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</si>
  <si>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</si>
  <si>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</si>
  <si>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</si>
  <si>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</si>
  <si>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</si>
  <si>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</si>
  <si>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</si>
  <si>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</si>
  <si>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</si>
  <si>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</si>
  <si>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</si>
  <si>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</si>
  <si>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</si>
  <si>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</si>
  <si>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</si>
  <si>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</si>
  <si>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</si>
  <si>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</si>
  <si>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</si>
  <si>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</si>
  <si>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</si>
  <si>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</si>
  <si>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</si>
  <si>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</si>
  <si>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</si>
  <si>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</si>
  <si>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</si>
  <si>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</si>
  <si>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</si>
  <si>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</si>
  <si>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</si>
  <si>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</si>
  <si>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</si>
  <si>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</si>
  <si>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</si>
  <si>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</si>
  <si>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</si>
  <si>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</si>
  <si>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</si>
  <si>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</si>
  <si>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</si>
  <si>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</si>
  <si>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</si>
  <si>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</si>
  <si>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</si>
  <si>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</si>
  <si>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</si>
  <si>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</si>
  <si>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</si>
  <si>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</si>
  <si>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</si>
  <si>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</si>
  <si>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</si>
  <si>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</si>
  <si>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</si>
  <si>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</si>
  <si>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</si>
  <si>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</si>
  <si>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</si>
  <si>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</si>
  <si>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</si>
  <si>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</si>
  <si>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</si>
  <si>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</si>
  <si>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</si>
  <si>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</si>
  <si>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</si>
  <si>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</si>
  <si>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</si>
  <si>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</si>
  <si>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</si>
  <si>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</si>
  <si>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</si>
  <si>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</si>
  <si>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</si>
  <si>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</si>
  <si>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</si>
  <si>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</si>
  <si>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</si>
  <si>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</si>
  <si>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</si>
  <si>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</si>
  <si>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</si>
  <si>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</si>
  <si>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</si>
  <si>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</si>
  <si>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</si>
  <si>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</si>
  <si>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</si>
  <si>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</si>
  <si>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</si>
  <si>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</si>
  <si>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</si>
  <si>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</si>
  <si>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</si>
  <si>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</si>
  <si>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</si>
  <si>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</si>
  <si>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</si>
  <si>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</si>
  <si>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</si>
  <si>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</si>
  <si>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</si>
  <si>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</si>
  <si>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</si>
  <si>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</si>
  <si>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</si>
  <si>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</si>
  <si>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</si>
  <si>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</si>
  <si>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</si>
  <si>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</si>
  <si>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</si>
  <si>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</si>
  <si>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</si>
  <si>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</si>
  <si>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</si>
  <si>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</si>
  <si>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</si>
  <si>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</si>
  <si>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</si>
  <si>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</si>
  <si>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</si>
  <si>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</si>
  <si>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</si>
  <si>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</si>
  <si>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</si>
  <si>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</si>
  <si>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</si>
  <si>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</si>
  <si>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</si>
  <si>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</si>
  <si>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</si>
  <si>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</si>
  <si>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</si>
  <si>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</si>
  <si>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</si>
  <si>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</si>
  <si>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</si>
  <si>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</si>
  <si>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</si>
  <si>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</si>
  <si>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</si>
  <si>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</si>
  <si>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</si>
  <si>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</si>
  <si>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</si>
  <si>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</si>
  <si>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</si>
  <si>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</si>
  <si>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</si>
  <si>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</si>
  <si>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</si>
  <si>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</si>
  <si>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</si>
  <si>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</si>
  <si>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</si>
  <si>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</si>
  <si>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</si>
  <si>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</si>
  <si>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</si>
  <si>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</si>
  <si>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</si>
  <si>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</si>
  <si>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</si>
  <si>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</si>
  <si>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</si>
  <si>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</si>
  <si>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</si>
  <si>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</si>
  <si>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</si>
  <si>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</si>
  <si>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</si>
  <si>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</si>
  <si>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</si>
  <si>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</si>
  <si>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</si>
  <si>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</si>
  <si>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</si>
  <si>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</si>
  <si>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</si>
  <si>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</si>
  <si>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</si>
  <si>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</si>
  <si>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</si>
  <si>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</si>
  <si>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</si>
  <si>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</si>
  <si>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</si>
  <si>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</si>
  <si>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</si>
  <si>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</si>
  <si>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</si>
  <si>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</si>
  <si>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</si>
  <si>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</si>
  <si>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</si>
  <si>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</si>
  <si>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</si>
  <si>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</si>
  <si>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</si>
  <si>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</si>
  <si>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</si>
  <si>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</si>
  <si>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</si>
  <si>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</si>
  <si>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</si>
  <si>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</si>
  <si>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</si>
  <si>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</si>
  <si>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</si>
  <si>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</si>
  <si>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</si>
  <si>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</si>
  <si>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</si>
  <si>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</si>
  <si>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</si>
  <si>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</si>
  <si>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</si>
  <si>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</si>
  <si>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</si>
  <si>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</si>
  <si>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</si>
  <si>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</si>
  <si>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</si>
  <si>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</si>
  <si>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</si>
  <si>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</si>
  <si>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</si>
  <si>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</si>
  <si>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</si>
  <si>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</si>
  <si>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</si>
  <si>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</si>
  <si>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</si>
  <si>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</si>
  <si>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</si>
  <si>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</si>
  <si>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</si>
  <si>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</si>
  <si>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</si>
  <si>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</si>
  <si>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</si>
  <si>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</si>
  <si>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</si>
  <si>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</si>
  <si>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</si>
  <si>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</si>
  <si>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</si>
  <si>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</si>
  <si>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</si>
  <si>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</si>
  <si>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</si>
  <si>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</si>
  <si>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</si>
  <si>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</si>
  <si>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</si>
  <si>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</si>
  <si>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</si>
  <si>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</si>
  <si>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</si>
  <si>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</si>
  <si>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</si>
  <si>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</si>
  <si>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</si>
  <si>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</si>
  <si>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</si>
  <si>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</si>
  <si>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</si>
  <si>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</si>
  <si>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</si>
  <si>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</si>
  <si>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</si>
  <si>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</si>
  <si>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</si>
  <si>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</si>
  <si>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</si>
  <si>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</si>
  <si>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</si>
  <si>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</si>
  <si>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</si>
  <si>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</si>
  <si>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</si>
  <si>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</si>
  <si>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</si>
  <si>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</si>
  <si>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</si>
  <si>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</si>
  <si>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</si>
  <si>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</si>
  <si>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</si>
  <si>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</si>
  <si>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</si>
  <si>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</si>
  <si>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</si>
  <si>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</si>
  <si>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</si>
  <si>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</si>
  <si>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</si>
  <si>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</si>
  <si>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</si>
  <si>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</si>
  <si>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</si>
  <si>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</si>
  <si>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</si>
  <si>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</si>
  <si>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</si>
  <si>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</si>
  <si>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</si>
  <si>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</si>
  <si>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</si>
  <si>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</si>
  <si>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</si>
  <si>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</si>
  <si>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</si>
  <si>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</si>
  <si>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</si>
  <si>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</si>
  <si>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</si>
  <si>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</si>
  <si>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</si>
  <si>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</si>
  <si>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</si>
  <si>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</si>
  <si>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</si>
  <si>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</si>
  <si>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</si>
  <si>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</si>
  <si>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</si>
  <si>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</si>
  <si>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</si>
  <si>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</si>
  <si>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</si>
  <si>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</si>
  <si>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</si>
  <si>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</si>
  <si>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</si>
  <si>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</si>
  <si>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</si>
  <si>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</si>
  <si>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</si>
  <si>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</si>
  <si>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</si>
  <si>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</si>
  <si>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</si>
  <si>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</si>
  <si>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</si>
  <si>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</si>
  <si>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</si>
  <si>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</si>
  <si>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</si>
  <si>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</si>
  <si>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</si>
  <si>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</si>
  <si>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</si>
  <si>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</si>
  <si>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</si>
  <si>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</si>
  <si>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</si>
  <si>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</si>
  <si>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</si>
  <si>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</si>
  <si>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</si>
  <si>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</si>
  <si>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</si>
  <si>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</si>
  <si>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</si>
  <si>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</si>
  <si>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</si>
  <si>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</si>
  <si>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</si>
  <si>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</si>
  <si>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</si>
  <si>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</si>
  <si>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</si>
  <si>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</si>
  <si>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</si>
  <si>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</si>
  <si>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</si>
  <si>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</si>
  <si>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</si>
  <si>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</si>
  <si>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</si>
  <si>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</si>
  <si>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</si>
  <si>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</si>
  <si>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</si>
  <si>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</si>
  <si>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</si>
  <si>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</si>
  <si>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</si>
  <si>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</si>
  <si>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</si>
  <si>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</si>
  <si>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</si>
  <si>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</si>
  <si>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</si>
  <si>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</si>
  <si>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</si>
  <si>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</si>
  <si>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</si>
  <si>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</si>
  <si>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</si>
  <si>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</si>
  <si>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</si>
  <si>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</si>
  <si>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</si>
  <si>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</si>
  <si>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</si>
  <si>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</si>
  <si>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</si>
  <si>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</si>
  <si>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</si>
  <si>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</si>
  <si>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</si>
  <si>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</si>
  <si>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</si>
  <si>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</si>
  <si>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</si>
  <si>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</si>
  <si>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</si>
  <si>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</si>
  <si>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</si>
  <si>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</si>
  <si>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</si>
  <si>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</si>
  <si>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</si>
  <si>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</si>
  <si>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</si>
  <si>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</si>
  <si>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</si>
  <si>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</si>
  <si>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</si>
  <si>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</si>
  <si>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</si>
  <si>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</si>
  <si>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</si>
  <si>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</si>
  <si>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</si>
  <si>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</si>
  <si>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</si>
  <si>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</si>
  <si>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</si>
  <si>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</si>
  <si>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</si>
  <si>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</si>
  <si>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</si>
  <si>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</si>
  <si>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</si>
  <si>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</si>
  <si>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</si>
  <si>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</si>
  <si>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</si>
  <si>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</si>
  <si>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</si>
  <si>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</si>
  <si>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</si>
  <si>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</si>
  <si>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</si>
  <si>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</si>
  <si>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</si>
  <si>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</si>
  <si>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</si>
  <si>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</si>
  <si>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</si>
  <si>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</si>
  <si>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</si>
  <si>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</si>
  <si>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</si>
  <si>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</si>
  <si>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</si>
  <si>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</si>
  <si>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</si>
  <si>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</si>
  <si>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</si>
  <si>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</si>
  <si>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</si>
  <si>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</si>
  <si>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</si>
  <si>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</si>
  <si>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</si>
  <si>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</si>
  <si>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</si>
  <si>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</si>
  <si>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</si>
  <si>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</si>
  <si>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</si>
  <si>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</si>
  <si>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</si>
  <si>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</si>
  <si>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</si>
  <si>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</si>
  <si>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</si>
  <si>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</si>
  <si>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</si>
  <si>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</si>
  <si>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</si>
  <si>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</si>
  <si>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</si>
  <si>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</si>
  <si>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</si>
  <si>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</si>
  <si>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</si>
  <si>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</si>
  <si>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</si>
  <si>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</si>
  <si>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</si>
  <si>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</si>
  <si>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</si>
  <si>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</si>
  <si>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</si>
  <si>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</si>
  <si>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</si>
  <si>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</si>
  <si>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</si>
  <si>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</si>
  <si>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</si>
  <si>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</si>
  <si>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</si>
  <si>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</si>
  <si>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</si>
  <si>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</si>
  <si>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</si>
  <si>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</si>
  <si>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</si>
  <si>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</si>
  <si>
    <t>EPT1B1D_595 2040 600 560 1 №3 – Без доводчиков ЛДСП ОНИКС СЕРЫЙ SL39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</si>
</sst>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168" fontId="47" fillId="0" borderId="35" xfId="0" applyNumberFormat="1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2" fontId="47" fillId="0" borderId="3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9" fontId="23" fillId="0" borderId="0" xfId="3" applyFont="1" applyFill="1" applyAlignment="1">
      <alignment horizontal="center" vertical="center" wrapText="1"/>
    </xf>
    <xf numFmtId="0" fontId="0" fillId="16" borderId="35" xfId="0" applyFill="1" applyBorder="1" applyAlignment="1">
      <alignment horizontal="center" vertical="center"/>
    </xf>
    <xf numFmtId="168" fontId="47" fillId="16" borderId="35" xfId="0" applyNumberFormat="1" applyFont="1" applyFill="1" applyBorder="1" applyAlignment="1">
      <alignment horizontal="center" vertical="center"/>
    </xf>
    <xf numFmtId="0" fontId="47" fillId="16" borderId="35" xfId="0" applyFont="1" applyFill="1" applyBorder="1" applyAlignment="1">
      <alignment horizontal="center" vertical="center"/>
    </xf>
    <xf numFmtId="2" fontId="47" fillId="16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2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25FE6B-2446-47BC-B9DB-9093A997DF96}" name="Заказ_Столешницы" displayName="Заказ_Столешницы" ref="AL1:AW2" insertRow="1" totalsRowShown="0" headerRowDxfId="317" dataDxfId="316">
  <autoFilter ref="AL1:AW2" xr:uid="{50882B67-AB0E-4D1D-8D9B-BE8647CCB6FD}"/>
  <tableColumns count="12">
    <tableColumn id="1" xr3:uid="{9669F646-536F-45AA-8C39-A9C222B11AED}" name="Производитель" dataDxfId="315"/>
    <tableColumn id="2" xr3:uid="{5B66D50E-DBC6-4CD7-87E2-E496CEFC4191}" name="Цвет столешницы" dataDxfId="314"/>
    <tableColumn id="3" xr3:uid="{26AA9177-9AB4-4514-955B-897418E038D8}" name="Толщина столешницы" dataDxfId="313"/>
    <tableColumn id="4" xr3:uid="{44E59E92-8683-47CD-8BB8-9402B24901DC}" name="Высота" dataDxfId="312"/>
    <tableColumn id="5" xr3:uid="{5963FF2E-39C8-41FC-8380-23D50F17C6B9}" name="Ширина" dataDxfId="311"/>
    <tableColumn id="6" xr3:uid="{663E7E50-94EF-4784-8043-8567A142DD31}" name="Кол-во" dataDxfId="310"/>
    <tableColumn id="7" xr3:uid="{6892E965-BD69-436B-8F91-B8A5197C7DE8}" name="Стоимость" dataDxfId="309"/>
    <tableColumn id="8" xr3:uid="{0BE59F05-040B-4D7E-87BA-9A3652713061}" name="Тип изделия" dataDxfId="308"/>
    <tableColumn id="11" xr3:uid="{F165776F-206F-434A-8153-114F2981EE98}" name="Соединенное название" dataDxfId="307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18E61F1E-B890-4D8C-AAA0-C665E3EF4240}" name="Цена в БЗ" dataDxfId="306"/>
    <tableColumn id="10" xr3:uid="{A564B121-8AF9-435C-BF6A-7B877588C625}" name="разница" dataDxfId="305">
      <calculatedColumnFormula>Заказ_Столешницы[[#This Row],[Стоимость]]-Заказ_Столешницы[[#This Row],[Цена в БЗ]]</calculatedColumnFormula>
    </tableColumn>
    <tableColumn id="12" xr3:uid="{EF2CAA80-9774-46C1-9513-4C587AA57056}" name="Столбец1" dataDxfId="3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F3E807-A46C-4724-A7F6-14AB75B02F22}" name="Корзина" displayName="Корзина" ref="A1:AJ16" totalsRowCount="1" headerRowDxfId="303" dataDxfId="302">
  <autoFilter ref="A1:AJ15" xr:uid="{D4F3A028-0284-448B-B761-F4C0DA488444}"/>
  <tableColumns count="36">
    <tableColumn id="1" xr3:uid="{D40A5367-D7C5-4168-AEF5-5590680E335F}" name="Номенклатура" totalsRowLabel="Итог" dataDxfId="301" totalsRowDxfId="300"/>
    <tableColumn id="2" xr3:uid="{A24A1EDE-22B0-4807-8D51-451C95E9DFBC}" name="Высота" dataDxfId="299" totalsRowDxfId="298"/>
    <tableColumn id="3" xr3:uid="{67C02F90-EEA9-4037-B294-1D576BADC059}" name="Ширина" dataDxfId="297" totalsRowDxfId="296"/>
    <tableColumn id="4" xr3:uid="{611FD41D-1461-4F35-97FB-E0BEC7AA33D3}" name="Глубина" dataDxfId="295" totalsRowDxfId="294"/>
    <tableColumn id="5" xr3:uid="{9EFE61E3-EA69-462A-930D-5F1F202E08FA}" name="Кол-во" dataDxfId="293" totalsRowDxfId="292"/>
    <tableColumn id="6" xr3:uid="{80265FFC-5D64-4958-973F-57D1B6DDB120}" name="Цена корпуса" dataDxfId="291" totalsRowDxfId="290"/>
    <tableColumn id="7" xr3:uid="{3DA71492-9E25-493C-9CD3-22CF811FD941}" name="Фасады,м2" dataDxfId="289" totalsRowDxfId="288"/>
    <tableColumn id="8" xr3:uid="{7FA01BA3-8635-4102-AD90-8C407E8AF693}" name="Полки,шт." dataDxfId="287" totalsRowDxfId="286"/>
    <tableColumn id="9" xr3:uid="{7DDDB306-8B47-44B9-8A35-9D965F59E8EA}" name="Полки,м2" dataDxfId="285" totalsRowDxfId="284"/>
    <tableColumn id="10" xr3:uid="{18C59BF3-1D49-44D0-B7B1-F60D3ACF4F77}" name="Цена фасадов" totalsRowFunction="sum" dataDxfId="283" totalsRowDxfId="282"/>
    <tableColumn id="11" xr3:uid="{1C704104-2DBF-4D49-9020-25C868F39C46}" name="Цена полок" dataDxfId="281" totalsRowDxfId="280"/>
    <tableColumn id="12" xr3:uid="{233F1879-9DE4-48BA-85A6-FB741A48D43F}" name="Цена Gola" dataDxfId="279" totalsRowDxfId="278"/>
    <tableColumn id="13" xr3:uid="{D0D9486C-6AB0-4A82-A852-BC2391D53043}" name="Базовая цена корпуса" dataDxfId="277" totalsRowDxfId="276"/>
    <tableColumn id="14" xr3:uid="{94FCF6EE-1BEE-4147-B1C3-3EAD48CB4F4D}" name="Базовая ширина" dataDxfId="275" totalsRowDxfId="274"/>
    <tableColumn id="15" xr3:uid="{B265FCCD-5CCB-4DFF-9AF3-B672A326B075}" name="Тип фасада" dataDxfId="273" totalsRowDxfId="272"/>
    <tableColumn id="16" xr3:uid="{03042D8B-A05E-4D6E-AFDA-CF7B4D7CD5E1}" name="Комплектация" dataDxfId="271" totalsRowDxfId="270"/>
    <tableColumn id="17" xr3:uid="{26A1CD48-8DE6-4AFC-9FF2-2128C5FAB87A}" name="Тип модуля" dataDxfId="269" totalsRowDxfId="268"/>
    <tableColumn id="18" xr3:uid="{37ED4E03-66DE-443C-AAB7-EC21584442FC}" name="Коллекция" dataDxfId="267" totalsRowDxfId="266"/>
    <tableColumn id="19" xr3:uid="{9A09E329-D9E0-44FE-829E-1BC4252C7027}" name="Цвет" dataDxfId="265" totalsRowDxfId="264"/>
    <tableColumn id="20" xr3:uid="{6041374E-63E3-4BA4-A559-59F40B4707F8}" name="Фрезеровка" dataDxfId="263" totalsRowDxfId="262"/>
    <tableColumn id="21" xr3:uid="{831D7E19-97DC-4863-BBDB-CFD29BBF38C0}" name="Толщина" dataDxfId="261" totalsRowDxfId="260"/>
    <tableColumn id="22" xr3:uid="{6A3B875B-ABC6-43C5-9E7F-C090DBA5B8C4}" name="Уровень модуля" dataDxfId="259" totalsRowDxfId="258"/>
    <tableColumn id="24" xr3:uid="{BBFFA09F-CEEE-415F-878D-503ED404B3DC}" name="Базовый комплект" dataDxfId="257" totalsRowDxfId="256"/>
    <tableColumn id="25" xr3:uid="{4A74E349-9BAB-4BAE-85F7-E1C15C52165F}" name="Добавочная цена от комплектации" dataDxfId="255" totalsRowDxfId="254"/>
    <tableColumn id="26" xr3:uid="{E898D0B5-5855-49A1-A839-D3CCA0296240}" name="Цвет стекла для витрины" dataDxfId="253" totalsRowDxfId="252"/>
    <tableColumn id="27" xr3:uid="{6FB4E022-6F25-43BC-A372-62FB92FE0357}" name="Цена стекла для витрины" dataDxfId="251" totalsRowDxfId="250"/>
    <tableColumn id="28" xr3:uid="{27F50FA5-90FF-4A83-9BD9-A43E0EF56AC4}" name="Материал полок" dataDxfId="249" totalsRowDxfId="248"/>
    <tableColumn id="23" xr3:uid="{450DD0AF-ECC8-4AC6-8C88-967C8A3BADD1}" name="Цена корпус + полки" totalsRowFunction="sum" dataDxfId="247" totalsRowDxfId="246"/>
    <tableColumn id="29" xr3:uid="{C3CA9721-2939-4EA2-838B-1565F157F8A2}" name="Материал корпуса" dataDxfId="245" totalsRowDxfId="244"/>
    <tableColumn id="33" xr3:uid="{8823708B-22F5-4C30-A98B-AE3B5742F119}" name="Тип фрезеровки" dataDxfId="243" totalsRowDxfId="242"/>
    <tableColumn id="34" xr3:uid="{49589048-77BD-46DE-9A09-82F4F4F1BFAD}" name="Скидка для фрезеровки" dataDxfId="241" totalsRowDxfId="240"/>
    <tableColumn id="36" xr3:uid="{7A3B328D-2BE9-42D8-BCEA-E2D6819BA52E}" name="Кол-во фасадов в модуле" dataDxfId="239" totalsRowDxfId="238"/>
    <tableColumn id="30" xr3:uid="{8D030C85-9785-46B9-8C1C-EF89AB348F5C}" name="Соединенное название" dataDxfId="237" totalsRowDxfId="23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6E6022-17AF-4AE6-9763-61AFA2634C89}" name="Измененное название" dataDxfId="235" totalsRowDxfId="234"/>
    <tableColumn id="31" xr3:uid="{19EB833D-813D-4C96-B325-7B50504CF553}" name="Цена БЗ" dataDxfId="233" totalsRowDxfId="232">
      <calculatedColumnFormula>VLOOKUP(Корзина[[#This Row],[Соединенное название]],#REF!,2,0)</calculatedColumnFormula>
    </tableColumn>
    <tableColumn id="32" xr3:uid="{700A3ACC-17F6-41DD-9C78-B6D473D7D171}" name="Разница" dataDxfId="231" totalsRowDxfId="23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55216D9-DB5B-4B16-915F-7DABA3D217D2}" name="Заказ_Отдельные_фасады" displayName="Заказ_Отдельные_фасады" ref="AY1:BI6" totalsRowCount="1" headerRowDxfId="229" dataDxfId="227" headerRowBorderDxfId="228" tableBorderDxfId="226">
  <autoFilter ref="AY1:BI5" xr:uid="{57F00D2F-AA0C-4156-915B-B306A91597A5}"/>
  <tableColumns count="11">
    <tableColumn id="1" xr3:uid="{A97CFFBB-6C73-4C8B-9FAD-9241D7634EAA}" name="Коллекция" totalsRowLabel="Итог" dataDxfId="225" totalsRowDxfId="224"/>
    <tableColumn id="2" xr3:uid="{9490EC14-DF26-48C3-9E48-A439AF53B8F5}" name="Цвет" dataDxfId="223" totalsRowDxfId="222"/>
    <tableColumn id="3" xr3:uid="{6840B142-61CF-4569-A152-7898AB44BF95}" name="Фрезеровка" dataDxfId="221" totalsRowDxfId="220"/>
    <tableColumn id="4" xr3:uid="{DAA5D4FD-B246-4B93-AED1-A5901C6C1D1F}" name="Толщина" dataDxfId="219" totalsRowDxfId="218"/>
    <tableColumn id="11" xr3:uid="{3B699CA1-F99D-40F3-9403-3900762B38A5}" name="Высота,мм"/>
    <tableColumn id="10" xr3:uid="{C7A1A422-DD71-43C7-9257-610E78ED018B}" name="Ширина,мм"/>
    <tableColumn id="9" xr3:uid="{A4819922-22ED-435C-BE77-7C4F6327255D}" name="Площадь,м2"/>
    <tableColumn id="5" xr3:uid="{E3C52694-E8EA-49D0-9839-5A47A2E53678}" name="Цвет стекла для витрины" dataDxfId="217" totalsRowDxfId="216"/>
    <tableColumn id="6" xr3:uid="{EE64AF8D-A5FB-416D-BE4F-C53689796272}" name="Цена стекла для витрины" dataDxfId="215" totalsRowDxfId="214"/>
    <tableColumn id="7" xr3:uid="{C4FA124A-F1AB-4FE0-B062-4E8EFC493B3F}" name="Кол-во" dataDxfId="213" totalsRowDxfId="212"/>
    <tableColumn id="8" xr3:uid="{A37F0586-2DD8-428E-87B8-A140546B58E4}" name="Стоимость" totalsRowFunction="sum" dataDxfId="211" totalsRowDxfId="21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B32D86-C254-4094-9559-51802EE73874}" name="Заказ_ручки" displayName="Заказ_ручки" ref="BK1:BP3" totalsRowShown="0" headerRowDxfId="209" tableBorderDxfId="208">
  <autoFilter ref="BK1:BP3" xr:uid="{E7BB3E52-9F23-4BE4-B15A-55E4FC846337}"/>
  <tableColumns count="6">
    <tableColumn id="1" xr3:uid="{83F44DA0-77D8-4106-A885-396CCDE645C2}" name="Название ручки / Артикул ручки"/>
    <tableColumn id="2" xr3:uid="{457CBEE0-E743-4A22-931C-576E3746D1DB}" name="Тип"/>
    <tableColumn id="3" xr3:uid="{BFAC1081-3330-494F-B49A-2129C27C8810}" name="Категория"/>
    <tableColumn id="4" xr3:uid="{3BDE0A67-BF2C-468C-8FC4-EF1B4060ADD3}" name="Коллекция"/>
    <tableColumn id="6" xr3:uid="{2739C813-3FD1-49B0-960F-8C6A4E231FE3}" name="Количество"/>
    <tableColumn id="7" xr3:uid="{32A57092-08E6-4737-A4CD-EC73D589C22C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1494EF-D64D-462E-9566-438EA7C631AF}" name="Gola_Base_Furn_for_stol_Order" displayName="Gola_Base_Furn_for_stol_Order" ref="BR1:BU2" insertRow="1" totalsRowShown="0">
  <autoFilter ref="BR1:BU2" xr:uid="{88751CBF-65EF-43A0-AF99-830B58AB6C77}"/>
  <tableColumns count="4">
    <tableColumn id="1" xr3:uid="{C88B52E0-E78A-465B-B065-9A7954A6811F}" name="Изделие"/>
    <tableColumn id="2" xr3:uid="{BD6C2606-7401-46C2-85F5-F5E5002B0E40}" name="Количество"/>
    <tableColumn id="3" xr3:uid="{C6E73296-9EF2-42AD-8B80-A625FE32DCB0}" name="Цена"/>
    <tableColumn id="4" xr3:uid="{820CDC7A-5F4B-4AA7-A5F2-C0C3CD3918DF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07" dataDxfId="206">
  <autoFilter ref="A1:CH82" xr:uid="{B6A411DD-54E4-4F8A-8614-345EC598C3AB}"/>
  <tableColumns count="86">
    <tableColumn id="1" xr3:uid="{244EF146-2FB2-42B0-89AD-BC68C073628F}" name="Артикул" dataDxfId="205"/>
    <tableColumn id="2" xr3:uid="{E9E197D6-D015-400F-BBF0-C74C736B39E0}" name="Тип" dataDxfId="204"/>
    <tableColumn id="4" xr3:uid="{C373308D-47ED-427E-88F8-A9B3AEC5889F}" name="Варианты наполнения" dataDxfId="203"/>
    <tableColumn id="16" xr3:uid="{3526EDBE-4544-46B2-904E-78713571F802}" name="Вид модуля" dataDxfId="202"/>
    <tableColumn id="15" xr3:uid="{259A8B8F-A346-4065-8898-BE7B616DA4DC}" name="Профиль Gola" dataDxfId="201"/>
    <tableColumn id="3" xr3:uid="{9487BA3B-B8B3-423B-BBA1-A7C3B0201659}" name="Признаки для фильтров" dataDxfId="200"/>
    <tableColumn id="6" xr3:uid="{6657D323-708D-490F-934C-D93CA8D44D3D}" name="Высота min" dataDxfId="199"/>
    <tableColumn id="7" xr3:uid="{2EFED285-F303-4C73-A938-4E18FE85EFAD}" name="Высота max" dataDxfId="198"/>
    <tableColumn id="8" xr3:uid="{B0E436A3-EEA3-4496-822A-D979DCE166F6}" name="Ширина min" dataDxfId="197"/>
    <tableColumn id="9" xr3:uid="{B9B1EF59-46D8-418E-9C90-4AF710E40F22}" name="Ширина max" dataDxfId="196"/>
    <tableColumn id="10" xr3:uid="{DFC2098D-52BC-4A64-8019-99B30228E5C0}" name="Глубина min" dataDxfId="195"/>
    <tableColumn id="11" xr3:uid="{0F631E4C-75A0-4051-8353-40DDE4FB0D0C}" name="Глубина max" dataDxfId="194"/>
    <tableColumn id="14" xr3:uid="{7CEDF3A3-1C3F-4BE6-B422-A3497D28B60F}" name="Количество полок" dataDxfId="193"/>
    <tableColumn id="12" xr3:uid="{CDFC7975-1F4A-4D16-8354-E26DDCD4397C}" name="Комментарий" dataDxfId="192"/>
    <tableColumn id="5" xr3:uid="{491DC64E-1A6E-4844-B503-C2C858B48F8F}" name="Базовая цена" dataDxfId="191"/>
    <tableColumn id="28" xr3:uid="{EBB80AFB-D155-4FEC-AFA8-5CA38369E072}" name="КФ НСТ11" dataDxfId="190"/>
    <tableColumn id="27" xr3:uid="{CBFCC08D-435F-4D14-9237-DBC966484E7C}" name="КФ НСТ1" dataDxfId="189"/>
    <tableColumn id="13" xr3:uid="{ED748688-578F-4B70-BED3-DF69514981F0}" name="КФ крепежа корпуса 1" dataDxfId="188">
      <calculatedColumnFormula>'комплекты фурнитуры'!C9</calculatedColumnFormula>
    </tableColumn>
    <tableColumn id="18" xr3:uid="{C97A5013-CBEE-487D-951B-6C81E4A7AC55}" name="КФ крепежа корпуса 2" dataDxfId="187"/>
    <tableColumn id="19" xr3:uid="{E76E0229-FD99-460D-A6DC-512E0BF4E97A}" name="КФ крепежа корпуса 4" dataDxfId="186"/>
    <tableColumn id="20" xr3:uid="{F25E07D8-C520-4467-8FE7-E89C5DB70B0F}" name="КФ крепежа корпуса 6" dataDxfId="185"/>
    <tableColumn id="21" xr3:uid="{2DAD658B-F7CB-4A20-B265-0005D6437D71}" name="КФ крепежа корпуса 7" dataDxfId="184"/>
    <tableColumn id="23" xr3:uid="{1B2375D3-DCC7-47E9-80B6-2C8B369001C5}" name="КФ крепежа корпуса 9" dataDxfId="183"/>
    <tableColumn id="32" xr3:uid="{5FC4BD95-7026-4728-9321-54AD821DB1D0}" name="КФ крепежа корпуса 10" dataDxfId="182"/>
    <tableColumn id="22" xr3:uid="{D1EED17F-DA10-4FC1-992B-84A2473F1A07}" name="КФ крепежа корпуса 11" dataDxfId="181"/>
    <tableColumn id="33" xr3:uid="{A691C489-3513-434E-B8C3-4D39E2A158AB}" name="КФ крепежа корпуса 12" dataDxfId="180"/>
    <tableColumn id="29" xr3:uid="{76F3AFCC-4E23-405B-89AE-8D6FDFA3FF11}" name="КФ крепежа корпуса 13" dataDxfId="179"/>
    <tableColumn id="31" xr3:uid="{F07D89AA-E635-4965-8AA3-57D02FB91704}" name="КФ НСТ 14" dataDxfId="178"/>
    <tableColumn id="30" xr3:uid="{80FADF67-BF3A-4DAB-913C-EA9BA1C84CD9}" name="КФ крепежа корпуса 15" dataDxfId="177"/>
    <tableColumn id="24" xr3:uid="{87B6078A-6FAD-4498-A328-FD81FC7FD510}" name="КФ крепежа корпуса 16" dataDxfId="176"/>
    <tableColumn id="17" xr3:uid="{5B2E565F-938F-4C78-BB65-1F2802A24FC5}" name="КФ опора пластиковая 120" dataDxfId="175"/>
    <tableColumn id="25" xr3:uid="{6F8FCB9B-78F7-4E72-A350-4BB3A20C8EB3}" name="KFPr-SB-POD" dataDxfId="174"/>
    <tableColumn id="26" xr3:uid="{D5E1C33E-3342-477B-8544-E7A79E3BBC5E}" name="KFPr-SB-ZPG" dataDxfId="173"/>
    <tableColumn id="34" xr3:uid="{290E297F-71F1-4EF2-8A6F-94B834943A03}" name="КФ корпуса" dataDxfId="172">
      <calculatedColumnFormula>SUM(Прайс[[#This Row],[КФ НСТ11]:[KFPr-SB-ZPG]])</calculatedColumnFormula>
    </tableColumn>
    <tableColumn id="65" xr3:uid="{CCE4C4AA-FDC1-4A4C-A6D6-59B6ABF07D40}" name=" KFPr-SB-StK " dataDxfId="171"/>
    <tableColumn id="67" xr3:uid="{F04C1A69-1B5A-450B-8ACD-CF6240A49F46}" name="KFPr-SB-SPL" dataDxfId="170"/>
    <tableColumn id="66" xr3:uid="{8855FBE2-EA1B-412E-967A-04B7EEF0D462}" name="KFPr-SB-SMRZ_16мм" dataDxfId="169"/>
    <tableColumn id="68" xr3:uid="{CD98CCBA-39DF-4E4D-B751-90857AE86D0D}" name="КФ KEKU" dataDxfId="168"/>
    <tableColumn id="38" xr3:uid="{0B3A342F-ACDA-4E8C-A3BB-272F0EAD3983}" name="КФ петли SENS накл.110 гр. с крестообр. Планкой" dataDxfId="167"/>
    <tableColumn id="39" xr3:uid="{D8E42B09-DA91-43E3-88E2-3744E9609331}" name="KFP-SB-N110" dataDxfId="166"/>
    <tableColumn id="43" xr3:uid="{0C08449F-84E9-4D52-9A34-A9E6F062A42B}" name="КФ петли вклад. 95 гр. с крестообр. планкой" dataDxfId="165"/>
    <tableColumn id="44" xr3:uid="{20740129-5689-4ADA-BC82-18601D41BE66}" name="KFP-SB-PY94" dataDxfId="164"/>
    <tableColumn id="45" xr3:uid="{C58A7BD9-7F27-4E2A-8A7D-8993CF9D1B44}" name="КKFP-SB-GT45" dataDxfId="163"/>
    <tableColumn id="46" xr3:uid="{EA47B16B-24E3-4669-BCC6-4D10352115BD}" name="KFP-SB-N45" dataDxfId="162"/>
    <tableColumn id="61" xr3:uid="{77162D3C-DEBF-41ED-8D9C-6B324B0B34D6}" name="KFS-SB-45 (посудосушители)" dataDxfId="161"/>
    <tableColumn id="62" xr3:uid="{60DFC635-EC03-4DA5-9F1F-A274C5F766BE}" name="КФ Сушка AFF 600" dataDxfId="160"/>
    <tableColumn id="64" xr3:uid="{3218371B-081C-4144-9490-2129F71749B7}" name="КФ Сушка AFF 800" dataDxfId="159"/>
    <tableColumn id="63" xr3:uid="{3EA2A3F9-E872-4B9A-A20E-57B5568F095B}" name="КФ Сушка AFF 900" dataDxfId="158"/>
    <tableColumn id="56" xr3:uid="{4E28104D-EF7B-4E2E-8C57-FEB3C8A5F956}" name="KFP-SP-PPGK" dataDxfId="157"/>
    <tableColumn id="57" xr3:uid="{211F9D6D-49D0-464F-88C1-85C7CBE083C0}" name="KFP-SP-PPGK_71_x000a_" dataDxfId="156"/>
    <tableColumn id="58" xr3:uid="{3DCAA265-92DB-4B37-8C89-B111F9805E4C}" name="KFP-SP-PPA" dataDxfId="155"/>
    <tableColumn id="59" xr3:uid="{FE70647D-4BEA-43C9-B3B1-73D6E0E4A61C}" name="KFP-SB-PPHF_W" dataDxfId="154"/>
    <tableColumn id="55" xr3:uid="{81594DF4-0602-442D-AE34-AF4382DF367E}" name="KFN-SB-M54" dataDxfId="153"/>
    <tableColumn id="47" xr3:uid="{5E0D24F4-DA20-452E-825D-868422F8FB68}" name="Комплект для ящика Hettich ATIRA Серый, NL-470, H-70" dataDxfId="152"/>
    <tableColumn id="53" xr3:uid="{A0024684-C217-429E-AEBF-4AA1AAB1B938}" name="Комплект для ящика Hettich ATIRA Серый с реллингом, NL-470, H-176" dataDxfId="151"/>
    <tableColumn id="48" xr3:uid="{236E32BD-08D6-45FD-BF28-6DE93E881417}" name="KFN-SB-M86" dataDxfId="150"/>
    <tableColumn id="54" xr3:uid="{6D92F505-EC53-45E7-9F83-9FC8CF81B4EA}" name="KFN-SB-M15" dataDxfId="149"/>
    <tableColumn id="49" xr3:uid="{0BA15EFC-0C23-4EEF-89A3-788F5A1DA22A}" name="KFN-SB-MD" dataDxfId="148"/>
    <tableColumn id="50" xr3:uid="{B10F5262-24B7-495A-97A3-3715D959BA79}" name="КФ ящика Matrix (H=89 мм)_450_GR" dataDxfId="147"/>
    <tableColumn id="69" xr3:uid="{91FEF492-7357-4261-8FE8-93815647308F}" name="КФ ящика Matrix (H=175 мм)_450_GR" dataDxfId="146"/>
    <tableColumn id="51" xr3:uid="{E039F1AB-9656-4B47-869C-9EFC55626F41}" name="Комплект ящика INNOTECH ATIRA полного выдв. с  PUSH TO OPEN , Н70,NL470,цвет серебристый" dataDxfId="145"/>
    <tableColumn id="52" xr3:uid="{5EDCABD0-79AC-4437-8001-4AFC273FD9E7}" name="Комплект короба INNOTECH ATIRA полного выдв. с Push to open, Н176,NL470,рейлинги, цвет серебристый" dataDxfId="144"/>
    <tableColumn id="40" xr3:uid="{F1A933F2-08F8-4B70-91DB-3D28AB3BE3AF}" name="KFS-SB-BYT" dataDxfId="143"/>
    <tableColumn id="41" xr3:uid="{51C1E380-2E1D-451E-83A2-CBA0D818E63F}" name="Корзина с держателем для бутылок 414*500*520 мм" dataDxfId="142"/>
    <tableColumn id="42" xr3:uid="{D01A7E27-37CF-4158-BCF6-8D8ACC6AB5FA}" name="КФ евровинт" dataDxfId="141"/>
    <tableColumn id="60" xr3:uid="{F2C1507E-22CE-4A77-936E-2CE24901A3C5}" name="КФ  крепления профиля Gola" dataDxfId="140"/>
    <tableColumn id="70" xr3:uid="{1272954A-E182-4AE9-BB28-E27FBBD2F571}" name="Профиль Gola для подвесных шкафов алюм.16 мм" dataDxfId="139"/>
    <tableColumn id="35" xr3:uid="{A5B4233C-7C06-4820-B9A4-FA20195C8570}" name="Комплектация №2" dataDxfId="138"/>
    <tableColumn id="36" xr3:uid="{79D7852F-F7B6-4FE6-8058-4623A193C92E}" name="Комплектация №3" dataDxfId="137"/>
    <tableColumn id="37" xr3:uid="{178FF18E-2D49-4276-86AC-A7734F248861}" name="Комплектация №3Т" dataDxfId="136"/>
    <tableColumn id="72" xr3:uid="{0A128738-86E4-4853-B8A7-DB48EABDA6F3}" name="Базовая ширина" dataDxfId="135"/>
    <tableColumn id="73" xr3:uid="{65C4BD3E-E790-4D49-997C-1E56669D4E98}" name="Базовая высота" dataDxfId="134"/>
    <tableColumn id="71" xr3:uid="{7EC0296C-2955-4E3D-9A5F-10337ACB371C}" name="Базовая глубина" dataDxfId="13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2"/>
    <tableColumn id="78" xr3:uid="{D4F38851-262A-4693-8AD8-0C7FDA55E619}" name="Коэфф.ширина" dataDxfId="131"/>
    <tableColumn id="77" xr3:uid="{26F7B0FF-A98D-4C8D-96D6-9D12D73C3164}" name="Коэфф.глубина" dataDxfId="130"/>
    <tableColumn id="74" xr3:uid="{9C9D74FE-06DD-465B-9EC4-526E0AD42851}" name="Полки min,шт." dataDxfId="129"/>
    <tableColumn id="75" xr3:uid="{F6ACCF36-12D1-4AD7-8C04-71E8A7C3B7A8}" name="Полки max,шт." dataDxfId="128"/>
    <tableColumn id="80" xr3:uid="{43422F97-A6DC-4549-ACB1-3D312C38A5D2}" name="Tip-on" dataDxfId="127"/>
    <tableColumn id="79" xr3:uid="{A330CEAF-C3AA-40D5-86FB-2FEBF5EF4E97}" name="Инфо о комплектации" dataDxfId="126"/>
    <tableColumn id="81" xr3:uid="{B843A559-15F9-440A-8849-081FC64687B8}" name="Полки по умолчанию" dataDxfId="125"/>
    <tableColumn id="82" xr3:uid="{0B1FB40A-CD49-4F2E-817D-0D8EDA07ADEC}" name="Доступ к стеклянным полкам" dataDxfId="124"/>
    <tableColumn id="83" xr3:uid="{F771F382-683B-4AFB-8BD6-4CF199BF211B}" name="Базовая цена цветной корпус" dataDxfId="123"/>
    <tableColumn id="85" xr3:uid="{A97FD681-B265-4751-BA89-F91BDB10A91A}" name="КФ НСТ19" dataDxfId="122"/>
    <tableColumn id="86" xr3:uid="{14BC1293-0DFD-45DD-BDD4-435CD738E1D7}" name="Корзина выдв.посудосуш.600 мм + напр. L450 Hettich (ХРОМ)" dataDxfId="121"/>
    <tableColumn id="84" xr3:uid="{BA482443-7903-4EFC-8868-FB56B606CBD3}" name="Кол-во фасадов" dataDxfId="12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19" dataDxfId="118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17"/>
    <tableColumn id="2" xr3:uid="{CBCBEDBF-B07D-49DC-A647-FE89CED753BC}" name="Тип Фрезеровки" dataDxfId="116"/>
    <tableColumn id="3" xr3:uid="{04779E58-2E79-41D0-993D-E64BBDB80A08}" name="Толщина 1" dataDxfId="115"/>
    <tableColumn id="4" xr3:uid="{AFC3B80D-B2E7-403E-B0DA-CE217404C6BD}" name="Толщина 2" dataDxfId="114"/>
    <tableColumn id="10" xr3:uid="{6B17B2C9-6D21-4078-BE99-77C241E7DC55}" name="Min Высота" dataDxfId="113" dataCellStyle="Обычный 3 3 2"/>
    <tableColumn id="9" xr3:uid="{91E43A86-B770-4455-94D9-491992DB11F2}" name="Max  Высота" dataDxfId="112" dataCellStyle="Обычный 3 3 2"/>
    <tableColumn id="8" xr3:uid="{1E8C328D-3CF7-4E03-BB4F-B7980BB99223}" name="Min Ширина" dataDxfId="111" dataCellStyle="Обычный 3 3 2"/>
    <tableColumn id="6" xr3:uid="{CF8039AA-23E6-418E-A0A5-312D9E2944AB}" name="Max Ширина" dataDxfId="110" dataCellStyle="Обычный 3 3 2"/>
    <tableColumn id="7" xr3:uid="{800E6F5F-1CE0-4D8F-A3B4-140DEB6CCFDC}" name="Наличие витрин" dataDxfId="109"/>
    <tableColumn id="5" xr3:uid="{F4A035AC-4E9A-49DC-B7BF-8FE6F8C235B4}" name="Наличие решеток" dataDxfId="108"/>
    <tableColumn id="11" xr3:uid="{FD207359-7DA0-4E26-AEE1-458FD1D4493A}" name="Скидка на фрезеровку" dataDxfId="107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06" dataDxfId="105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04"/>
    <tableColumn id="2" xr3:uid="{73BD45F6-34D0-43B6-98BE-5052519D3482}" name="Коллекция пленок" dataDxfId="103"/>
    <tableColumn id="3" xr3:uid="{70E4A86D-1E11-4D3B-B850-03CC3DC4EA8B}" name="Категория пленки" dataDxfId="102"/>
    <tableColumn id="4" xr3:uid="{0B4C060F-475F-46B8-8CE5-F3C7BC874AFA}" name="Цена 16 мм" dataDxfId="10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9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6" dataDxfId="95">
  <autoFilter ref="K3:P10" xr:uid="{F3C19AC2-AE15-4B07-BE4B-6E76B9B89693}"/>
  <tableColumns count="6">
    <tableColumn id="1" xr3:uid="{8E2A4EC6-52B7-4CF2-92DD-1EF56E80EFBD}" name="Коллекция" dataDxfId="94"/>
    <tableColumn id="2" xr3:uid="{060F59E6-9C05-42D3-BC91-8938AB99CC63}" name="Ценовая категория пленки" dataDxfId="93"/>
    <tableColumn id="3" xr3:uid="{E314DE90-CBD4-4FE9-A2D0-CD6F677BF3DE}" name="МДФ 16 мм" dataDxfId="92"/>
    <tableColumn id="4" xr3:uid="{8AF271A8-AFDB-4F65-BDF2-3DB16886F0C5}" name="МДФ 18/19 мм" dataDxfId="91"/>
    <tableColumn id="5" xr3:uid="{5C5591AE-C1DF-473C-B2DE-E2649E3D3375}" name="МДФ 22+ мм" dataDxfId="90"/>
    <tableColumn id="6" xr3:uid="{11B36507-9711-4DD9-9202-10F6B61EB8A3}" name="Скидка" dataDxfId="8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88" dataDxfId="87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86" dataCellStyle="Обычный 3 3 2"/>
    <tableColumn id="2" xr3:uid="{0E0EE42C-FE7B-4F0D-A337-37F464CFF87E}" name="Цена,м2" dataDxfId="85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84" dataDxfId="83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82"/>
    <tableColumn id="2" xr3:uid="{8EA293B5-92F1-4759-ADEF-C848180BDA6F}" name="Производитель" dataDxfId="81" dataCellStyle="Обычный 3 3 2"/>
    <tableColumn id="3" xr3:uid="{739B6914-4D3B-484E-AA74-696EAB757DDE}" name="Толщина" dataDxfId="80" dataCellStyle="Обычный 3 3 2"/>
    <tableColumn id="4" xr3:uid="{F76DA758-DCCA-4505-8475-85C54FB91E82}" name="Макс.длина" dataDxfId="79" dataCellStyle="Обычный 3 3 2"/>
    <tableColumn id="5" xr3:uid="{CC701F50-3C0E-479E-9F3F-DC9E52223198}" name="Макс Ширина" dataDxfId="78" dataCellStyle="Обычный 3 3 2"/>
    <tableColumn id="6" xr3:uid="{4920F4E6-ADAB-4B95-8E58-15D8D9E72C77}" name="600 х 1200" dataDxfId="77" dataCellStyle="Обычный 3 3 2"/>
    <tableColumn id="7" xr3:uid="{04B77FC8-EB4D-4C3E-A8E4-E1895151CB1E}" name="600 х 2100" dataDxfId="76" dataCellStyle="Обычный 3 3 2"/>
    <tableColumn id="8" xr3:uid="{F7AE2FF9-1B2F-4EDC-99A9-EB7CB8551D99}" name="600 х 3000" dataDxfId="75" dataCellStyle="Обычный 3 3 2"/>
    <tableColumn id="9" xr3:uid="{8CBECB23-2811-4DB4-B52F-11824BE49841}" name="600 х 4200" dataDxfId="74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73" dataDxfId="72" tableBorderDxfId="71" headerRowCellStyle="Обычный 3 3 2">
  <autoFilter ref="A41:C54" xr:uid="{2EDDD9FE-F82A-4CE3-9033-0059070A82A9}"/>
  <tableColumns count="3">
    <tableColumn id="1" xr3:uid="{FD66DD94-70F7-4270-9602-EC1F380D35D4}" name="Цвет стекла" dataDxfId="70"/>
    <tableColumn id="2" xr3:uid="{9BE30F06-5833-4665-9CB0-2D4DD0173678}" name="Цена за м2" dataDxfId="69"/>
    <tableColumn id="3" xr3:uid="{374E4493-A9D7-44BA-9C64-4BEBF58EC494}" name="Цена за м3" dataDxfId="6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67" dataDxfId="66" headerRowCellStyle="Обычный 3 3 2">
  <autoFilter ref="BQ2:BR10" xr:uid="{EF6E01D4-F17B-46D6-9C74-1A91633991E6}"/>
  <tableColumns count="2">
    <tableColumn id="1" xr3:uid="{6566BA5A-6251-4507-B4C5-91CA5FB36F9B}" name="Изделие" dataDxfId="65"/>
    <tableColumn id="2" xr3:uid="{7AFC3AD3-8460-444E-B461-2DC3FD886EBF}" name="Цена" dataDxfId="6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63" headerRowBorderDxfId="62" tableBorderDxfId="61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60"/>
    <tableColumn id="2" xr3:uid="{3E974E66-E055-415D-BC78-AEBB3835C359}" name="Ценовая группа" dataDxfId="59"/>
    <tableColumn id="5" xr3:uid="{5D17A2A5-506D-4CEC-9605-81E9B46464BB}" name="Цена Глухих" dataDxfId="5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5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56"/>
    <tableColumn id="7" xr3:uid="{4CB3D8A8-D90F-40E8-A61F-27018681CD97}" name="Наличие витрин" dataDxfId="55"/>
    <tableColumn id="8" xr3:uid="{EAAAAB93-BF90-43F4-BEDC-0BC0EBD8D051}" name="Наличие решеток" dataDxfId="54"/>
    <tableColumn id="10" xr3:uid="{33005D4A-5898-40ED-98DD-CA0A969F2129}" name="Min Высота" dataDxfId="53"/>
    <tableColumn id="12" xr3:uid="{12F5F717-23F2-4894-A760-7B21E235FE17}" name="Max  Высота" dataDxfId="52"/>
    <tableColumn id="11" xr3:uid="{17D9C563-EE88-4BFA-BFF7-917D04AA2E0F}" name="Min Ширина" dataDxfId="51"/>
    <tableColumn id="9" xr3:uid="{EDC62BF4-8EB8-48B7-9E1A-6145B096640C}" name="Max Ширина" dataDxfId="50"/>
    <tableColumn id="13" xr3:uid="{203B0C4F-9596-48E5-B778-BAD94B029FB6}" name="Скидка" dataDxfId="49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48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47" dataDxfId="46">
  <autoFilter ref="BB2:BF6" xr:uid="{CDF8988B-80D7-4023-A44A-60A6C121CA19}"/>
  <tableColumns count="5">
    <tableColumn id="1" xr3:uid="{8B7A635E-A92E-4959-9B30-034CA4E495CA}" name="Ценовая группа" dataDxfId="45"/>
    <tableColumn id="3" xr3:uid="{199557CE-0391-4EB5-9FA0-31A44870D2B2}" name="Фасад глухой, фасад под врезную ручку Grosseto    кв.м" dataDxfId="44"/>
    <tableColumn id="4" xr3:uid="{A1682A37-C212-466F-8C8D-2A0D2039CF51}" name="Фасад витрина,   кв.м" dataDxfId="43"/>
    <tableColumn id="2" xr3:uid="{12783B52-1834-4A3C-B278-087F0043C2B7}" name="Наличие витрин" dataDxfId="42"/>
    <tableColumn id="5" xr3:uid="{8E232A17-8503-4545-9DCF-7BA9BCB2F06F}" name="Скидка" dataDxfId="41" dataCellStyle="Процентн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40" dataDxfId="39">
  <autoFilter ref="CN2:CO11" xr:uid="{78F22871-9A7D-4E92-8393-BCC02454D1B5}"/>
  <tableColumns count="2">
    <tableColumn id="1" xr3:uid="{DBC91464-3C3F-4F38-BBAA-89F388048E0F}" name="Ценовая группа" dataDxfId="38"/>
    <tableColumn id="2" xr3:uid="{04C85D3B-608A-4808-89A3-B6E61150D6DB}" name="Цена" dataDxfId="3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36" tableBorderDxfId="35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34"/>
    <tableColumn id="2" xr3:uid="{FECC5A88-7198-469B-A665-329684C29E9D}" name="Тип" dataDxfId="33"/>
    <tableColumn id="3" xr3:uid="{CC23F91A-F17A-471B-B852-64253E79A7AA}" name="Категория" dataDxfId="32"/>
    <tableColumn id="5" xr3:uid="{ED08E27D-8EAE-40C6-B4DA-59D9CD74F7C1}" name="Коллекция" dataDxfId="31"/>
    <tableColumn id="4" xr3:uid="{3A1E0F89-FF3A-47A2-9E87-DEEBD263D18A}" name="Цена" dataDxfId="30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29" dataDxfId="28" headerRowCellStyle="Обычный 3 3 2">
  <autoFilter ref="CR2:CV12" xr:uid="{2EA2AF85-4825-4413-ABF4-CE5FC30FD4A8}"/>
  <tableColumns count="5">
    <tableColumn id="1" xr3:uid="{7E28429D-9BAD-4FE0-83A6-D475F88B8C7D}" name="Название товара" dataDxfId="27" dataCellStyle="Обычный 4"/>
    <tableColumn id="5" xr3:uid="{071BE9FD-B93E-4BF1-963E-E301C95C2453}" name="Коллекция" dataDxfId="26" dataCellStyle="Обычный 4"/>
    <tableColumn id="2" xr3:uid="{A999F0F8-00BA-486A-B80B-EB2CD4D3ED68}" name="Тип" dataDxfId="25" dataCellStyle="Обычный 4"/>
    <tableColumn id="3" xr3:uid="{6D170368-F687-40B9-ABF6-5FE9A03A10F9}" name="Инфо" dataDxfId="24" dataCellStyle="Обычный 3 3 2"/>
    <tableColumn id="4" xr3:uid="{6EB55A0C-4ED2-49FF-9E3D-2308BCFBD948}" name="Цена" dataDxfId="2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22">
  <autoFilter ref="BH3:BJ7" xr:uid="{76766779-25D2-4D9A-92B0-62DD261F7ADE}"/>
  <tableColumns count="3">
    <tableColumn id="1" xr3:uid="{0C363F62-1411-423B-833C-EE4938A39ED8}" name="Ценовая группа" dataDxfId="21"/>
    <tableColumn id="3" xr3:uid="{0FACAF70-9E78-4CB5-9BEB-94CD4E3EA607}" name="Наличие витрин" dataDxfId="20"/>
    <tableColumn id="2" xr3:uid="{915418D3-2926-4D67-BD82-1F8127353EBE}" name="Цена за  кв.м" dataDxfId="1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8" dataDxfId="17" tableBorderDxfId="16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5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4" headerRowBorderDxfId="13" tableBorderDxfId="12" headerRowCellStyle="Обычный 3 3 2">
  <autoFilter ref="BU2:BV8" xr:uid="{EDAEED31-3CAB-4857-ADC7-481FD3B657B8}"/>
  <tableColumns count="2">
    <tableColumn id="1" xr3:uid="{298F9606-FFF2-4456-AC78-8E0C89E5AEE7}" name="Изделие" dataDxfId="11"/>
    <tableColumn id="2" xr3:uid="{5323DD3B-F076-4C62-B2EB-57BA20ABF983}" name="Цена" dataDxfId="10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9" headerRowBorderDxfId="8" tableBorderDxfId="7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2B78E-C680-447E-846B-1177DBA5F3D3}">
  <sheetPr codeName="Лист3"/>
  <dimension ref="A1:BU115"/>
  <sheetViews>
    <sheetView zoomScale="130" zoomScaleNormal="130" workbookViewId="0">
      <pane xSplit="1" topLeftCell="BA1" activePane="topRight" state="frozen"/>
      <selection pane="topRight" activeCell="A27" sqref="A27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84" customWidth="1"/>
    <col min="8" max="8" width="17.140625" style="184" customWidth="1"/>
    <col min="9" max="9" width="16.42578125" style="1" customWidth="1"/>
    <col min="10" max="10" width="20.5703125" style="222" customWidth="1"/>
    <col min="11" max="11" width="17.85546875" customWidth="1"/>
    <col min="12" max="12" width="16.42578125" style="222" customWidth="1"/>
    <col min="13" max="13" width="27.42578125" style="222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120</v>
      </c>
      <c r="B1" s="1" t="s">
        <v>117</v>
      </c>
      <c r="C1" s="1" t="s">
        <v>118</v>
      </c>
      <c r="D1" s="1" t="s">
        <v>119</v>
      </c>
      <c r="E1" s="1" t="s">
        <v>124</v>
      </c>
      <c r="F1" s="1" t="s">
        <v>430</v>
      </c>
      <c r="G1" s="184" t="s">
        <v>419</v>
      </c>
      <c r="H1" s="184" t="s">
        <v>431</v>
      </c>
      <c r="I1" s="1" t="s">
        <v>427</v>
      </c>
      <c r="J1" s="184" t="s">
        <v>434</v>
      </c>
      <c r="K1" s="1" t="s">
        <v>435</v>
      </c>
      <c r="L1" s="184" t="s">
        <v>437</v>
      </c>
      <c r="M1" s="184" t="s">
        <v>438</v>
      </c>
      <c r="N1" s="1" t="s">
        <v>417</v>
      </c>
      <c r="O1" s="1" t="s">
        <v>443</v>
      </c>
      <c r="P1" s="1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x14ac:dyDescent="0.25">
      <c r="A2" s="195" t="s">
        <v>3</v>
      </c>
      <c r="B2" s="195">
        <v>720</v>
      </c>
      <c r="C2" s="195">
        <v>150</v>
      </c>
      <c r="D2" s="195">
        <v>525</v>
      </c>
      <c r="E2" s="195">
        <v>1</v>
      </c>
      <c r="F2" s="195">
        <v>2921.8500000000004</v>
      </c>
      <c r="G2" s="253">
        <v>0</v>
      </c>
      <c r="H2" s="254">
        <v>0</v>
      </c>
      <c r="I2" s="195">
        <v>0.06</v>
      </c>
      <c r="J2" s="255">
        <v>0</v>
      </c>
      <c r="K2" s="195">
        <v>0</v>
      </c>
      <c r="L2" s="254"/>
      <c r="M2" s="254">
        <v>2111.8500000000004</v>
      </c>
      <c r="N2" s="195">
        <v>300</v>
      </c>
      <c r="O2" s="195" t="s">
        <v>899</v>
      </c>
      <c r="P2" s="195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257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 t="shared" ref="AJ2:AJ14" si="0">AB2-AI2</f>
        <v>#REF!</v>
      </c>
      <c r="AL2" s="1"/>
      <c r="AM2" s="1"/>
      <c r="AN2" s="1"/>
      <c r="AO2" s="26"/>
      <c r="AP2" s="26"/>
      <c r="AQ2" s="1"/>
      <c r="AR2" s="1"/>
      <c r="AS2" s="1"/>
      <c r="AT2" s="1"/>
      <c r="AU2" s="1"/>
      <c r="AV2" s="1"/>
      <c r="AW2" s="1"/>
      <c r="AY2" s="256" t="s">
        <v>128</v>
      </c>
      <c r="AZ2" s="256" t="s">
        <v>883</v>
      </c>
      <c r="BA2" s="256" t="s">
        <v>204</v>
      </c>
      <c r="BB2" s="256" t="s">
        <v>141</v>
      </c>
      <c r="BC2" s="256">
        <v>716</v>
      </c>
      <c r="BD2" s="256">
        <v>146</v>
      </c>
      <c r="BE2" s="256">
        <v>0.10453999999999999</v>
      </c>
      <c r="BF2" s="256" t="s">
        <v>891</v>
      </c>
      <c r="BG2" s="256">
        <v>0</v>
      </c>
      <c r="BH2" s="256">
        <v>1</v>
      </c>
      <c r="BI2" s="256">
        <v>801.61271999999997</v>
      </c>
      <c r="BK2" s="138" t="s">
        <v>643</v>
      </c>
      <c r="BL2" s="138" t="s">
        <v>583</v>
      </c>
      <c r="BM2" s="138" t="s">
        <v>592</v>
      </c>
      <c r="BN2" s="138" t="s">
        <v>739</v>
      </c>
      <c r="BO2" s="138">
        <v>14</v>
      </c>
      <c r="BP2" s="138">
        <v>11200</v>
      </c>
    </row>
    <row r="3" spans="1:73" x14ac:dyDescent="0.25">
      <c r="A3" s="195" t="s">
        <v>1</v>
      </c>
      <c r="B3" s="195">
        <v>720</v>
      </c>
      <c r="C3" s="195">
        <v>600</v>
      </c>
      <c r="D3" s="195">
        <v>525</v>
      </c>
      <c r="E3" s="195">
        <v>1</v>
      </c>
      <c r="F3" s="195">
        <v>21596.699999999997</v>
      </c>
      <c r="G3" s="253">
        <v>0.42</v>
      </c>
      <c r="H3" s="254">
        <v>0</v>
      </c>
      <c r="I3" s="195">
        <v>0</v>
      </c>
      <c r="J3" s="255">
        <v>3220.56</v>
      </c>
      <c r="K3" s="195">
        <v>0</v>
      </c>
      <c r="L3" s="254"/>
      <c r="M3" s="254">
        <v>3656.6999999999989</v>
      </c>
      <c r="N3" s="195">
        <v>300</v>
      </c>
      <c r="O3" s="195" t="s">
        <v>892</v>
      </c>
      <c r="P3" s="195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257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 t="shared" si="0"/>
        <v>#REF!</v>
      </c>
      <c r="AY3" s="256" t="s">
        <v>128</v>
      </c>
      <c r="AZ3" s="256" t="s">
        <v>883</v>
      </c>
      <c r="BA3" s="256" t="s">
        <v>204</v>
      </c>
      <c r="BB3" s="256" t="s">
        <v>141</v>
      </c>
      <c r="BC3" s="256">
        <v>386</v>
      </c>
      <c r="BD3" s="256">
        <v>596</v>
      </c>
      <c r="BE3" s="256">
        <v>0.23005999999999999</v>
      </c>
      <c r="BF3" s="256" t="s">
        <v>891</v>
      </c>
      <c r="BG3" s="256">
        <v>0</v>
      </c>
      <c r="BH3" s="256">
        <v>1</v>
      </c>
      <c r="BI3" s="256">
        <v>1764.1000799999999</v>
      </c>
      <c r="BK3" s="138" t="s">
        <v>539</v>
      </c>
      <c r="BL3" s="138" t="s">
        <v>493</v>
      </c>
      <c r="BM3" s="138" t="s">
        <v>493</v>
      </c>
      <c r="BN3" s="138" t="s">
        <v>493</v>
      </c>
      <c r="BO3" s="138">
        <v>2</v>
      </c>
      <c r="BP3" s="138">
        <v>1540</v>
      </c>
    </row>
    <row r="4" spans="1:73" x14ac:dyDescent="0.25">
      <c r="A4" s="195" t="s">
        <v>27</v>
      </c>
      <c r="B4" s="195">
        <v>720</v>
      </c>
      <c r="C4" s="195">
        <v>100</v>
      </c>
      <c r="D4" s="195">
        <v>525</v>
      </c>
      <c r="E4" s="195">
        <v>1</v>
      </c>
      <c r="F4" s="195">
        <v>2460</v>
      </c>
      <c r="G4" s="253">
        <v>7.0000000000000007E-2</v>
      </c>
      <c r="H4" s="254">
        <v>0</v>
      </c>
      <c r="I4" s="195">
        <v>0</v>
      </c>
      <c r="J4" s="255">
        <v>536.76</v>
      </c>
      <c r="K4" s="195">
        <v>0</v>
      </c>
      <c r="L4" s="254"/>
      <c r="M4" s="254">
        <v>1870</v>
      </c>
      <c r="N4" s="195">
        <v>100</v>
      </c>
      <c r="O4" s="195" t="s">
        <v>892</v>
      </c>
      <c r="P4" s="195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257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 t="shared" si="0"/>
        <v>#REF!</v>
      </c>
      <c r="AY4" s="256" t="s">
        <v>128</v>
      </c>
      <c r="AZ4" s="256" t="s">
        <v>883</v>
      </c>
      <c r="BA4" s="256" t="s">
        <v>204</v>
      </c>
      <c r="BB4" s="256" t="s">
        <v>141</v>
      </c>
      <c r="BC4" s="256">
        <v>386</v>
      </c>
      <c r="BD4" s="256">
        <v>496</v>
      </c>
      <c r="BE4" s="256">
        <v>0.19145999999999999</v>
      </c>
      <c r="BF4" s="256" t="s">
        <v>891</v>
      </c>
      <c r="BG4" s="256">
        <v>0</v>
      </c>
      <c r="BH4" s="256">
        <v>3</v>
      </c>
      <c r="BI4" s="256">
        <v>4404.34584</v>
      </c>
    </row>
    <row r="5" spans="1:73" s="194" customFormat="1" x14ac:dyDescent="0.25">
      <c r="A5" s="195" t="s">
        <v>131</v>
      </c>
      <c r="B5" s="195">
        <v>720</v>
      </c>
      <c r="C5" s="195">
        <v>950</v>
      </c>
      <c r="D5" s="195">
        <v>525</v>
      </c>
      <c r="E5" s="195">
        <v>1</v>
      </c>
      <c r="F5" s="195">
        <v>7897.7</v>
      </c>
      <c r="G5" s="253">
        <v>0.36</v>
      </c>
      <c r="H5" s="254">
        <v>0</v>
      </c>
      <c r="I5" s="195">
        <v>0</v>
      </c>
      <c r="J5" s="255">
        <v>2760.48</v>
      </c>
      <c r="K5" s="195">
        <v>0</v>
      </c>
      <c r="L5" s="254"/>
      <c r="M5" s="254">
        <v>3717.7</v>
      </c>
      <c r="N5" s="195">
        <v>750</v>
      </c>
      <c r="O5" s="195" t="s">
        <v>892</v>
      </c>
      <c r="P5" s="195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257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 t="shared" si="0"/>
        <v>#REF!</v>
      </c>
      <c r="AY5" s="256" t="s">
        <v>128</v>
      </c>
      <c r="AZ5" s="256" t="s">
        <v>883</v>
      </c>
      <c r="BA5" s="256" t="s">
        <v>204</v>
      </c>
      <c r="BB5" s="256" t="s">
        <v>141</v>
      </c>
      <c r="BC5" s="256">
        <v>716</v>
      </c>
      <c r="BD5" s="256">
        <v>596</v>
      </c>
      <c r="BE5" s="256">
        <v>0.42674000000000001</v>
      </c>
      <c r="BF5" s="256" t="s">
        <v>891</v>
      </c>
      <c r="BG5" s="256">
        <v>0</v>
      </c>
      <c r="BH5" s="256">
        <v>1</v>
      </c>
      <c r="BI5" s="256">
        <v>3272.2423199999998</v>
      </c>
      <c r="BK5"/>
      <c r="BL5"/>
      <c r="BM5"/>
      <c r="BN5"/>
      <c r="BO5"/>
      <c r="BP5"/>
    </row>
    <row r="6" spans="1:73" x14ac:dyDescent="0.25">
      <c r="A6" s="195" t="s">
        <v>29</v>
      </c>
      <c r="B6" s="195">
        <v>640</v>
      </c>
      <c r="C6" s="195">
        <v>600</v>
      </c>
      <c r="D6" s="195">
        <v>315</v>
      </c>
      <c r="E6" s="195">
        <v>1</v>
      </c>
      <c r="F6" s="195">
        <v>5188.0300000000007</v>
      </c>
      <c r="G6" s="253">
        <v>0.38</v>
      </c>
      <c r="H6" s="254">
        <v>1</v>
      </c>
      <c r="I6" s="195">
        <v>0.1</v>
      </c>
      <c r="J6" s="255">
        <v>2913.84</v>
      </c>
      <c r="K6" s="195">
        <v>187.20000000000002</v>
      </c>
      <c r="L6" s="254"/>
      <c r="M6" s="254">
        <v>2968.03</v>
      </c>
      <c r="N6" s="195">
        <v>500</v>
      </c>
      <c r="O6" s="195" t="s">
        <v>892</v>
      </c>
      <c r="P6" s="195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257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 t="shared" si="0"/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10242.300959999999</v>
      </c>
      <c r="BK6" s="194"/>
      <c r="BL6" s="194"/>
      <c r="BM6" s="194"/>
      <c r="BN6" s="194"/>
      <c r="BO6" s="194"/>
      <c r="BP6" s="194"/>
    </row>
    <row r="7" spans="1:73" x14ac:dyDescent="0.25">
      <c r="A7" s="195" t="s">
        <v>78</v>
      </c>
      <c r="B7" s="195">
        <v>680</v>
      </c>
      <c r="C7" s="195">
        <v>600</v>
      </c>
      <c r="D7" s="195">
        <v>315</v>
      </c>
      <c r="E7" s="195">
        <v>1</v>
      </c>
      <c r="F7" s="195">
        <v>3975.47</v>
      </c>
      <c r="G7" s="253">
        <v>0.4</v>
      </c>
      <c r="H7" s="254">
        <v>2</v>
      </c>
      <c r="I7" s="195">
        <v>0.16</v>
      </c>
      <c r="J7" s="255">
        <v>3067.2</v>
      </c>
      <c r="K7" s="195">
        <v>599.04</v>
      </c>
      <c r="L7" s="254"/>
      <c r="M7" s="254">
        <v>1965.4699999999998</v>
      </c>
      <c r="N7" s="195">
        <v>300</v>
      </c>
      <c r="O7" s="195" t="s">
        <v>892</v>
      </c>
      <c r="P7" s="195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257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 t="shared" si="0"/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195" t="s">
        <v>78</v>
      </c>
      <c r="B8" s="195">
        <v>680</v>
      </c>
      <c r="C8" s="195">
        <v>150</v>
      </c>
      <c r="D8" s="195">
        <v>315</v>
      </c>
      <c r="E8" s="195">
        <v>1</v>
      </c>
      <c r="F8" s="195">
        <v>3481.1450000000004</v>
      </c>
      <c r="G8" s="253">
        <v>0.1</v>
      </c>
      <c r="H8" s="254">
        <v>2</v>
      </c>
      <c r="I8" s="195">
        <v>0.03</v>
      </c>
      <c r="J8" s="255">
        <v>766.8</v>
      </c>
      <c r="K8" s="195">
        <v>112.32</v>
      </c>
      <c r="L8" s="254"/>
      <c r="M8" s="254">
        <v>1471.1450000000002</v>
      </c>
      <c r="N8" s="195">
        <v>300</v>
      </c>
      <c r="O8" s="195" t="s">
        <v>892</v>
      </c>
      <c r="P8" s="195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257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 t="shared" si="0"/>
        <v>#REF!</v>
      </c>
    </row>
    <row r="9" spans="1:73" s="235" customFormat="1" x14ac:dyDescent="0.25">
      <c r="A9" s="259" t="s">
        <v>486</v>
      </c>
      <c r="B9" s="259">
        <v>680</v>
      </c>
      <c r="C9" s="259">
        <v>700</v>
      </c>
      <c r="D9" s="259">
        <v>315</v>
      </c>
      <c r="E9" s="259">
        <v>1</v>
      </c>
      <c r="F9" s="259">
        <v>7005.7</v>
      </c>
      <c r="G9" s="260">
        <v>0.23</v>
      </c>
      <c r="H9" s="261">
        <v>1</v>
      </c>
      <c r="I9" s="259">
        <v>0.19</v>
      </c>
      <c r="J9" s="262">
        <v>1763.64</v>
      </c>
      <c r="K9" s="259">
        <v>355.68</v>
      </c>
      <c r="L9" s="261"/>
      <c r="M9" s="261">
        <v>2995.7</v>
      </c>
      <c r="N9" s="259">
        <v>600</v>
      </c>
      <c r="O9" s="259" t="s">
        <v>892</v>
      </c>
      <c r="P9" s="259" t="s">
        <v>765</v>
      </c>
      <c r="Q9" s="259"/>
      <c r="R9" s="259" t="s">
        <v>128</v>
      </c>
      <c r="S9" s="259" t="s">
        <v>873</v>
      </c>
      <c r="T9" s="259" t="s">
        <v>896</v>
      </c>
      <c r="U9" s="259" t="s">
        <v>897</v>
      </c>
      <c r="V9" s="259" t="s">
        <v>894</v>
      </c>
      <c r="W9" s="259">
        <v>1360</v>
      </c>
      <c r="X9" s="259">
        <v>2650</v>
      </c>
      <c r="Y9" s="259" t="s">
        <v>891</v>
      </c>
      <c r="Z9" s="259">
        <v>0</v>
      </c>
      <c r="AA9" s="259" t="s">
        <v>646</v>
      </c>
      <c r="AB9" s="259">
        <v>7361.38</v>
      </c>
      <c r="AC9" s="259" t="s">
        <v>707</v>
      </c>
      <c r="AD9" s="259" t="s">
        <v>898</v>
      </c>
      <c r="AE9" s="259"/>
      <c r="AF9" s="259">
        <v>1</v>
      </c>
      <c r="AG9" s="25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259"/>
      <c r="AI9" s="259" t="e">
        <f>VLOOKUP(Корзина[[#This Row],[Соединенное название]],#REF!,2,0)</f>
        <v>#REF!</v>
      </c>
      <c r="AJ9" s="259" t="e">
        <f t="shared" si="0"/>
        <v>#REF!</v>
      </c>
    </row>
    <row r="10" spans="1:73" x14ac:dyDescent="0.25">
      <c r="A10" s="195" t="s">
        <v>82</v>
      </c>
      <c r="B10" s="195">
        <v>680</v>
      </c>
      <c r="C10" s="195">
        <v>745</v>
      </c>
      <c r="D10" s="195">
        <v>315</v>
      </c>
      <c r="E10" s="195">
        <v>1</v>
      </c>
      <c r="F10" s="195">
        <v>5374.7524999999996</v>
      </c>
      <c r="G10" s="253">
        <v>0.5</v>
      </c>
      <c r="H10" s="254">
        <v>2</v>
      </c>
      <c r="I10" s="195">
        <v>0.21</v>
      </c>
      <c r="J10" s="255">
        <v>3834</v>
      </c>
      <c r="K10" s="195">
        <v>786.24</v>
      </c>
      <c r="L10" s="254"/>
      <c r="M10" s="254">
        <v>2124.7524999999996</v>
      </c>
      <c r="N10" s="195">
        <v>300</v>
      </c>
      <c r="O10" s="195" t="s">
        <v>892</v>
      </c>
      <c r="P10" s="195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257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 t="shared" si="0"/>
        <v>#REF!</v>
      </c>
    </row>
    <row r="11" spans="1:73" x14ac:dyDescent="0.25">
      <c r="A11" s="195" t="s">
        <v>78</v>
      </c>
      <c r="B11" s="195">
        <v>550</v>
      </c>
      <c r="C11" s="195">
        <v>600</v>
      </c>
      <c r="D11" s="195">
        <v>560</v>
      </c>
      <c r="E11" s="195">
        <v>1</v>
      </c>
      <c r="F11" s="195">
        <v>4061.8599999999997</v>
      </c>
      <c r="G11" s="253">
        <v>0.33</v>
      </c>
      <c r="H11" s="254">
        <v>1</v>
      </c>
      <c r="I11" s="195">
        <v>0.3</v>
      </c>
      <c r="J11" s="255">
        <v>2530.44</v>
      </c>
      <c r="K11" s="195">
        <v>561.6</v>
      </c>
      <c r="L11" s="254"/>
      <c r="M11" s="254">
        <v>3031.8599999999997</v>
      </c>
      <c r="N11" s="195">
        <v>300</v>
      </c>
      <c r="O11" s="195" t="s">
        <v>892</v>
      </c>
      <c r="P11" s="195" t="s">
        <v>763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257">
        <v>4623.46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 – Без доводчиков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 t="shared" si="0"/>
        <v>#REF!</v>
      </c>
    </row>
    <row r="12" spans="1:73" s="235" customFormat="1" x14ac:dyDescent="0.25">
      <c r="A12" s="195" t="s">
        <v>486</v>
      </c>
      <c r="B12" s="195">
        <v>390</v>
      </c>
      <c r="C12" s="195">
        <v>805</v>
      </c>
      <c r="D12" s="195">
        <v>560</v>
      </c>
      <c r="E12" s="195">
        <v>1</v>
      </c>
      <c r="F12" s="195">
        <v>4890.8250000000007</v>
      </c>
      <c r="G12" s="253">
        <v>0.17</v>
      </c>
      <c r="H12" s="254">
        <v>0</v>
      </c>
      <c r="I12" s="195">
        <v>0.41</v>
      </c>
      <c r="J12" s="255">
        <v>1303.56</v>
      </c>
      <c r="K12" s="195">
        <v>0</v>
      </c>
      <c r="L12" s="254"/>
      <c r="M12" s="254">
        <v>2520.8250000000003</v>
      </c>
      <c r="N12" s="195">
        <v>600</v>
      </c>
      <c r="O12" s="195" t="s">
        <v>892</v>
      </c>
      <c r="P12" s="195" t="s">
        <v>763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257">
        <v>4890.83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0 №3 – Без доводчиков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 t="shared" si="0"/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195" t="s">
        <v>2</v>
      </c>
      <c r="B13" s="195">
        <v>390</v>
      </c>
      <c r="C13" s="195">
        <v>500</v>
      </c>
      <c r="D13" s="195">
        <v>560</v>
      </c>
      <c r="E13" s="195">
        <v>3</v>
      </c>
      <c r="F13" s="195">
        <v>10427.07</v>
      </c>
      <c r="G13" s="253">
        <v>0</v>
      </c>
      <c r="H13" s="254">
        <v>0</v>
      </c>
      <c r="I13" s="195">
        <v>0.25</v>
      </c>
      <c r="J13" s="255">
        <v>0</v>
      </c>
      <c r="K13" s="195">
        <v>0</v>
      </c>
      <c r="L13" s="254"/>
      <c r="M13" s="254">
        <v>8117.0699999999988</v>
      </c>
      <c r="N13" s="195">
        <v>300</v>
      </c>
      <c r="O13" s="195" t="s">
        <v>899</v>
      </c>
      <c r="P13" s="195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257">
        <v>10427.07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 t="shared" si="0"/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195" t="s">
        <v>2</v>
      </c>
      <c r="B14" s="195">
        <v>390</v>
      </c>
      <c r="C14" s="195">
        <v>600</v>
      </c>
      <c r="D14" s="195">
        <v>560</v>
      </c>
      <c r="E14" s="195">
        <v>1</v>
      </c>
      <c r="F14" s="195">
        <v>3585.5399999999995</v>
      </c>
      <c r="G14" s="253">
        <v>0</v>
      </c>
      <c r="H14" s="254">
        <v>0</v>
      </c>
      <c r="I14" s="195">
        <v>0.3</v>
      </c>
      <c r="J14" s="255">
        <v>0</v>
      </c>
      <c r="K14" s="195">
        <v>0</v>
      </c>
      <c r="L14" s="254"/>
      <c r="M14" s="254">
        <v>2815.5399999999995</v>
      </c>
      <c r="N14" s="195">
        <v>300</v>
      </c>
      <c r="O14" s="195" t="s">
        <v>899</v>
      </c>
      <c r="P14" s="195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257">
        <v>3585.54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0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 t="shared" si="0"/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195" t="s">
        <v>771</v>
      </c>
      <c r="B15" s="195">
        <v>2040</v>
      </c>
      <c r="C15" s="195">
        <v>600</v>
      </c>
      <c r="D15" s="195">
        <v>560</v>
      </c>
      <c r="E15" s="195">
        <v>1</v>
      </c>
      <c r="F15" s="195">
        <v>17490</v>
      </c>
      <c r="G15" s="253">
        <v>0.61</v>
      </c>
      <c r="H15" s="254">
        <v>1</v>
      </c>
      <c r="I15" s="195">
        <v>0.28000000000000003</v>
      </c>
      <c r="J15" s="255">
        <v>4677.4799999999996</v>
      </c>
      <c r="K15" s="195">
        <v>524.16000000000008</v>
      </c>
      <c r="L15" s="254"/>
      <c r="M15" s="254">
        <v>7920</v>
      </c>
      <c r="N15" s="195">
        <v>600</v>
      </c>
      <c r="O15" s="195" t="s">
        <v>892</v>
      </c>
      <c r="P15" s="195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257">
        <v>18014.16</v>
      </c>
      <c r="AC15" s="197" t="s">
        <v>707</v>
      </c>
      <c r="AD15" s="195" t="s">
        <v>898</v>
      </c>
      <c r="AE15" s="195"/>
      <c r="AF15" s="195">
        <v>2</v>
      </c>
      <c r="AG15" s="195" t="s">
        <v>903</v>
      </c>
      <c r="AH15" s="195"/>
      <c r="AI15" s="195" t="e">
        <v>#REF!</v>
      </c>
      <c r="AJ15" s="195" t="e"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195" t="s">
        <v>895</v>
      </c>
      <c r="B16" s="195"/>
      <c r="C16" s="195"/>
      <c r="D16" s="195"/>
      <c r="E16" s="195"/>
      <c r="F16" s="195"/>
      <c r="G16" s="253"/>
      <c r="H16" s="254"/>
      <c r="I16" s="195"/>
      <c r="J16" s="255">
        <f>SUBTOTAL(109,Корзина[Цена фасадов])</f>
        <v>27374.76</v>
      </c>
      <c r="K16" s="195"/>
      <c r="L16" s="254"/>
      <c r="M16" s="254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>
        <f>SUBTOTAL(109,Корзина[Цена корпус + полки])</f>
        <v>103482.89</v>
      </c>
      <c r="AC16" s="197"/>
      <c r="AD16" s="195"/>
      <c r="AE16" s="195"/>
      <c r="AF16" s="195"/>
      <c r="AG16" s="195"/>
      <c r="AH16" s="195"/>
      <c r="AI16" s="195"/>
      <c r="AJ16" s="19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1"/>
      <c r="B21" s="1"/>
      <c r="C21" s="1"/>
      <c r="D21" s="1"/>
      <c r="E21" s="1"/>
      <c r="F21" s="1"/>
      <c r="G21" s="184"/>
      <c r="H21" s="184"/>
      <c r="I21" s="1"/>
      <c r="J21" s="222"/>
      <c r="K21"/>
      <c r="L21" s="222"/>
      <c r="M21" s="222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1"/>
      <c r="B22" s="1"/>
      <c r="C22" s="1"/>
      <c r="D22" s="1"/>
      <c r="E22" s="1"/>
      <c r="F22" s="1"/>
      <c r="G22" s="184"/>
      <c r="H22" s="184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1"/>
      <c r="B47" s="1"/>
      <c r="C47" s="1"/>
      <c r="D47" s="1"/>
      <c r="E47" s="1"/>
      <c r="F47" s="1"/>
      <c r="G47" s="184"/>
      <c r="H47" s="184"/>
      <c r="I47" s="1"/>
      <c r="J47" s="222"/>
      <c r="K47"/>
      <c r="L47" s="222"/>
      <c r="M47" s="22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1"/>
      <c r="B49" s="1"/>
      <c r="C49" s="1"/>
      <c r="D49" s="1"/>
      <c r="E49" s="1"/>
      <c r="F49" s="1"/>
      <c r="G49" s="184"/>
      <c r="H49" s="184"/>
      <c r="I49" s="1"/>
      <c r="J49" s="222"/>
      <c r="K49"/>
      <c r="L49" s="222"/>
      <c r="M49" s="222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1"/>
      <c r="B52" s="1"/>
      <c r="C52" s="1"/>
      <c r="D52" s="1"/>
      <c r="E52" s="1"/>
      <c r="F52" s="1"/>
      <c r="G52" s="184"/>
      <c r="H52" s="184"/>
      <c r="I52" s="1"/>
      <c r="J52" s="222"/>
      <c r="K52"/>
      <c r="L52" s="222"/>
      <c r="M52" s="22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1"/>
      <c r="B58" s="1"/>
      <c r="C58" s="1"/>
      <c r="D58" s="1"/>
      <c r="E58" s="1"/>
      <c r="F58" s="1"/>
      <c r="G58" s="184"/>
      <c r="H58" s="184"/>
      <c r="I58" s="1"/>
      <c r="J58" s="222"/>
      <c r="K58"/>
      <c r="L58" s="222"/>
      <c r="M58" s="22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1"/>
      <c r="B59" s="1"/>
      <c r="C59" s="1"/>
      <c r="D59" s="1"/>
      <c r="E59" s="1"/>
      <c r="F59" s="1"/>
      <c r="G59" s="184"/>
      <c r="H59" s="184"/>
      <c r="I59" s="1"/>
      <c r="J59" s="222"/>
      <c r="K59"/>
      <c r="L59" s="222"/>
      <c r="M59" s="22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1"/>
      <c r="B60" s="1"/>
      <c r="C60" s="1"/>
      <c r="D60" s="1"/>
      <c r="E60" s="1"/>
      <c r="F60" s="1"/>
      <c r="G60" s="184"/>
      <c r="H60" s="184"/>
      <c r="I60" s="1"/>
      <c r="J60" s="222"/>
      <c r="K60"/>
      <c r="L60" s="222"/>
      <c r="M60" s="222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1"/>
      <c r="B61" s="1"/>
      <c r="C61" s="1"/>
      <c r="D61" s="1"/>
      <c r="E61" s="1"/>
      <c r="F61" s="1"/>
      <c r="G61" s="184"/>
      <c r="H61" s="184"/>
      <c r="I61" s="1"/>
      <c r="J61" s="222"/>
      <c r="K61"/>
      <c r="L61" s="222"/>
      <c r="M61" s="222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1"/>
      <c r="B69" s="1"/>
      <c r="C69" s="1"/>
      <c r="D69" s="1"/>
      <c r="E69" s="1"/>
      <c r="F69" s="1"/>
      <c r="G69" s="184"/>
      <c r="H69" s="184"/>
      <c r="I69" s="1"/>
      <c r="J69" s="222"/>
      <c r="K69"/>
      <c r="L69" s="222"/>
      <c r="M69" s="222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1"/>
      <c r="B70" s="1"/>
      <c r="C70" s="1"/>
      <c r="D70" s="1"/>
      <c r="E70" s="1"/>
      <c r="F70" s="1"/>
      <c r="G70" s="184"/>
      <c r="H70" s="184"/>
      <c r="I70" s="1"/>
      <c r="J70" s="222"/>
      <c r="K70"/>
      <c r="L70" s="222"/>
      <c r="M70" s="222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1"/>
      <c r="B72" s="1"/>
      <c r="C72" s="1"/>
      <c r="D72" s="1"/>
      <c r="E72" s="1"/>
      <c r="F72" s="1"/>
      <c r="G72" s="184"/>
      <c r="H72" s="184"/>
      <c r="I72" s="1"/>
      <c r="J72" s="222"/>
      <c r="K72"/>
      <c r="L72" s="222"/>
      <c r="M72" s="22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1"/>
      <c r="B74" s="1"/>
      <c r="C74" s="1"/>
      <c r="D74" s="1"/>
      <c r="E74" s="1"/>
      <c r="F74" s="1"/>
      <c r="G74" s="184"/>
      <c r="H74" s="184"/>
      <c r="I74" s="1"/>
      <c r="J74" s="222"/>
      <c r="K74"/>
      <c r="L74" s="222"/>
      <c r="M74" s="222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1"/>
      <c r="B75" s="1"/>
      <c r="C75" s="1"/>
      <c r="D75" s="1"/>
      <c r="E75" s="1"/>
      <c r="F75" s="1"/>
      <c r="G75" s="184"/>
      <c r="H75" s="184"/>
      <c r="I75" s="1"/>
      <c r="J75" s="222"/>
      <c r="K75"/>
      <c r="L75" s="222"/>
      <c r="M75" s="222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1"/>
      <c r="B76" s="1"/>
      <c r="C76" s="1"/>
      <c r="D76" s="1"/>
      <c r="E76" s="1"/>
      <c r="F76" s="1"/>
      <c r="G76" s="184"/>
      <c r="H76" s="184"/>
      <c r="I76" s="1"/>
      <c r="J76" s="222"/>
      <c r="K76"/>
      <c r="L76" s="222"/>
      <c r="M76" s="222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1"/>
      <c r="B79" s="1"/>
      <c r="C79" s="1"/>
      <c r="D79" s="1"/>
      <c r="E79" s="1"/>
      <c r="F79" s="1"/>
      <c r="G79" s="184"/>
      <c r="H79" s="184"/>
      <c r="I79" s="1"/>
      <c r="J79" s="222"/>
      <c r="K79"/>
      <c r="L79" s="222"/>
      <c r="M79" s="222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1"/>
      <c r="B86" s="1"/>
      <c r="C86" s="1"/>
      <c r="D86" s="1"/>
      <c r="E86" s="1"/>
      <c r="F86" s="1"/>
      <c r="G86" s="184"/>
      <c r="H86" s="184"/>
      <c r="I86" s="1"/>
      <c r="J86" s="222"/>
      <c r="K86"/>
      <c r="L86" s="222"/>
      <c r="M86" s="222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1"/>
      <c r="B89" s="1"/>
      <c r="C89" s="1"/>
      <c r="D89" s="1"/>
      <c r="E89" s="1"/>
      <c r="F89" s="1"/>
      <c r="G89" s="184"/>
      <c r="H89" s="184"/>
      <c r="I89" s="1"/>
      <c r="J89" s="222"/>
      <c r="K89"/>
      <c r="L89" s="222"/>
      <c r="M89" s="222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1"/>
      <c r="B95" s="1"/>
      <c r="C95" s="1"/>
      <c r="D95" s="1"/>
      <c r="E95" s="1"/>
      <c r="F95" s="1"/>
      <c r="G95" s="184"/>
      <c r="H95" s="184"/>
      <c r="I95" s="1"/>
      <c r="J95" s="222"/>
      <c r="K95"/>
      <c r="L95" s="222"/>
      <c r="M95" s="222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1"/>
      <c r="B100" s="1"/>
      <c r="C100" s="1"/>
      <c r="D100" s="1"/>
      <c r="E100" s="1"/>
      <c r="F100" s="1"/>
      <c r="G100" s="184"/>
      <c r="H100" s="184"/>
      <c r="I100" s="1"/>
      <c r="J100" s="222"/>
      <c r="K100"/>
      <c r="L100" s="222"/>
      <c r="M100" s="222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1"/>
      <c r="B105" s="1"/>
      <c r="C105" s="1"/>
      <c r="D105" s="1"/>
      <c r="E105" s="1"/>
      <c r="F105" s="1"/>
      <c r="G105" s="184"/>
      <c r="H105" s="184"/>
      <c r="I105" s="1"/>
      <c r="J105" s="222"/>
      <c r="K105"/>
      <c r="L105" s="222"/>
      <c r="M105" s="222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1"/>
      <c r="B106" s="1"/>
      <c r="C106" s="1"/>
      <c r="D106" s="1"/>
      <c r="E106" s="1"/>
      <c r="F106" s="1"/>
      <c r="G106" s="184"/>
      <c r="H106" s="184"/>
      <c r="I106" s="1"/>
      <c r="J106" s="222"/>
      <c r="K106"/>
      <c r="L106" s="222"/>
      <c r="M106" s="222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1"/>
      <c r="B109" s="1"/>
      <c r="C109" s="1"/>
      <c r="D109" s="1"/>
      <c r="E109" s="1"/>
      <c r="F109" s="1"/>
      <c r="G109" s="184"/>
      <c r="H109" s="184"/>
      <c r="I109" s="1"/>
      <c r="J109" s="222"/>
      <c r="K109"/>
      <c r="L109" s="222"/>
      <c r="M109" s="222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1"/>
      <c r="B112" s="1"/>
      <c r="C112" s="1"/>
      <c r="D112" s="1"/>
      <c r="E112" s="1"/>
      <c r="F112" s="1"/>
      <c r="G112" s="184"/>
      <c r="H112" s="184"/>
      <c r="I112" s="1"/>
      <c r="J112" s="222"/>
      <c r="K112"/>
      <c r="L112" s="222"/>
      <c r="M112" s="22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1"/>
      <c r="B113" s="1"/>
      <c r="C113" s="1"/>
      <c r="D113" s="1"/>
      <c r="E113" s="1"/>
      <c r="F113" s="1"/>
      <c r="G113" s="184"/>
      <c r="H113" s="184"/>
      <c r="I113" s="1"/>
      <c r="J113" s="222"/>
      <c r="K113"/>
      <c r="L113" s="222"/>
      <c r="M113" s="222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1"/>
      <c r="B114" s="1"/>
      <c r="C114" s="1"/>
      <c r="D114" s="1"/>
      <c r="E114" s="1"/>
      <c r="F114" s="1"/>
      <c r="G114" s="184"/>
      <c r="H114" s="184"/>
      <c r="I114" s="1"/>
      <c r="J114" s="222"/>
      <c r="K114"/>
      <c r="L114" s="222"/>
      <c r="M114" s="222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sheetProtection algorithmName="SHA-512" hashValue="4UwtFndr7XCXZIXqueUB+B8Y5WNGnp6dFWiO+GZwgglkE57oRlFvoBagKqTr46dCLk/xeEmH18xvhLM237MXKg==" saltValue="XOk54qHEuCNqU9f9USY94w==" spinCount="100000" sheet="1" objects="1" scenarios="1"/>
  <conditionalFormatting sqref="A1:AJ1">
    <cfRule type="expression" dxfId="321" priority="1">
      <formula>#REF!&lt;#REF!</formula>
    </cfRule>
  </conditionalFormatting>
  <conditionalFormatting sqref="A2:AJ15">
    <cfRule type="expression" dxfId="320" priority="2">
      <formula>$AL1048369&lt;#REF!</formula>
    </cfRule>
  </conditionalFormatting>
  <conditionalFormatting sqref="AJ2:AJ15">
    <cfRule type="iconSet" priority="3">
      <iconSet iconSet="3Arrows">
        <cfvo type="percent" val="0"/>
        <cfvo type="percent" val="33"/>
        <cfvo type="percent" val="67"/>
      </iconSet>
    </cfRule>
    <cfRule type="cellIs" dxfId="319" priority="4" operator="lessThan">
      <formula>-40</formula>
    </cfRule>
    <cfRule type="cellIs" dxfId="318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F7" sqref="F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" zoomScale="130" zoomScaleNormal="130" workbookViewId="0">
      <pane xSplit="1" topLeftCell="B1" activePane="topRight" state="frozen"/>
      <selection pane="topRight" activeCell="G8" sqref="G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188">
        <f>Прайс[[#This Row],[KFS-SB-BYT]]</f>
        <v>11560</v>
      </c>
      <c r="BR5" s="188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188">
        <f>Прайс[[#This Row],[Корзина с держателем для бутылок 414*500*520 мм]]+Прайс[[#This Row],[КФ евровинт]]*2</f>
        <v>10540</v>
      </c>
      <c r="BR6" s="188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26">
        <f>Прайс[[#This Row],[KFN-SB-M54]]+Прайс[[#This Row],[KFN-SB-MD]]</f>
        <v>650</v>
      </c>
      <c r="BQ19" s="26">
        <f>Прайс[[#This Row],[KFN-SB-M54]]+Прайс[[#This Row],[KFN-SB-MD]]</f>
        <v>650</v>
      </c>
      <c r="BR19" s="26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>
        <f>'комплекты фурнитуры'!$C$69</f>
        <v>130</v>
      </c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f>Прайс[[#This Row],[КФ  крепления профиля Gola]]+Прайс[[#This Row],[KFP-SB-N110]]*2</f>
        <v>650</v>
      </c>
      <c r="BR23" s="26">
        <f>Прайс[[#This Row],[КФ  крепления профиля Gola]]+Прайс[[#This Row],[KFP-SB-N110]]*2</f>
        <v>650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>
        <f>'комплекты фурнитуры'!$C$69</f>
        <v>130</v>
      </c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f>Прайс[[#This Row],[КФ  крепления профиля Gola]]+Прайс[[#This Row],[KFP-SB-N110]]*2</f>
        <v>650</v>
      </c>
      <c r="BR24" s="26">
        <f>Прайс[[#This Row],[КФ  крепления профиля Gola]]+Прайс[[#This Row],[KFP-SB-N110]]*2</f>
        <v>650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f>Прайс[[#This Row],[Комплект для ящика Hettich ATIRA Серый с реллингом, NL-470, H-176]]*2+Прайс[[#This Row],[КФ  крепления профиля Gola]]*2</f>
        <v>14100</v>
      </c>
      <c r="BR25" s="188">
        <f>Прайс[[#This Row],[Комплект для ящика Hettich ATIRA Серый с реллингом, NL-470, H-176]]*2+Прайс[[#This Row],[КФ  крепления профиля Gola]]*2</f>
        <v>14100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188">
        <f>Прайс[[#This Row],[KFS-SB-BYT]]+Прайс[[#This Row],[КФ евровинт]]*2+Прайс[[#This Row],[КФ  крепления профиля Gola]]</f>
        <v>11950</v>
      </c>
      <c r="BR27" s="188">
        <f>Прайс[[#This Row],[KFS-SB-BYT]]+Прайс[[#This Row],[КФ евровинт]]*2+Прайс[[#This Row],[КФ  крепления профиля Gola]]</f>
        <v>11950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>
        <f>'комплекты фурнитуры'!$C$69</f>
        <v>130</v>
      </c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188">
        <f>Прайс[[#This Row],[КФ петли SENS накл.110 гр. с крестообр. Планкой]]*2+Прайс[[#This Row],[КФ  крепления профиля Gola]]</f>
        <v>1630</v>
      </c>
      <c r="BR29" s="188">
        <f>Прайс[[#This Row],[КФ петли SENS накл.110 гр. с крестообр. Планкой]]*2+Прайс[[#This Row],[КФ  крепления профиля Gola]]</f>
        <v>1630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>
        <f>'комплекты фурнитуры'!$C$69</f>
        <v>130</v>
      </c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188">
        <f>Прайс[[#This Row],[КФ петли SENS накл.110 гр. с крестообр. Планкой]]*4+Прайс[[#This Row],[КФ  крепления профиля Gola]]</f>
        <v>2870</v>
      </c>
      <c r="BR30" s="188">
        <f>Прайс[[#This Row],[КФ петли SENS накл.110 гр. с крестообр. Планкой]]*4+Прайс[[#This Row],[КФ  крепления профиля Gola]]</f>
        <v>2870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188">
        <f>Прайс[[#This Row],[KFP-SB-PPHF_W]]</f>
        <v>13990</v>
      </c>
      <c r="BR40" s="188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s="194" customFormat="1" ht="15" customHeight="1" x14ac:dyDescent="0.25">
      <c r="A41" s="247" t="s">
        <v>486</v>
      </c>
      <c r="B41" s="237" t="s">
        <v>7</v>
      </c>
      <c r="C41" s="237" t="s">
        <v>815</v>
      </c>
      <c r="D41" s="237" t="s">
        <v>70</v>
      </c>
      <c r="E41" s="237" t="s">
        <v>10</v>
      </c>
      <c r="F41" s="237" t="s">
        <v>88</v>
      </c>
      <c r="G41" s="238">
        <v>360</v>
      </c>
      <c r="H41" s="238">
        <v>1250</v>
      </c>
      <c r="I41" s="238">
        <v>595</v>
      </c>
      <c r="J41" s="238">
        <v>1000</v>
      </c>
      <c r="K41" s="238">
        <v>315</v>
      </c>
      <c r="L41" s="238">
        <v>560</v>
      </c>
      <c r="M41" s="237"/>
      <c r="N41" s="239"/>
      <c r="O41" s="240">
        <v>2580</v>
      </c>
      <c r="P41" s="240"/>
      <c r="Q41" s="240"/>
      <c r="R41" s="237"/>
      <c r="S41" s="237"/>
      <c r="T41" s="237"/>
      <c r="U41" s="237"/>
      <c r="V41" s="237"/>
      <c r="W41" s="237"/>
      <c r="X41" s="237"/>
      <c r="Y41" s="237"/>
      <c r="Z41" s="237"/>
      <c r="AA41" s="237">
        <f>'комплекты фурнитуры'!$C$21</f>
        <v>1130</v>
      </c>
      <c r="AB41" s="237"/>
      <c r="AC41" s="237"/>
      <c r="AD41" s="237"/>
      <c r="AE41" s="237"/>
      <c r="AF41" s="237">
        <f>'комплекты фурнитуры'!$C$78</f>
        <v>210</v>
      </c>
      <c r="AG41" s="237">
        <f>'комплекты фурнитуры'!$C$79</f>
        <v>20</v>
      </c>
      <c r="AH41" s="241">
        <f>SUM(Прайс[[#This Row],[КФ НСТ11]:[KFPr-SB-ZPG]])</f>
        <v>1360</v>
      </c>
      <c r="AI41" s="241"/>
      <c r="AJ41" s="237">
        <f>'комплекты фурнитуры'!$C$84</f>
        <v>30</v>
      </c>
      <c r="AK41" s="237">
        <f>'комплекты фурнитуры'!$C$96</f>
        <v>20</v>
      </c>
      <c r="AL41" s="237"/>
      <c r="AM41" s="241"/>
      <c r="AN41" s="241"/>
      <c r="AO41" s="241">
        <f>'комплекты фурнитуры'!$C$62</f>
        <v>1300</v>
      </c>
      <c r="AP41" s="241">
        <f>'комплекты фурнитуры'!$C$64</f>
        <v>480</v>
      </c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4">
        <f>Прайс[[#This Row],[KFPr-SB-SPL]]+Прайс[[#This Row],[KFPr-SB-SMRZ_16мм]]+Прайс[[#This Row],[КФ петли вклад. 95 гр. с крестообр. планкой]]*2</f>
        <v>2650</v>
      </c>
      <c r="BQ41" s="245">
        <f>Прайс[[#This Row],[KFPr-SB-SPL]]+Прайс[[#This Row],[KFPr-SB-SMRZ_16мм]]+Прайс[[#This Row],[KFP-SB-PY94]]*2</f>
        <v>1010</v>
      </c>
      <c r="BR41" s="245">
        <f>Прайс[[#This Row],[KFPr-SB-SPL]]+Прайс[[#This Row],[KFPr-SB-SMRZ_16мм]]+Прайс[[#This Row],[KFP-SB-PY94]]*2</f>
        <v>1010</v>
      </c>
      <c r="BS41" s="193">
        <v>600</v>
      </c>
      <c r="BT41" s="193">
        <v>720</v>
      </c>
      <c r="BU41" s="193">
        <v>560</v>
      </c>
      <c r="BV41" s="246">
        <v>1.08</v>
      </c>
      <c r="BW41" s="246">
        <v>1.0649999999999999</v>
      </c>
      <c r="BX41" s="245">
        <v>0</v>
      </c>
      <c r="BY41" s="193">
        <v>0</v>
      </c>
      <c r="BZ41" s="193">
        <v>2</v>
      </c>
      <c r="CA41" s="193" t="s">
        <v>72</v>
      </c>
      <c r="CB41" s="245" t="s">
        <v>488</v>
      </c>
      <c r="CC41" s="193">
        <v>1</v>
      </c>
      <c r="CD41" s="193" t="s">
        <v>72</v>
      </c>
      <c r="CE41" s="193">
        <v>2900</v>
      </c>
      <c r="CF41" s="193"/>
      <c r="CG41" s="193"/>
      <c r="CH41" s="193">
        <v>1</v>
      </c>
      <c r="CJ41" s="194" t="s">
        <v>543</v>
      </c>
      <c r="CL41" s="194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188">
        <f>Прайс[[#This Row],[KFS-SB-45 (посудосушители)]]+Прайс[[#This Row],[KFP-SB-PPHF_W]]</f>
        <v>15580</v>
      </c>
      <c r="BR50" s="188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188">
        <f>Прайс[[#This Row],[KFP-SP-PPGK]]+Прайс[[#This Row],[KFS-SB-45 (посудосушители)]]</f>
        <v>7080</v>
      </c>
      <c r="BR51" s="188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188">
        <f>Прайс[[#This Row],[KFP-SP-PPGK]]+Прайс[[#This Row],[КФ Сушка AFF 600]]</f>
        <v>7080</v>
      </c>
      <c r="BR52" s="188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188">
        <f>Прайс[[#This Row],[KFP-SP-PPGK]]+Прайс[[#This Row],[КФ Сушка AFF 600]]</f>
        <v>7080</v>
      </c>
      <c r="BR53" s="188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188">
        <f>Прайс[[#This Row],[KFP-SB-PPHF_W]]</f>
        <v>13990</v>
      </c>
      <c r="BR57" s="188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f>Прайс[[#This Row],[KFP-SB-PY94]]*2</f>
        <v>960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188">
        <f>Прайс[[#This Row],[КФ KEKU]]*4+Прайс[[#This Row],[КФ петли SENS накл.110 гр. с крестообр. Планкой]]*3</f>
        <v>3020</v>
      </c>
      <c r="BR62" s="188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188">
        <f>Прайс[[#This Row],[КФ KEKU]]*4+Прайс[[#This Row],[КФ петли SENS накл.110 гр. с крестообр. Планкой]]*5</f>
        <v>4260</v>
      </c>
      <c r="BR67" s="188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188">
        <f>Прайс[[#This Row],[КФ KEKU]]*4+Прайс[[#This Row],[КФ петли SENS накл.110 гр. с крестообр. Планкой]]*5</f>
        <v>4260</v>
      </c>
      <c r="BR69" s="188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188">
        <f>Прайс[[#This Row],[КФ KEKU]]*4+Прайс[[#This Row],[КФ петли SENS накл.110 гр. с крестообр. Планкой]]*4</f>
        <v>3640</v>
      </c>
      <c r="BR74" s="188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188">
        <f>Прайс[[#This Row],[КФ KEKU]]*4+Прайс[[#This Row],[КФ петли SENS накл.110 гр. с крестообр. Планкой]]*4</f>
        <v>3640</v>
      </c>
      <c r="BR75" s="188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f>Прайс[[#This Row],[KFP-SP-PPA]]+Прайс[[#This Row],[KFP-SB-N110]]*4</f>
        <v>2810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63"/>
      <c r="Q118" s="263"/>
      <c r="R118" s="263"/>
      <c r="S118" s="263"/>
      <c r="T118" s="263"/>
      <c r="U118" s="263"/>
      <c r="V118" s="263"/>
      <c r="W118" s="263"/>
      <c r="X118" s="263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sheetProtection algorithmName="SHA-512" hashValue="bCOsaaQC5Ty8cjgWn7e1vDTSTK9SI4dYEX+1whIssPttYiKbXJOYy5Lcxr7MCUhLLzYWudVBTqMtGBVcD8OqqA==" saltValue="r3E8Zy1GkpKZphbgv6nJWA==" spinCount="100000" sheet="1" objects="1" scenarios="1"/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K148"/>
  <sheetViews>
    <sheetView topLeftCell="BL1" zoomScale="85" zoomScaleNormal="85" workbookViewId="0">
      <selection activeCell="BQ8" sqref="BQ8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1" width="30.42578125" style="62" customWidth="1"/>
    <col min="52" max="53" width="15.5703125" style="62" bestFit="1" customWidth="1"/>
    <col min="54" max="54" width="24" style="62" bestFit="1" customWidth="1"/>
    <col min="55" max="55" width="17.42578125" style="62" bestFit="1" customWidth="1"/>
    <col min="56" max="56" width="20.85546875" style="62" bestFit="1" customWidth="1"/>
    <col min="57" max="57" width="18.7109375" style="62" bestFit="1" customWidth="1"/>
    <col min="58" max="59" width="18.7109375" style="62" customWidth="1"/>
    <col min="60" max="60" width="54.42578125" style="62" bestFit="1" customWidth="1"/>
    <col min="61" max="61" width="18.7109375" style="62" customWidth="1"/>
    <col min="62" max="62" width="33.85546875" style="62" bestFit="1" customWidth="1"/>
    <col min="63" max="63" width="33.85546875" style="62" customWidth="1"/>
    <col min="64" max="64" width="42.140625" style="62" bestFit="1" customWidth="1"/>
    <col min="65" max="65" width="12.7109375" style="62" bestFit="1" customWidth="1"/>
    <col min="66" max="68" width="9.140625" style="62"/>
    <col min="69" max="69" width="86.42578125" style="62" bestFit="1" customWidth="1"/>
    <col min="70" max="70" width="10.7109375" style="62" bestFit="1" customWidth="1"/>
    <col min="71" max="72" width="9.140625" style="62"/>
    <col min="73" max="73" width="70.85546875" style="62" bestFit="1" customWidth="1"/>
    <col min="74" max="74" width="9" style="62" customWidth="1"/>
    <col min="75" max="75" width="9.140625" style="62"/>
    <col min="76" max="76" width="80.85546875" style="62" bestFit="1" customWidth="1"/>
    <col min="77" max="77" width="10.85546875" style="62" customWidth="1"/>
    <col min="78" max="80" width="9.140625" style="62"/>
    <col min="81" max="81" width="19.7109375" style="62" customWidth="1"/>
    <col min="82" max="83" width="9.140625" style="62"/>
    <col min="84" max="84" width="56.85546875" style="62" bestFit="1" customWidth="1"/>
    <col min="85" max="85" width="16.7109375" style="62" bestFit="1" customWidth="1"/>
    <col min="86" max="86" width="31" style="62" bestFit="1" customWidth="1"/>
    <col min="87" max="87" width="19" style="62" bestFit="1" customWidth="1"/>
    <col min="88" max="88" width="9.140625" style="62" customWidth="1"/>
    <col min="89" max="91" width="9.140625" style="62"/>
    <col min="92" max="92" width="39.85546875" style="62" bestFit="1" customWidth="1"/>
    <col min="93" max="95" width="9.140625" style="62"/>
    <col min="96" max="96" width="56.42578125" style="62" bestFit="1" customWidth="1"/>
    <col min="97" max="97" width="21.140625" style="62" bestFit="1" customWidth="1"/>
    <col min="98" max="98" width="29.5703125" style="62" bestFit="1" customWidth="1"/>
    <col min="99" max="99" width="65.140625" style="62" bestFit="1" customWidth="1"/>
    <col min="100" max="100" width="12" style="62" bestFit="1" customWidth="1"/>
    <col min="101" max="103" width="9.140625" style="62"/>
    <col min="104" max="104" width="65.85546875" style="62" bestFit="1" customWidth="1"/>
    <col min="105" max="105" width="26.42578125" style="62" bestFit="1" customWidth="1"/>
    <col min="106" max="106" width="19.140625" style="62" bestFit="1" customWidth="1"/>
    <col min="107" max="107" width="22" style="62" bestFit="1" customWidth="1"/>
    <col min="108" max="108" width="24.28515625" style="62" bestFit="1" customWidth="1"/>
    <col min="109" max="113" width="21.140625" style="62" bestFit="1" customWidth="1"/>
    <col min="114" max="126" width="9.140625" style="62"/>
    <col min="127" max="127" width="82.7109375" style="62" bestFit="1" customWidth="1"/>
    <col min="128" max="128" width="9" style="62" bestFit="1" customWidth="1"/>
    <col min="129" max="16384" width="9.140625" style="62"/>
  </cols>
  <sheetData>
    <row r="1" spans="2:130" ht="30" customHeight="1" x14ac:dyDescent="0.25">
      <c r="B1" s="62" t="s">
        <v>136</v>
      </c>
      <c r="E1" s="62" t="s">
        <v>112</v>
      </c>
      <c r="K1" s="264" t="s">
        <v>138</v>
      </c>
      <c r="L1" s="264"/>
      <c r="M1" s="264"/>
      <c r="N1" s="264"/>
      <c r="O1" s="264"/>
      <c r="P1" s="264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62" t="s">
        <v>436</v>
      </c>
      <c r="AZ1" s="95" t="s">
        <v>485</v>
      </c>
      <c r="BB1" s="264" t="s">
        <v>693</v>
      </c>
      <c r="BC1" s="264"/>
      <c r="BD1" s="264"/>
      <c r="BE1" s="264"/>
      <c r="BF1" s="148"/>
      <c r="BG1" s="148"/>
      <c r="BJ1" s="148"/>
      <c r="BK1" s="148"/>
      <c r="BL1" s="148" t="s">
        <v>700</v>
      </c>
      <c r="BM1" s="148"/>
      <c r="BN1" s="148"/>
      <c r="BQ1" s="265" t="s">
        <v>741</v>
      </c>
      <c r="BR1" s="265"/>
      <c r="BU1" s="266" t="s">
        <v>742</v>
      </c>
      <c r="BV1" s="266"/>
      <c r="BX1" s="266" t="s">
        <v>743</v>
      </c>
      <c r="BY1" s="266"/>
      <c r="CB1" s="62" t="s">
        <v>550</v>
      </c>
      <c r="CF1" s="265" t="s">
        <v>573</v>
      </c>
      <c r="CG1" s="265"/>
      <c r="CH1" s="265"/>
      <c r="CI1" s="265"/>
      <c r="CJ1" s="265"/>
      <c r="CK1" s="127"/>
      <c r="CL1" s="127"/>
      <c r="CM1" s="127"/>
      <c r="CN1" s="265" t="s">
        <v>692</v>
      </c>
      <c r="CO1" s="265"/>
      <c r="CR1" s="265" t="s">
        <v>691</v>
      </c>
      <c r="CS1" s="265"/>
      <c r="CT1" s="265"/>
      <c r="CU1" s="265"/>
      <c r="CV1" s="265"/>
      <c r="CZ1" s="62" t="s">
        <v>444</v>
      </c>
    </row>
    <row r="2" spans="2:130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62">
        <v>1</v>
      </c>
      <c r="BB2" s="62" t="s">
        <v>548</v>
      </c>
      <c r="BC2" s="56" t="s">
        <v>547</v>
      </c>
      <c r="BD2" s="56" t="s">
        <v>554</v>
      </c>
      <c r="BE2" s="62" t="s">
        <v>482</v>
      </c>
      <c r="BF2" s="62" t="s">
        <v>436</v>
      </c>
      <c r="BH2" s="264" t="s">
        <v>699</v>
      </c>
      <c r="BI2" s="264"/>
      <c r="BJ2" s="264"/>
      <c r="BK2" s="61"/>
      <c r="BL2" s="62" t="s">
        <v>701</v>
      </c>
      <c r="BQ2" s="62" t="s">
        <v>350</v>
      </c>
      <c r="BR2" s="62" t="s">
        <v>509</v>
      </c>
      <c r="BU2" s="163" t="s">
        <v>350</v>
      </c>
      <c r="BV2" s="163" t="s">
        <v>509</v>
      </c>
      <c r="BX2" s="163" t="s">
        <v>350</v>
      </c>
      <c r="BY2" s="163" t="s">
        <v>509</v>
      </c>
      <c r="CF2" s="133" t="s">
        <v>574</v>
      </c>
      <c r="CG2" s="134" t="s">
        <v>5</v>
      </c>
      <c r="CH2" s="133" t="s">
        <v>115</v>
      </c>
      <c r="CI2" s="133" t="s">
        <v>126</v>
      </c>
      <c r="CJ2" s="134" t="s">
        <v>509</v>
      </c>
      <c r="CN2" s="123" t="s">
        <v>548</v>
      </c>
      <c r="CO2" s="123" t="s">
        <v>509</v>
      </c>
      <c r="CP2" s="128"/>
      <c r="CQ2" s="129"/>
      <c r="CR2" s="62" t="s">
        <v>676</v>
      </c>
      <c r="CS2" s="62" t="s">
        <v>126</v>
      </c>
      <c r="CT2" s="62" t="s">
        <v>5</v>
      </c>
      <c r="CU2" s="62" t="s">
        <v>675</v>
      </c>
      <c r="CV2" s="62" t="s">
        <v>509</v>
      </c>
      <c r="CW2" s="129"/>
      <c r="CZ2" s="62" t="s">
        <v>445</v>
      </c>
      <c r="DA2" s="62" t="s">
        <v>446</v>
      </c>
      <c r="DB2" s="62" t="s">
        <v>122</v>
      </c>
      <c r="DC2" s="62" t="s">
        <v>460</v>
      </c>
      <c r="DD2" s="62" t="s">
        <v>461</v>
      </c>
      <c r="DE2" s="62" t="s">
        <v>475</v>
      </c>
      <c r="DF2" s="62" t="s">
        <v>476</v>
      </c>
      <c r="DG2" s="62" t="s">
        <v>477</v>
      </c>
      <c r="DH2" s="62" t="s">
        <v>478</v>
      </c>
      <c r="DJ2" s="62">
        <f>DG3/3*3600/1000</f>
        <v>7224</v>
      </c>
    </row>
    <row r="3" spans="2:130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62">
        <v>1</v>
      </c>
      <c r="BB3" s="84" t="s">
        <v>545</v>
      </c>
      <c r="BC3" s="83">
        <v>4850</v>
      </c>
      <c r="BD3" s="99">
        <v>0</v>
      </c>
      <c r="BE3" s="76" t="s">
        <v>10</v>
      </c>
      <c r="BF3" s="258">
        <v>0</v>
      </c>
      <c r="BG3" s="76"/>
      <c r="BH3" s="90" t="s">
        <v>548</v>
      </c>
      <c r="BI3" s="90" t="s">
        <v>482</v>
      </c>
      <c r="BJ3" s="93" t="s">
        <v>694</v>
      </c>
      <c r="BK3" s="93"/>
      <c r="BL3" s="94" t="s">
        <v>702</v>
      </c>
      <c r="BQ3" s="56" t="s">
        <v>747</v>
      </c>
      <c r="BR3" s="139">
        <v>2392</v>
      </c>
      <c r="BU3" s="159" t="s">
        <v>647</v>
      </c>
      <c r="BV3" s="160">
        <v>3484</v>
      </c>
      <c r="BX3" s="159" t="s">
        <v>653</v>
      </c>
      <c r="BY3" s="160">
        <v>1123.2</v>
      </c>
      <c r="CF3" s="166" t="s">
        <v>748</v>
      </c>
      <c r="CG3" s="167" t="s">
        <v>493</v>
      </c>
      <c r="CH3" s="167" t="s">
        <v>493</v>
      </c>
      <c r="CI3" s="167" t="s">
        <v>493</v>
      </c>
      <c r="CJ3" s="152">
        <f>VLOOKUP(Ручки[[#This Row],[Категория]],Ценовые_категории_ручек[],2,0)</f>
        <v>770</v>
      </c>
      <c r="CK3" s="117"/>
      <c r="CN3" s="91" t="s">
        <v>577</v>
      </c>
      <c r="CO3" s="144">
        <v>50</v>
      </c>
      <c r="CP3" s="131"/>
      <c r="CQ3" s="117"/>
      <c r="CR3" s="147" t="s">
        <v>664</v>
      </c>
      <c r="CS3" s="147" t="s">
        <v>127</v>
      </c>
      <c r="CT3" s="147" t="s">
        <v>677</v>
      </c>
      <c r="CU3" s="135" t="s">
        <v>686</v>
      </c>
      <c r="CV3" s="157">
        <v>4362</v>
      </c>
      <c r="CY3" s="156"/>
      <c r="CZ3" s="70" t="s">
        <v>447</v>
      </c>
      <c r="DA3" s="62" t="s">
        <v>459</v>
      </c>
      <c r="DB3" s="62">
        <v>38</v>
      </c>
      <c r="DC3" s="62">
        <v>3000</v>
      </c>
      <c r="DD3" s="62">
        <v>1200</v>
      </c>
      <c r="DE3" s="71">
        <v>2536</v>
      </c>
      <c r="DF3" s="71">
        <v>4278</v>
      </c>
      <c r="DG3" s="71">
        <v>6020</v>
      </c>
      <c r="DH3" s="71">
        <f>ROUND(3650/1000/3*Столешницы[[#This Row],[600 х 3000]],0)</f>
        <v>7324</v>
      </c>
    </row>
    <row r="4" spans="2:130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62">
        <v>2</v>
      </c>
      <c r="BB4" s="85" t="s">
        <v>546</v>
      </c>
      <c r="BC4" s="82">
        <v>5808</v>
      </c>
      <c r="BD4" s="86">
        <v>9206</v>
      </c>
      <c r="BE4" s="76" t="s">
        <v>72</v>
      </c>
      <c r="BF4" s="258">
        <v>0</v>
      </c>
      <c r="BG4" s="76"/>
      <c r="BH4" s="230" t="s">
        <v>695</v>
      </c>
      <c r="BI4" s="90" t="s">
        <v>10</v>
      </c>
      <c r="BJ4" s="149">
        <v>4218</v>
      </c>
      <c r="BK4" s="149"/>
      <c r="BL4" s="94" t="s">
        <v>703</v>
      </c>
      <c r="BQ4" s="67" t="s">
        <v>511</v>
      </c>
      <c r="BR4" s="140">
        <v>520</v>
      </c>
      <c r="BU4" s="67" t="s">
        <v>648</v>
      </c>
      <c r="BV4" s="141">
        <v>312</v>
      </c>
      <c r="BX4" s="67" t="s">
        <v>654</v>
      </c>
      <c r="BY4" s="141">
        <v>1123.2</v>
      </c>
      <c r="CC4" s="77" t="s">
        <v>483</v>
      </c>
      <c r="CD4" s="78">
        <v>1.25</v>
      </c>
      <c r="CF4" s="166" t="s">
        <v>539</v>
      </c>
      <c r="CG4" s="167" t="s">
        <v>493</v>
      </c>
      <c r="CH4" s="167" t="s">
        <v>493</v>
      </c>
      <c r="CI4" s="167" t="s">
        <v>493</v>
      </c>
      <c r="CJ4" s="152">
        <f>VLOOKUP(Ручки[[#This Row],[Категория]],Ценовые_категории_ручек[],2,0)</f>
        <v>770</v>
      </c>
      <c r="CN4" s="91" t="s">
        <v>545</v>
      </c>
      <c r="CO4" s="144">
        <v>257</v>
      </c>
      <c r="CP4" s="117"/>
      <c r="CR4" s="147" t="s">
        <v>665</v>
      </c>
      <c r="CS4" s="147" t="s">
        <v>127</v>
      </c>
      <c r="CT4" s="147" t="s">
        <v>678</v>
      </c>
      <c r="CU4" s="135" t="s">
        <v>680</v>
      </c>
      <c r="CV4" s="158">
        <v>2618</v>
      </c>
      <c r="CY4" s="156"/>
      <c r="CZ4" s="70" t="s">
        <v>448</v>
      </c>
      <c r="DA4" s="62" t="s">
        <v>459</v>
      </c>
      <c r="DB4" s="62">
        <v>38</v>
      </c>
      <c r="DC4" s="62">
        <v>3000</v>
      </c>
      <c r="DD4" s="62">
        <v>600</v>
      </c>
      <c r="DE4" s="71">
        <v>2536</v>
      </c>
      <c r="DF4" s="71">
        <v>4278</v>
      </c>
      <c r="DG4" s="71">
        <v>6020</v>
      </c>
      <c r="DH4" s="71">
        <f>ROUND(3650/1000/3*Столешницы[[#This Row],[600 х 3000]],0)</f>
        <v>7324</v>
      </c>
    </row>
    <row r="5" spans="2:130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62">
        <v>3</v>
      </c>
      <c r="BB5" s="84" t="s">
        <v>558</v>
      </c>
      <c r="BC5" s="83">
        <v>7745</v>
      </c>
      <c r="BD5" s="87">
        <v>12274</v>
      </c>
      <c r="BE5" s="76" t="s">
        <v>72</v>
      </c>
      <c r="BF5" s="258">
        <v>0</v>
      </c>
      <c r="BG5" s="76"/>
      <c r="BH5" s="230" t="s">
        <v>696</v>
      </c>
      <c r="BI5" s="90" t="s">
        <v>10</v>
      </c>
      <c r="BJ5" s="149">
        <v>3786</v>
      </c>
      <c r="BK5" s="149"/>
      <c r="BL5" s="94" t="s">
        <v>704</v>
      </c>
      <c r="BQ5" s="67" t="s">
        <v>512</v>
      </c>
      <c r="BR5" s="140">
        <v>312</v>
      </c>
      <c r="BU5" s="159" t="s">
        <v>649</v>
      </c>
      <c r="BV5" s="160">
        <v>312</v>
      </c>
      <c r="BX5" s="159" t="s">
        <v>655</v>
      </c>
      <c r="BY5" s="160">
        <v>1123.2</v>
      </c>
      <c r="CF5" s="124" t="s">
        <v>608</v>
      </c>
      <c r="CG5" s="118" t="s">
        <v>583</v>
      </c>
      <c r="CH5" s="91" t="s">
        <v>545</v>
      </c>
      <c r="CI5" s="135" t="s">
        <v>724</v>
      </c>
      <c r="CJ5" s="152">
        <f>VLOOKUP(Ручки[[#This Row],[Категория]],Ценовые_категории_ручек[],2,0)</f>
        <v>257</v>
      </c>
      <c r="CN5" s="123" t="s">
        <v>585</v>
      </c>
      <c r="CO5" s="145">
        <v>450</v>
      </c>
      <c r="CP5" s="117"/>
      <c r="CR5" s="147" t="s">
        <v>666</v>
      </c>
      <c r="CS5" s="147" t="s">
        <v>127</v>
      </c>
      <c r="CT5" s="147" t="s">
        <v>679</v>
      </c>
      <c r="CU5" s="135" t="s">
        <v>687</v>
      </c>
      <c r="CV5" s="157">
        <v>2092</v>
      </c>
      <c r="CY5" s="154"/>
      <c r="CZ5" s="70" t="s">
        <v>449</v>
      </c>
      <c r="DA5" s="62" t="s">
        <v>459</v>
      </c>
      <c r="DB5" s="62">
        <v>38</v>
      </c>
      <c r="DC5" s="62">
        <v>3000</v>
      </c>
      <c r="DD5" s="62">
        <v>1200</v>
      </c>
      <c r="DE5" s="71">
        <v>2536</v>
      </c>
      <c r="DF5" s="71">
        <v>4278</v>
      </c>
      <c r="DG5" s="71">
        <v>6020</v>
      </c>
      <c r="DH5" s="71">
        <f>ROUND(3650/1000/3*Столешницы[[#This Row],[600 х 3000]],0)</f>
        <v>7324</v>
      </c>
    </row>
    <row r="6" spans="2:130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62">
        <v>3</v>
      </c>
      <c r="BB6" s="84" t="s">
        <v>549</v>
      </c>
      <c r="BC6" s="83">
        <v>8520</v>
      </c>
      <c r="BD6" s="87">
        <v>13501</v>
      </c>
      <c r="BE6" s="76" t="s">
        <v>72</v>
      </c>
      <c r="BF6" s="258">
        <v>0.1</v>
      </c>
      <c r="BG6" s="76"/>
      <c r="BH6" s="90" t="s">
        <v>697</v>
      </c>
      <c r="BI6" s="90" t="s">
        <v>10</v>
      </c>
      <c r="BJ6" s="149">
        <v>3786</v>
      </c>
      <c r="BK6" s="149"/>
      <c r="BL6" s="94" t="s">
        <v>705</v>
      </c>
      <c r="BQ6" s="67" t="s">
        <v>744</v>
      </c>
      <c r="BR6" s="140">
        <v>2704</v>
      </c>
      <c r="BU6" s="67" t="s">
        <v>650</v>
      </c>
      <c r="BV6" s="141">
        <v>104</v>
      </c>
      <c r="BX6" s="67" t="s">
        <v>656</v>
      </c>
      <c r="BY6" s="141">
        <v>561.6</v>
      </c>
      <c r="CF6" s="124" t="s">
        <v>607</v>
      </c>
      <c r="CG6" s="118" t="s">
        <v>583</v>
      </c>
      <c r="CH6" s="91" t="s">
        <v>545</v>
      </c>
      <c r="CI6" s="135" t="s">
        <v>724</v>
      </c>
      <c r="CJ6" s="152">
        <f>VLOOKUP(Ручки[[#This Row],[Категория]],Ценовые_категории_ручек[],2,0)</f>
        <v>257</v>
      </c>
      <c r="CN6" s="123" t="s">
        <v>586</v>
      </c>
      <c r="CO6" s="145">
        <v>625</v>
      </c>
      <c r="CR6" s="147" t="s">
        <v>667</v>
      </c>
      <c r="CS6" s="147" t="s">
        <v>127</v>
      </c>
      <c r="CT6" s="147" t="s">
        <v>679</v>
      </c>
      <c r="CU6" s="135" t="s">
        <v>688</v>
      </c>
      <c r="CV6" s="157">
        <v>3139</v>
      </c>
      <c r="CY6" s="155"/>
      <c r="CZ6" s="70" t="s">
        <v>450</v>
      </c>
      <c r="DA6" s="62" t="s">
        <v>459</v>
      </c>
      <c r="DB6" s="62">
        <v>38</v>
      </c>
      <c r="DC6" s="62">
        <v>3000</v>
      </c>
      <c r="DD6" s="62">
        <v>1200</v>
      </c>
      <c r="DE6" s="71">
        <v>2536</v>
      </c>
      <c r="DF6" s="71">
        <v>4278</v>
      </c>
      <c r="DG6" s="71">
        <v>6020</v>
      </c>
      <c r="DH6" s="71">
        <f>ROUND(3650/1000/3*Столешницы[[#This Row],[600 х 3000]],0)</f>
        <v>7324</v>
      </c>
    </row>
    <row r="7" spans="2:130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56">
        <v>5</v>
      </c>
      <c r="BH7" s="230" t="s">
        <v>698</v>
      </c>
      <c r="BI7" s="90" t="s">
        <v>10</v>
      </c>
      <c r="BJ7" s="149">
        <v>2839</v>
      </c>
      <c r="BK7" s="149"/>
      <c r="BL7" s="94" t="s">
        <v>706</v>
      </c>
      <c r="BQ7" s="67" t="s">
        <v>513</v>
      </c>
      <c r="BR7" s="140">
        <v>312</v>
      </c>
      <c r="BU7" s="159" t="s">
        <v>651</v>
      </c>
      <c r="BV7" s="160">
        <v>104</v>
      </c>
      <c r="BX7" s="159" t="s">
        <v>657</v>
      </c>
      <c r="BY7" s="160">
        <v>561.6</v>
      </c>
      <c r="CF7" s="124" t="s">
        <v>606</v>
      </c>
      <c r="CG7" s="118" t="s">
        <v>583</v>
      </c>
      <c r="CH7" s="91" t="s">
        <v>545</v>
      </c>
      <c r="CI7" s="135" t="s">
        <v>724</v>
      </c>
      <c r="CJ7" s="152">
        <f>VLOOKUP(Ручки[[#This Row],[Категория]],Ценовые_категории_ручек[],2,0)</f>
        <v>257</v>
      </c>
      <c r="CN7" s="123" t="s">
        <v>587</v>
      </c>
      <c r="CO7" s="145">
        <v>800</v>
      </c>
      <c r="CR7" s="147" t="s">
        <v>668</v>
      </c>
      <c r="CS7" s="147" t="s">
        <v>127</v>
      </c>
      <c r="CT7" s="147" t="s">
        <v>679</v>
      </c>
      <c r="CU7" s="135" t="s">
        <v>681</v>
      </c>
      <c r="CV7" s="157">
        <v>3490</v>
      </c>
      <c r="CY7" s="156"/>
      <c r="CZ7" s="70" t="s">
        <v>451</v>
      </c>
      <c r="DA7" s="62" t="s">
        <v>459</v>
      </c>
      <c r="DB7" s="62">
        <v>38</v>
      </c>
      <c r="DC7" s="62">
        <v>3000</v>
      </c>
      <c r="DD7" s="62">
        <v>1200</v>
      </c>
      <c r="DE7" s="71">
        <v>2536</v>
      </c>
      <c r="DF7" s="71">
        <v>4278</v>
      </c>
      <c r="DG7" s="71">
        <v>6020</v>
      </c>
      <c r="DH7" s="71">
        <f>ROUND(3650/1000/3*Столешницы[[#This Row],[600 х 3000]],0)</f>
        <v>7324</v>
      </c>
      <c r="DX7" s="90"/>
      <c r="DY7" s="90"/>
      <c r="DZ7" s="149"/>
    </row>
    <row r="8" spans="2:130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62">
        <v>5</v>
      </c>
      <c r="BC8" s="98"/>
      <c r="BL8" s="94" t="s">
        <v>707</v>
      </c>
      <c r="BQ8" s="67" t="s">
        <v>745</v>
      </c>
      <c r="BR8" s="140">
        <v>4576</v>
      </c>
      <c r="BU8" s="67" t="s">
        <v>652</v>
      </c>
      <c r="BV8" s="141">
        <v>31.200000000000003</v>
      </c>
      <c r="BX8" s="67" t="s">
        <v>658</v>
      </c>
      <c r="BY8" s="141">
        <v>561.6</v>
      </c>
      <c r="CF8" s="124" t="s">
        <v>605</v>
      </c>
      <c r="CG8" s="118" t="s">
        <v>583</v>
      </c>
      <c r="CH8" s="91" t="s">
        <v>545</v>
      </c>
      <c r="CI8" s="135" t="s">
        <v>724</v>
      </c>
      <c r="CJ8" s="152">
        <f>VLOOKUP(Ручки[[#This Row],[Категория]],Ценовые_категории_ручек[],2,0)</f>
        <v>257</v>
      </c>
      <c r="CN8" s="132" t="s">
        <v>588</v>
      </c>
      <c r="CO8" s="145">
        <v>450</v>
      </c>
      <c r="CR8" s="147" t="s">
        <v>669</v>
      </c>
      <c r="CS8" s="147" t="s">
        <v>127</v>
      </c>
      <c r="CT8" s="147" t="s">
        <v>679</v>
      </c>
      <c r="CU8" s="135" t="s">
        <v>682</v>
      </c>
      <c r="CV8" s="157">
        <v>6278</v>
      </c>
      <c r="CY8" s="156"/>
      <c r="CZ8" s="70" t="s">
        <v>452</v>
      </c>
      <c r="DA8" s="62" t="s">
        <v>459</v>
      </c>
      <c r="DB8" s="62">
        <v>38</v>
      </c>
      <c r="DC8" s="62">
        <v>3000</v>
      </c>
      <c r="DD8" s="62">
        <v>1200</v>
      </c>
      <c r="DE8" s="71">
        <v>2536</v>
      </c>
      <c r="DF8" s="71">
        <v>4278</v>
      </c>
      <c r="DG8" s="71">
        <v>6020</v>
      </c>
      <c r="DH8" s="71">
        <f>ROUND(3650/1000/3*Столешницы[[#This Row],[600 х 3000]],0)</f>
        <v>7324</v>
      </c>
    </row>
    <row r="9" spans="2:130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62">
        <v>5</v>
      </c>
      <c r="BC9" s="98"/>
      <c r="BL9" s="94" t="s">
        <v>708</v>
      </c>
      <c r="BQ9" s="67" t="s">
        <v>746</v>
      </c>
      <c r="BR9" s="140">
        <v>4160</v>
      </c>
      <c r="BX9" s="159" t="s">
        <v>659</v>
      </c>
      <c r="BY9" s="160">
        <v>156</v>
      </c>
      <c r="CF9" s="124" t="s">
        <v>604</v>
      </c>
      <c r="CG9" s="118" t="s">
        <v>583</v>
      </c>
      <c r="CH9" s="91" t="s">
        <v>545</v>
      </c>
      <c r="CI9" s="135" t="s">
        <v>724</v>
      </c>
      <c r="CJ9" s="152">
        <f>VLOOKUP(Ручки[[#This Row],[Категория]],Ценовые_категории_ручек[],2,0)</f>
        <v>257</v>
      </c>
      <c r="CN9" s="132" t="s">
        <v>591</v>
      </c>
      <c r="CO9" s="145">
        <v>625</v>
      </c>
      <c r="CR9" s="147" t="s">
        <v>670</v>
      </c>
      <c r="CS9" s="147" t="s">
        <v>127</v>
      </c>
      <c r="CT9" s="147" t="s">
        <v>679</v>
      </c>
      <c r="CU9" s="135" t="s">
        <v>689</v>
      </c>
      <c r="CV9" s="157">
        <v>2092</v>
      </c>
      <c r="CY9" s="156"/>
      <c r="CZ9" s="70" t="s">
        <v>453</v>
      </c>
      <c r="DA9" s="62" t="s">
        <v>459</v>
      </c>
      <c r="DB9" s="62">
        <v>38</v>
      </c>
      <c r="DC9" s="62">
        <v>3000</v>
      </c>
      <c r="DD9" s="62">
        <v>1200</v>
      </c>
      <c r="DE9" s="71">
        <v>2536</v>
      </c>
      <c r="DF9" s="71">
        <v>4278</v>
      </c>
      <c r="DG9" s="71">
        <v>6020</v>
      </c>
      <c r="DH9" s="71">
        <f>ROUND(3650/1000/3*Столешницы[[#This Row],[600 х 3000]],0)</f>
        <v>7324</v>
      </c>
    </row>
    <row r="10" spans="2:130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62">
        <v>9</v>
      </c>
      <c r="BC10" s="96"/>
      <c r="BL10" s="94" t="s">
        <v>709</v>
      </c>
      <c r="BQ10" s="67" t="s">
        <v>514</v>
      </c>
      <c r="BR10" s="140">
        <v>374.4</v>
      </c>
      <c r="BX10" s="161" t="s">
        <v>660</v>
      </c>
      <c r="BY10" s="161">
        <v>809</v>
      </c>
      <c r="CF10" s="124" t="s">
        <v>603</v>
      </c>
      <c r="CG10" s="118" t="s">
        <v>583</v>
      </c>
      <c r="CH10" s="91" t="s">
        <v>545</v>
      </c>
      <c r="CI10" s="135" t="s">
        <v>724</v>
      </c>
      <c r="CJ10" s="152">
        <f>VLOOKUP(Ручки[[#This Row],[Категория]],Ценовые_категории_ручек[],2,0)</f>
        <v>257</v>
      </c>
      <c r="CN10" s="132" t="s">
        <v>592</v>
      </c>
      <c r="CO10" s="145">
        <v>800</v>
      </c>
      <c r="CR10" s="147" t="s">
        <v>671</v>
      </c>
      <c r="CS10" s="147" t="s">
        <v>127</v>
      </c>
      <c r="CT10" s="147" t="s">
        <v>679</v>
      </c>
      <c r="CU10" s="135" t="s">
        <v>683</v>
      </c>
      <c r="CV10" s="157">
        <v>3490</v>
      </c>
      <c r="CY10" s="156"/>
      <c r="CZ10" s="70" t="s">
        <v>454</v>
      </c>
      <c r="DA10" s="62" t="s">
        <v>459</v>
      </c>
      <c r="DB10" s="62">
        <v>38</v>
      </c>
      <c r="DC10" s="62">
        <v>3000</v>
      </c>
      <c r="DD10" s="62">
        <v>1200</v>
      </c>
      <c r="DE10" s="71">
        <v>2536</v>
      </c>
      <c r="DF10" s="71">
        <v>4278</v>
      </c>
      <c r="DG10" s="71">
        <v>6020</v>
      </c>
      <c r="DH10" s="71">
        <f>ROUND(3650/1000/3*Столешницы[[#This Row],[600 х 3000]],0)</f>
        <v>7324</v>
      </c>
    </row>
    <row r="11" spans="2:130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56">
        <v>12</v>
      </c>
      <c r="BC11" s="96"/>
      <c r="BL11" s="150" t="s">
        <v>710</v>
      </c>
      <c r="BX11" s="162" t="s">
        <v>661</v>
      </c>
      <c r="BY11" s="162">
        <v>2100</v>
      </c>
      <c r="CF11" s="126" t="s">
        <v>624</v>
      </c>
      <c r="CG11" s="118" t="s">
        <v>583</v>
      </c>
      <c r="CH11" s="126" t="s">
        <v>586</v>
      </c>
      <c r="CI11" s="135" t="s">
        <v>731</v>
      </c>
      <c r="CJ11" s="152">
        <f>VLOOKUP(Ручки[[#This Row],[Категория]],Ценовые_категории_ручек[],2,0)</f>
        <v>625</v>
      </c>
      <c r="CN11" s="167" t="s">
        <v>493</v>
      </c>
      <c r="CO11" s="168">
        <v>770</v>
      </c>
      <c r="CR11" s="147" t="s">
        <v>672</v>
      </c>
      <c r="CS11" s="147" t="s">
        <v>127</v>
      </c>
      <c r="CT11" s="147" t="s">
        <v>674</v>
      </c>
      <c r="CU11" s="135" t="s">
        <v>684</v>
      </c>
      <c r="CV11" s="158">
        <v>4362</v>
      </c>
      <c r="CY11" s="156"/>
      <c r="CZ11" s="70" t="s">
        <v>455</v>
      </c>
      <c r="DA11" s="62" t="s">
        <v>459</v>
      </c>
      <c r="DB11" s="62">
        <v>38</v>
      </c>
      <c r="DC11" s="62">
        <v>3000</v>
      </c>
      <c r="DD11" s="62">
        <v>1200</v>
      </c>
      <c r="DE11" s="71">
        <v>2536</v>
      </c>
      <c r="DF11" s="71">
        <v>4278</v>
      </c>
      <c r="DG11" s="71">
        <v>6020</v>
      </c>
      <c r="DH11" s="71">
        <f>ROUND(3650/1000/3*Столешницы[[#This Row],[600 х 3000]],0)</f>
        <v>7324</v>
      </c>
    </row>
    <row r="12" spans="2:130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62">
        <v>12</v>
      </c>
      <c r="BC12" s="96"/>
      <c r="BL12" s="94" t="s">
        <v>711</v>
      </c>
      <c r="BX12" s="161" t="s">
        <v>662</v>
      </c>
      <c r="BY12" s="161">
        <v>350</v>
      </c>
      <c r="CF12" s="124" t="s">
        <v>598</v>
      </c>
      <c r="CG12" s="118" t="s">
        <v>583</v>
      </c>
      <c r="CH12" s="91" t="s">
        <v>545</v>
      </c>
      <c r="CI12" s="135" t="s">
        <v>718</v>
      </c>
      <c r="CJ12" s="152">
        <f>VLOOKUP(Ручки[[#This Row],[Категория]],Ценовые_категории_ручек[],2,0)</f>
        <v>257</v>
      </c>
      <c r="CN12" s="130"/>
      <c r="CO12" s="131"/>
      <c r="CP12" s="131"/>
      <c r="CR12" s="147" t="s">
        <v>673</v>
      </c>
      <c r="CS12" s="147" t="s">
        <v>127</v>
      </c>
      <c r="CT12" s="147" t="s">
        <v>690</v>
      </c>
      <c r="CU12" s="135" t="s">
        <v>685</v>
      </c>
      <c r="CV12" s="158">
        <v>4362</v>
      </c>
      <c r="CY12" s="156"/>
      <c r="CZ12" s="70" t="s">
        <v>456</v>
      </c>
      <c r="DA12" s="62" t="s">
        <v>459</v>
      </c>
      <c r="DB12" s="62">
        <v>38</v>
      </c>
      <c r="DC12" s="62">
        <v>3000</v>
      </c>
      <c r="DD12" s="62">
        <v>1200</v>
      </c>
      <c r="DE12" s="71">
        <v>2536</v>
      </c>
      <c r="DF12" s="71">
        <v>4278</v>
      </c>
      <c r="DG12" s="71">
        <v>6020</v>
      </c>
      <c r="DH12" s="71">
        <f>ROUND(3650/1000/3*Столешницы[[#This Row],[600 х 3000]],0)</f>
        <v>7324</v>
      </c>
    </row>
    <row r="13" spans="2:130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56">
        <v>14</v>
      </c>
      <c r="BC13" s="97"/>
      <c r="BL13" s="92" t="s">
        <v>712</v>
      </c>
      <c r="BX13" s="162" t="s">
        <v>663</v>
      </c>
      <c r="BY13" s="162">
        <v>450</v>
      </c>
      <c r="CF13" s="124" t="s">
        <v>611</v>
      </c>
      <c r="CG13" s="118" t="s">
        <v>584</v>
      </c>
      <c r="CH13" s="91" t="s">
        <v>545</v>
      </c>
      <c r="CI13" s="135" t="s">
        <v>725</v>
      </c>
      <c r="CJ13" s="152">
        <f>VLOOKUP(Ручки[[#This Row],[Категория]],Ценовые_категории_ручек[],2,0)</f>
        <v>257</v>
      </c>
      <c r="CN13" s="130"/>
      <c r="CO13" s="131"/>
      <c r="CP13" s="131"/>
      <c r="CX13" s="151"/>
      <c r="CY13" s="154"/>
      <c r="CZ13" s="70" t="s">
        <v>457</v>
      </c>
      <c r="DA13" s="62" t="s">
        <v>459</v>
      </c>
      <c r="DB13" s="62">
        <v>38</v>
      </c>
      <c r="DC13" s="62">
        <v>3600</v>
      </c>
      <c r="DD13" s="62">
        <v>1200</v>
      </c>
      <c r="DE13" s="71">
        <v>2536</v>
      </c>
      <c r="DF13" s="71">
        <v>4278</v>
      </c>
      <c r="DG13" s="71">
        <v>6020</v>
      </c>
      <c r="DH13" s="71">
        <f>ROUND(3650/1000/3*Столешницы[[#This Row],[600 х 3000]],0)</f>
        <v>7324</v>
      </c>
    </row>
    <row r="14" spans="2:130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62">
        <v>14</v>
      </c>
      <c r="CF14" s="124" t="s">
        <v>610</v>
      </c>
      <c r="CG14" s="118" t="s">
        <v>584</v>
      </c>
      <c r="CH14" s="91" t="s">
        <v>545</v>
      </c>
      <c r="CI14" s="135" t="s">
        <v>725</v>
      </c>
      <c r="CJ14" s="152">
        <f>VLOOKUP(Ручки[[#This Row],[Категория]],Ценовые_категории_ручек[],2,0)</f>
        <v>257</v>
      </c>
      <c r="CX14" s="155"/>
      <c r="CY14" s="155"/>
      <c r="CZ14" s="70" t="s">
        <v>458</v>
      </c>
      <c r="DA14" s="62" t="s">
        <v>459</v>
      </c>
      <c r="DB14" s="62">
        <v>38</v>
      </c>
      <c r="DC14" s="62">
        <v>3600</v>
      </c>
      <c r="DD14" s="62">
        <v>1200</v>
      </c>
      <c r="DE14" s="71">
        <v>2536</v>
      </c>
      <c r="DF14" s="71">
        <v>4278</v>
      </c>
      <c r="DG14" s="71">
        <v>6020</v>
      </c>
      <c r="DH14" s="71">
        <f>ROUND(3650/1000/3*Столешницы[[#This Row],[600 х 3000]],0)</f>
        <v>7324</v>
      </c>
    </row>
    <row r="15" spans="2:130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62">
        <v>14</v>
      </c>
      <c r="CF15" s="124" t="s">
        <v>609</v>
      </c>
      <c r="CG15" s="118" t="s">
        <v>584</v>
      </c>
      <c r="CH15" s="91" t="s">
        <v>545</v>
      </c>
      <c r="CI15" s="135" t="s">
        <v>725</v>
      </c>
      <c r="CJ15" s="152">
        <f>VLOOKUP(Ручки[[#This Row],[Категория]],Ценовые_категории_ручек[],2,0)</f>
        <v>257</v>
      </c>
      <c r="CX15" s="146"/>
      <c r="CZ15" s="62" t="s">
        <v>450</v>
      </c>
      <c r="DA15" s="62" t="s">
        <v>459</v>
      </c>
      <c r="DB15" s="62">
        <v>15</v>
      </c>
      <c r="DC15" s="62">
        <v>3600</v>
      </c>
      <c r="DD15" s="62">
        <v>1200</v>
      </c>
      <c r="DE15" s="71">
        <v>1268</v>
      </c>
      <c r="DF15" s="71">
        <v>2139</v>
      </c>
      <c r="DG15" s="71">
        <v>3010</v>
      </c>
      <c r="DH15" s="71">
        <f>ROUND(3650/1000/3*Столешницы[[#This Row],[600 х 3000]],0)</f>
        <v>3662</v>
      </c>
    </row>
    <row r="16" spans="2:130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56">
        <v>26</v>
      </c>
      <c r="CF16" s="124" t="s">
        <v>613</v>
      </c>
      <c r="CG16" s="118" t="s">
        <v>576</v>
      </c>
      <c r="CH16" s="124" t="s">
        <v>585</v>
      </c>
      <c r="CI16" s="135" t="s">
        <v>726</v>
      </c>
      <c r="CJ16" s="152">
        <f>VLOOKUP(Ручки[[#This Row],[Категория]],Ценовые_категории_ручек[],2,0)</f>
        <v>450</v>
      </c>
      <c r="CZ16" s="62" t="s">
        <v>462</v>
      </c>
      <c r="DA16" s="62" t="s">
        <v>459</v>
      </c>
      <c r="DB16" s="62">
        <v>15</v>
      </c>
      <c r="DC16" s="62">
        <v>3600</v>
      </c>
      <c r="DD16" s="62">
        <v>1200</v>
      </c>
      <c r="DE16" s="71">
        <v>1268</v>
      </c>
      <c r="DF16" s="71">
        <v>2139</v>
      </c>
      <c r="DG16" s="71">
        <v>3010</v>
      </c>
      <c r="DH16" s="71">
        <f>ROUND(3650/1000/3*Столешницы[[#This Row],[600 х 3000]],0)</f>
        <v>3662</v>
      </c>
      <c r="DJ16" s="62">
        <f>3662/4171.75</f>
        <v>0.87780907293102417</v>
      </c>
    </row>
    <row r="17" spans="1:112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62">
        <v>27</v>
      </c>
      <c r="CF17" s="91" t="s">
        <v>601</v>
      </c>
      <c r="CG17" s="118" t="s">
        <v>583</v>
      </c>
      <c r="CH17" s="91" t="s">
        <v>545</v>
      </c>
      <c r="CI17" s="135" t="s">
        <v>722</v>
      </c>
      <c r="CJ17" s="152">
        <f>VLOOKUP(Ручки[[#This Row],[Категория]],Ценовые_категории_ручек[],2,0)</f>
        <v>257</v>
      </c>
      <c r="CM17" s="121"/>
      <c r="CN17" s="91"/>
      <c r="CZ17" s="62" t="s">
        <v>463</v>
      </c>
      <c r="DA17" s="62" t="s">
        <v>459</v>
      </c>
      <c r="DB17" s="62">
        <v>15</v>
      </c>
      <c r="DC17" s="62">
        <v>3600</v>
      </c>
      <c r="DD17" s="62">
        <v>1200</v>
      </c>
      <c r="DE17" s="71">
        <v>1268</v>
      </c>
      <c r="DF17" s="71">
        <v>2139</v>
      </c>
      <c r="DG17" s="71">
        <v>3010</v>
      </c>
      <c r="DH17" s="71">
        <f>ROUND(3650/1000/3*Столешницы[[#This Row],[600 х 3000]],0)</f>
        <v>3662</v>
      </c>
    </row>
    <row r="18" spans="1:112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62">
        <v>27</v>
      </c>
      <c r="CF18" s="126" t="s">
        <v>622</v>
      </c>
      <c r="CG18" s="118" t="s">
        <v>583</v>
      </c>
      <c r="CH18" s="126" t="s">
        <v>586</v>
      </c>
      <c r="CI18" s="135" t="s">
        <v>730</v>
      </c>
      <c r="CJ18" s="152">
        <f>VLOOKUP(Ручки[[#This Row],[Категория]],Ценовые_категории_ручек[],2,0)</f>
        <v>625</v>
      </c>
      <c r="CM18" s="121"/>
      <c r="CN18" s="91"/>
      <c r="CZ18" s="62" t="s">
        <v>454</v>
      </c>
      <c r="DA18" s="62" t="s">
        <v>459</v>
      </c>
      <c r="DB18" s="62">
        <v>15</v>
      </c>
      <c r="DC18" s="62">
        <v>3600</v>
      </c>
      <c r="DD18" s="62">
        <v>1200</v>
      </c>
      <c r="DE18" s="71">
        <v>1268</v>
      </c>
      <c r="DF18" s="71">
        <v>2139</v>
      </c>
      <c r="DG18" s="71">
        <v>3010</v>
      </c>
      <c r="DH18" s="71">
        <f>ROUND(3650/1000/3*Столешницы[[#This Row],[600 х 3000]],0)</f>
        <v>3662</v>
      </c>
    </row>
    <row r="19" spans="1:112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62">
        <v>28</v>
      </c>
      <c r="CF19" s="126" t="s">
        <v>615</v>
      </c>
      <c r="CG19" s="118" t="s">
        <v>583</v>
      </c>
      <c r="CH19" s="124" t="s">
        <v>585</v>
      </c>
      <c r="CI19" s="135" t="s">
        <v>715</v>
      </c>
      <c r="CJ19" s="152">
        <f>VLOOKUP(Ручки[[#This Row],[Категория]],Ценовые_категории_ручек[],2,0)</f>
        <v>450</v>
      </c>
      <c r="CM19" s="121"/>
      <c r="CN19" s="91"/>
      <c r="CZ19" s="62" t="s">
        <v>464</v>
      </c>
      <c r="DA19" s="62" t="s">
        <v>459</v>
      </c>
      <c r="DB19" s="62">
        <v>15</v>
      </c>
      <c r="DC19" s="62">
        <v>3600</v>
      </c>
      <c r="DD19" s="62">
        <v>1200</v>
      </c>
      <c r="DE19" s="71">
        <v>1268</v>
      </c>
      <c r="DF19" s="71">
        <v>2139</v>
      </c>
      <c r="DG19" s="71">
        <v>3010</v>
      </c>
      <c r="DH19" s="71">
        <f>ROUND(3650/1000/3*Столешницы[[#This Row],[600 х 3000]],0)</f>
        <v>3662</v>
      </c>
    </row>
    <row r="20" spans="1:112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62">
        <v>28</v>
      </c>
      <c r="CF20" s="125" t="s">
        <v>595</v>
      </c>
      <c r="CG20" s="120" t="s">
        <v>581</v>
      </c>
      <c r="CH20" s="91" t="s">
        <v>545</v>
      </c>
      <c r="CI20" s="135" t="s">
        <v>715</v>
      </c>
      <c r="CJ20" s="152">
        <f>VLOOKUP(Ручки[[#This Row],[Категория]],Ценовые_категории_ручек[],2,0)</f>
        <v>257</v>
      </c>
      <c r="CM20" s="121"/>
      <c r="CN20" s="91"/>
      <c r="CZ20" s="62" t="s">
        <v>465</v>
      </c>
      <c r="DA20" s="62" t="s">
        <v>459</v>
      </c>
      <c r="DB20" s="62">
        <v>15</v>
      </c>
      <c r="DC20" s="62">
        <v>3600</v>
      </c>
      <c r="DD20" s="62">
        <v>1200</v>
      </c>
      <c r="DE20" s="71">
        <v>1268</v>
      </c>
      <c r="DF20" s="71">
        <v>2139</v>
      </c>
      <c r="DG20" s="71">
        <v>3010</v>
      </c>
      <c r="DH20" s="71">
        <f>ROUND(3650/1000/3*Столешницы[[#This Row],[600 х 3000]],0)</f>
        <v>3662</v>
      </c>
    </row>
    <row r="21" spans="1:112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56">
        <v>36</v>
      </c>
      <c r="BS21" s="164"/>
      <c r="BT21" s="164"/>
      <c r="BU21" s="164"/>
      <c r="BV21" s="165"/>
      <c r="CF21" s="126" t="s">
        <v>625</v>
      </c>
      <c r="CG21" s="118" t="s">
        <v>583</v>
      </c>
      <c r="CH21" s="126" t="s">
        <v>586</v>
      </c>
      <c r="CI21" s="135" t="s">
        <v>714</v>
      </c>
      <c r="CJ21" s="152">
        <f>VLOOKUP(Ручки[[#This Row],[Категория]],Ценовые_категории_ручек[],2,0)</f>
        <v>625</v>
      </c>
      <c r="CM21" s="121"/>
      <c r="CN21" s="91"/>
      <c r="CZ21" s="62" t="s">
        <v>457</v>
      </c>
      <c r="DA21" s="62" t="s">
        <v>459</v>
      </c>
      <c r="DB21" s="62">
        <v>15</v>
      </c>
      <c r="DC21" s="62">
        <v>3600</v>
      </c>
      <c r="DD21" s="62">
        <v>600</v>
      </c>
      <c r="DE21" s="71">
        <v>1268</v>
      </c>
      <c r="DF21" s="71">
        <v>2139</v>
      </c>
      <c r="DG21" s="71">
        <v>3010</v>
      </c>
      <c r="DH21" s="71">
        <f>ROUND(3650/1000/3*Столешницы[[#This Row],[600 х 3000]],0)</f>
        <v>3662</v>
      </c>
    </row>
    <row r="22" spans="1:112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62">
        <v>39</v>
      </c>
      <c r="BQ22" s="164"/>
      <c r="BR22" s="164"/>
      <c r="CF22" s="124" t="s">
        <v>614</v>
      </c>
      <c r="CG22" s="118" t="s">
        <v>583</v>
      </c>
      <c r="CH22" s="123" t="s">
        <v>585</v>
      </c>
      <c r="CI22" s="135" t="s">
        <v>714</v>
      </c>
      <c r="CJ22" s="152">
        <f>VLOOKUP(Ручки[[#This Row],[Категория]],Ценовые_категории_ручек[],2,0)</f>
        <v>450</v>
      </c>
      <c r="CZ22" s="62" t="s">
        <v>458</v>
      </c>
      <c r="DA22" s="62" t="s">
        <v>459</v>
      </c>
      <c r="DB22" s="62">
        <v>15</v>
      </c>
      <c r="DC22" s="62">
        <v>3600</v>
      </c>
      <c r="DD22" s="62">
        <v>1200</v>
      </c>
      <c r="DE22" s="71">
        <v>1268</v>
      </c>
      <c r="DF22" s="71">
        <v>2139</v>
      </c>
      <c r="DG22" s="71">
        <v>3010</v>
      </c>
      <c r="DH22" s="71">
        <f>ROUND(3650/1000/3*Столешницы[[#This Row],[600 х 3000]],0)</f>
        <v>3662</v>
      </c>
    </row>
    <row r="23" spans="1:112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62">
        <v>40</v>
      </c>
      <c r="CF23" s="91" t="s">
        <v>580</v>
      </c>
      <c r="CG23" s="120" t="s">
        <v>581</v>
      </c>
      <c r="CH23" s="91" t="s">
        <v>545</v>
      </c>
      <c r="CI23" s="135" t="s">
        <v>714</v>
      </c>
      <c r="CJ23" s="152">
        <f>VLOOKUP(Ручки[[#This Row],[Категория]],Ценовые_категории_ручек[],2,0)</f>
        <v>257</v>
      </c>
      <c r="CZ23" s="62" t="s">
        <v>452</v>
      </c>
      <c r="DA23" s="62" t="s">
        <v>459</v>
      </c>
      <c r="DB23" s="62">
        <v>15</v>
      </c>
      <c r="DC23" s="62">
        <v>3600</v>
      </c>
      <c r="DD23" s="62">
        <v>1200</v>
      </c>
      <c r="DE23" s="71">
        <v>1268</v>
      </c>
      <c r="DF23" s="71">
        <v>2139</v>
      </c>
      <c r="DG23" s="71">
        <v>3010</v>
      </c>
      <c r="DH23" s="71">
        <f>ROUND(3650/1000/3*Столешницы[[#This Row],[600 х 3000]],0)</f>
        <v>3662</v>
      </c>
    </row>
    <row r="24" spans="1:112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62">
        <v>41</v>
      </c>
      <c r="CF24" s="124" t="s">
        <v>594</v>
      </c>
      <c r="CG24" s="120" t="s">
        <v>581</v>
      </c>
      <c r="CH24" s="91" t="s">
        <v>545</v>
      </c>
      <c r="CI24" s="135" t="s">
        <v>714</v>
      </c>
      <c r="CJ24" s="152">
        <f>VLOOKUP(Ручки[[#This Row],[Категория]],Ценовые_категории_ручек[],2,0)</f>
        <v>257</v>
      </c>
      <c r="CZ24" s="70" t="s">
        <v>466</v>
      </c>
      <c r="DA24" s="62" t="s">
        <v>473</v>
      </c>
      <c r="DB24" s="62">
        <v>38</v>
      </c>
      <c r="DC24" s="62">
        <v>4190</v>
      </c>
      <c r="DD24" s="62">
        <v>1200</v>
      </c>
      <c r="DE24" s="71">
        <v>5477</v>
      </c>
      <c r="DF24" s="71">
        <v>9240</v>
      </c>
      <c r="DG24" s="71">
        <v>13003</v>
      </c>
      <c r="DH24" s="71">
        <v>18022</v>
      </c>
    </row>
    <row r="25" spans="1:112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62">
        <v>41</v>
      </c>
      <c r="CF25" s="125" t="s">
        <v>627</v>
      </c>
      <c r="CG25" s="118" t="s">
        <v>583</v>
      </c>
      <c r="CH25" s="126" t="s">
        <v>586</v>
      </c>
      <c r="CI25" s="135" t="s">
        <v>717</v>
      </c>
      <c r="CJ25" s="152">
        <f>VLOOKUP(Ручки[[#This Row],[Категория]],Ценовые_категории_ручек[],2,0)</f>
        <v>625</v>
      </c>
      <c r="CZ25" s="70" t="s">
        <v>467</v>
      </c>
      <c r="DA25" s="62" t="s">
        <v>473</v>
      </c>
      <c r="DB25" s="62">
        <v>38</v>
      </c>
      <c r="DC25" s="62">
        <v>4190</v>
      </c>
      <c r="DD25" s="62">
        <v>1200</v>
      </c>
      <c r="DE25" s="71">
        <v>5477</v>
      </c>
      <c r="DF25" s="71">
        <v>9240</v>
      </c>
      <c r="DG25" s="71">
        <v>13003</v>
      </c>
      <c r="DH25" s="71">
        <v>18022</v>
      </c>
    </row>
    <row r="26" spans="1:112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62">
        <v>42</v>
      </c>
      <c r="CF26" s="125" t="s">
        <v>597</v>
      </c>
      <c r="CG26" s="120" t="s">
        <v>581</v>
      </c>
      <c r="CH26" s="91" t="s">
        <v>545</v>
      </c>
      <c r="CI26" s="135" t="s">
        <v>717</v>
      </c>
      <c r="CJ26" s="152">
        <f>VLOOKUP(Ручки[[#This Row],[Категория]],Ценовые_категории_ручек[],2,0)</f>
        <v>257</v>
      </c>
      <c r="CZ26" s="70" t="s">
        <v>468</v>
      </c>
      <c r="DA26" s="62" t="s">
        <v>473</v>
      </c>
      <c r="DB26" s="62">
        <v>38</v>
      </c>
      <c r="DC26" s="62">
        <v>4190</v>
      </c>
      <c r="DD26" s="62">
        <v>1200</v>
      </c>
      <c r="DE26" s="71">
        <v>5477</v>
      </c>
      <c r="DF26" s="71">
        <v>9240</v>
      </c>
      <c r="DG26" s="71">
        <v>13003</v>
      </c>
      <c r="DH26" s="71">
        <v>18022</v>
      </c>
    </row>
    <row r="27" spans="1:112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62">
        <v>43</v>
      </c>
      <c r="CF27" s="125" t="s">
        <v>630</v>
      </c>
      <c r="CG27" s="118" t="s">
        <v>583</v>
      </c>
      <c r="CH27" s="126" t="s">
        <v>587</v>
      </c>
      <c r="CI27" s="135" t="s">
        <v>717</v>
      </c>
      <c r="CJ27" s="152">
        <f>VLOOKUP(Ручки[[#This Row],[Категория]],Ценовые_категории_ручек[],2,0)</f>
        <v>800</v>
      </c>
      <c r="CZ27" s="70" t="s">
        <v>469</v>
      </c>
      <c r="DA27" s="62" t="s">
        <v>473</v>
      </c>
      <c r="DB27" s="62">
        <v>38</v>
      </c>
      <c r="DC27" s="62">
        <v>4190</v>
      </c>
      <c r="DD27" s="62">
        <v>1200</v>
      </c>
      <c r="DE27" s="71">
        <v>5477</v>
      </c>
      <c r="DF27" s="71">
        <v>9240</v>
      </c>
      <c r="DG27" s="71">
        <v>13003</v>
      </c>
      <c r="DH27" s="71">
        <v>18022</v>
      </c>
    </row>
    <row r="28" spans="1:112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62">
        <v>44</v>
      </c>
      <c r="CC28" s="143"/>
      <c r="CF28" s="125" t="s">
        <v>617</v>
      </c>
      <c r="CG28" s="120" t="s">
        <v>581</v>
      </c>
      <c r="CH28" s="124" t="s">
        <v>585</v>
      </c>
      <c r="CI28" s="135" t="s">
        <v>717</v>
      </c>
      <c r="CJ28" s="152">
        <f>VLOOKUP(Ручки[[#This Row],[Категория]],Ценовые_категории_ручек[],2,0)</f>
        <v>450</v>
      </c>
      <c r="CZ28" s="70" t="s">
        <v>470</v>
      </c>
      <c r="DA28" s="62" t="s">
        <v>473</v>
      </c>
      <c r="DB28" s="62">
        <v>38</v>
      </c>
      <c r="DC28" s="62">
        <v>4190</v>
      </c>
      <c r="DD28" s="62">
        <v>1200</v>
      </c>
      <c r="DE28" s="71">
        <v>5477</v>
      </c>
      <c r="DF28" s="71">
        <v>9240</v>
      </c>
      <c r="DG28" s="71">
        <v>13003</v>
      </c>
      <c r="DH28" s="71">
        <v>18022</v>
      </c>
    </row>
    <row r="29" spans="1:112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62">
        <v>44</v>
      </c>
      <c r="CC29" s="143"/>
      <c r="CF29" s="124" t="s">
        <v>639</v>
      </c>
      <c r="CG29" s="118" t="s">
        <v>583</v>
      </c>
      <c r="CH29" s="132" t="s">
        <v>592</v>
      </c>
      <c r="CI29" s="135" t="s">
        <v>736</v>
      </c>
      <c r="CJ29" s="152">
        <f>VLOOKUP(Ручки[[#This Row],[Категория]],Ценовые_категории_ручек[],2,0)</f>
        <v>800</v>
      </c>
      <c r="CZ29" s="70" t="s">
        <v>471</v>
      </c>
      <c r="DA29" s="62" t="s">
        <v>473</v>
      </c>
      <c r="DB29" s="62">
        <v>38</v>
      </c>
      <c r="DC29" s="62">
        <v>4190</v>
      </c>
      <c r="DD29" s="62">
        <v>1200</v>
      </c>
      <c r="DE29" s="71">
        <v>5477</v>
      </c>
      <c r="DF29" s="71">
        <v>9240</v>
      </c>
      <c r="DG29" s="71">
        <v>13003</v>
      </c>
      <c r="DH29" s="71">
        <v>18022</v>
      </c>
    </row>
    <row r="30" spans="1:112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62">
        <v>45</v>
      </c>
      <c r="CC30" s="143"/>
      <c r="CF30" s="124" t="s">
        <v>638</v>
      </c>
      <c r="CG30" s="118" t="s">
        <v>583</v>
      </c>
      <c r="CH30" s="132" t="s">
        <v>592</v>
      </c>
      <c r="CI30" s="135" t="s">
        <v>736</v>
      </c>
      <c r="CJ30" s="152">
        <f>VLOOKUP(Ручки[[#This Row],[Категория]],Ценовые_категории_ручек[],2,0)</f>
        <v>800</v>
      </c>
      <c r="CZ30" s="70" t="s">
        <v>472</v>
      </c>
      <c r="DA30" s="62" t="s">
        <v>473</v>
      </c>
      <c r="DB30" s="62">
        <v>38</v>
      </c>
      <c r="DC30" s="62">
        <v>4190</v>
      </c>
      <c r="DD30" s="62">
        <v>1200</v>
      </c>
      <c r="DE30" s="71">
        <v>5477</v>
      </c>
      <c r="DF30" s="71">
        <v>9240</v>
      </c>
      <c r="DG30" s="71">
        <v>13003</v>
      </c>
      <c r="DH30" s="71">
        <v>18022</v>
      </c>
    </row>
    <row r="31" spans="1:112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62">
        <v>46</v>
      </c>
      <c r="CC31" s="143"/>
      <c r="CF31" s="126" t="s">
        <v>623</v>
      </c>
      <c r="CG31" s="118" t="s">
        <v>583</v>
      </c>
      <c r="CH31" s="126" t="s">
        <v>586</v>
      </c>
      <c r="CI31" s="135" t="s">
        <v>644</v>
      </c>
      <c r="CJ31" s="152">
        <f>VLOOKUP(Ручки[[#This Row],[Категория]],Ценовые_категории_ручек[],2,0)</f>
        <v>625</v>
      </c>
      <c r="CZ31" s="62" t="s">
        <v>474</v>
      </c>
      <c r="DA31" s="62" t="s">
        <v>473</v>
      </c>
      <c r="DB31" s="62">
        <v>38</v>
      </c>
      <c r="DC31" s="62">
        <v>4190</v>
      </c>
      <c r="DD31" s="62">
        <v>1200</v>
      </c>
      <c r="DE31" s="71">
        <v>5477</v>
      </c>
      <c r="DF31" s="71">
        <v>9240</v>
      </c>
      <c r="DG31" s="71">
        <v>13003</v>
      </c>
      <c r="DH31" s="71">
        <v>18022</v>
      </c>
    </row>
    <row r="32" spans="1:112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62">
        <v>47</v>
      </c>
      <c r="CC32" s="143"/>
      <c r="CF32" s="91" t="s">
        <v>579</v>
      </c>
      <c r="CG32" s="120" t="s">
        <v>581</v>
      </c>
      <c r="CH32" s="91" t="s">
        <v>545</v>
      </c>
      <c r="CI32" s="135" t="s">
        <v>644</v>
      </c>
      <c r="CJ32" s="152">
        <f>VLOOKUP(Ручки[[#This Row],[Категория]],Ценовые_категории_ручек[],2,0)</f>
        <v>257</v>
      </c>
      <c r="CZ32" s="251" t="s">
        <v>449</v>
      </c>
      <c r="DA32" s="249" t="s">
        <v>459</v>
      </c>
      <c r="DB32" s="249">
        <v>10</v>
      </c>
      <c r="DC32" s="249">
        <v>3600</v>
      </c>
      <c r="DD32" s="249">
        <v>600</v>
      </c>
      <c r="DE32" s="250">
        <v>2536</v>
      </c>
      <c r="DF32" s="250">
        <v>4278</v>
      </c>
      <c r="DG32" s="250">
        <v>6020</v>
      </c>
      <c r="DH32" s="71">
        <f>ROUND(3650/1000/3*Столешницы[[#This Row],[600 х 3000]],0)</f>
        <v>7324</v>
      </c>
    </row>
    <row r="33" spans="1:141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C33" s="143"/>
      <c r="CF33" s="126" t="s">
        <v>612</v>
      </c>
      <c r="CG33" s="120" t="s">
        <v>581</v>
      </c>
      <c r="CH33" s="123" t="s">
        <v>585</v>
      </c>
      <c r="CI33" s="135" t="s">
        <v>644</v>
      </c>
      <c r="CJ33" s="152">
        <f>VLOOKUP(Ручки[[#This Row],[Категория]],Ценовые_категории_ручек[],2,0)</f>
        <v>450</v>
      </c>
      <c r="CZ33" s="251" t="s">
        <v>450</v>
      </c>
      <c r="DA33" s="249" t="s">
        <v>459</v>
      </c>
      <c r="DB33" s="249">
        <v>10</v>
      </c>
      <c r="DC33" s="249">
        <v>3600</v>
      </c>
      <c r="DD33" s="249">
        <v>600</v>
      </c>
      <c r="DE33" s="250">
        <v>2536</v>
      </c>
      <c r="DF33" s="250">
        <v>4278</v>
      </c>
      <c r="DG33" s="250">
        <v>6020</v>
      </c>
      <c r="DH33" s="71">
        <f>ROUND(3650/1000/3*Столешницы[[#This Row],[600 х 3000]],0)</f>
        <v>7324</v>
      </c>
    </row>
    <row r="34" spans="1:141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C34" s="143"/>
      <c r="CF34" s="91" t="s">
        <v>578</v>
      </c>
      <c r="CG34" s="120" t="s">
        <v>581</v>
      </c>
      <c r="CH34" s="91" t="s">
        <v>545</v>
      </c>
      <c r="CI34" s="135" t="s">
        <v>644</v>
      </c>
      <c r="CJ34" s="152">
        <f>VLOOKUP(Ручки[[#This Row],[Категория]],Ценовые_категории_ручек[],2,0)</f>
        <v>257</v>
      </c>
      <c r="CZ34" s="251" t="s">
        <v>451</v>
      </c>
      <c r="DA34" s="249" t="s">
        <v>459</v>
      </c>
      <c r="DB34" s="249">
        <v>10</v>
      </c>
      <c r="DC34" s="249">
        <v>3600</v>
      </c>
      <c r="DD34" s="249">
        <v>600</v>
      </c>
      <c r="DE34" s="250">
        <v>2536</v>
      </c>
      <c r="DF34" s="250">
        <v>4278</v>
      </c>
      <c r="DG34" s="250">
        <v>6020</v>
      </c>
      <c r="DH34" s="71">
        <f>ROUND(3650/1000/3*Столешницы[[#This Row],[600 х 3000]],0)</f>
        <v>7324</v>
      </c>
    </row>
    <row r="35" spans="1:141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C35" s="143"/>
      <c r="CF35" s="126" t="s">
        <v>637</v>
      </c>
      <c r="CG35" s="118" t="s">
        <v>593</v>
      </c>
      <c r="CH35" s="132" t="s">
        <v>592</v>
      </c>
      <c r="CI35" s="135" t="s">
        <v>735</v>
      </c>
      <c r="CJ35" s="152">
        <f>VLOOKUP(Ручки[[#This Row],[Категория]],Ценовые_категории_ручек[],2,0)</f>
        <v>800</v>
      </c>
      <c r="CZ35" s="251" t="s">
        <v>452</v>
      </c>
      <c r="DA35" s="249" t="s">
        <v>459</v>
      </c>
      <c r="DB35" s="249">
        <v>10</v>
      </c>
      <c r="DC35" s="249">
        <v>3600</v>
      </c>
      <c r="DD35" s="249">
        <v>600</v>
      </c>
      <c r="DE35" s="250">
        <v>2536</v>
      </c>
      <c r="DF35" s="250">
        <v>4278</v>
      </c>
      <c r="DG35" s="250">
        <v>6020</v>
      </c>
      <c r="DH35" s="71">
        <f>ROUND(3650/1000/3*Столешницы[[#This Row],[600 х 3000]],0)</f>
        <v>7324</v>
      </c>
    </row>
    <row r="36" spans="1:141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C36" s="143"/>
      <c r="CF36" s="126" t="s">
        <v>636</v>
      </c>
      <c r="CG36" s="118" t="s">
        <v>593</v>
      </c>
      <c r="CH36" s="132" t="s">
        <v>592</v>
      </c>
      <c r="CI36" s="135" t="s">
        <v>735</v>
      </c>
      <c r="CJ36" s="152">
        <f>VLOOKUP(Ручки[[#This Row],[Категория]],Ценовые_категории_ручек[],2,0)</f>
        <v>800</v>
      </c>
      <c r="CK36" s="122"/>
      <c r="CZ36" s="251" t="s">
        <v>453</v>
      </c>
      <c r="DA36" s="249" t="s">
        <v>459</v>
      </c>
      <c r="DB36" s="249">
        <v>10</v>
      </c>
      <c r="DC36" s="249">
        <v>3600</v>
      </c>
      <c r="DD36" s="249">
        <v>600</v>
      </c>
      <c r="DE36" s="250">
        <v>2536</v>
      </c>
      <c r="DF36" s="250">
        <v>4278</v>
      </c>
      <c r="DG36" s="250">
        <v>6020</v>
      </c>
      <c r="DH36" s="71">
        <f>ROUND(3650/1000/3*Столешницы[[#This Row],[600 х 3000]],0)</f>
        <v>7324</v>
      </c>
    </row>
    <row r="37" spans="1:141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C37" s="143"/>
      <c r="CF37" s="124" t="s">
        <v>635</v>
      </c>
      <c r="CG37" s="118" t="s">
        <v>593</v>
      </c>
      <c r="CH37" s="132" t="s">
        <v>592</v>
      </c>
      <c r="CI37" s="135" t="s">
        <v>735</v>
      </c>
      <c r="CJ37" s="152">
        <f>VLOOKUP(Ручки[[#This Row],[Категория]],Ценовые_категории_ручек[],2,0)</f>
        <v>800</v>
      </c>
      <c r="CK37" s="119"/>
      <c r="CZ37" s="251" t="s">
        <v>457</v>
      </c>
      <c r="DA37" s="249" t="s">
        <v>459</v>
      </c>
      <c r="DB37" s="249">
        <v>10</v>
      </c>
      <c r="DC37" s="249">
        <v>3600</v>
      </c>
      <c r="DD37" s="249">
        <v>600</v>
      </c>
      <c r="DE37" s="250">
        <v>2536</v>
      </c>
      <c r="DF37" s="250">
        <v>4278</v>
      </c>
      <c r="DG37" s="250">
        <v>6020</v>
      </c>
      <c r="DH37" s="71">
        <f>ROUND(3650/1000/3*Столешницы[[#This Row],[600 х 3000]],0)</f>
        <v>7324</v>
      </c>
    </row>
    <row r="38" spans="1:141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C38" s="143"/>
      <c r="CF38" s="125" t="s">
        <v>620</v>
      </c>
      <c r="CG38" s="118" t="s">
        <v>583</v>
      </c>
      <c r="CH38" s="123" t="s">
        <v>585</v>
      </c>
      <c r="CI38" s="135" t="s">
        <v>719</v>
      </c>
      <c r="CJ38" s="152">
        <f>VLOOKUP(Ручки[[#This Row],[Категория]],Ценовые_категории_ручек[],2,0)</f>
        <v>450</v>
      </c>
      <c r="CK38" s="119"/>
      <c r="CZ38" s="251" t="s">
        <v>458</v>
      </c>
      <c r="DA38" s="249" t="s">
        <v>459</v>
      </c>
      <c r="DB38" s="249">
        <v>10</v>
      </c>
      <c r="DC38" s="249">
        <v>3600</v>
      </c>
      <c r="DD38" s="249">
        <v>600</v>
      </c>
      <c r="DE38" s="250">
        <v>2536</v>
      </c>
      <c r="DF38" s="250">
        <v>4278</v>
      </c>
      <c r="DG38" s="250">
        <v>6020</v>
      </c>
      <c r="DH38" s="71">
        <f>ROUND(3650/1000/3*Столешницы[[#This Row],[600 х 3000]],0)</f>
        <v>7324</v>
      </c>
    </row>
    <row r="39" spans="1:141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C39" s="143"/>
      <c r="CF39" s="125" t="s">
        <v>599</v>
      </c>
      <c r="CG39" s="120" t="s">
        <v>581</v>
      </c>
      <c r="CH39" s="91" t="s">
        <v>545</v>
      </c>
      <c r="CI39" s="135" t="s">
        <v>719</v>
      </c>
      <c r="CJ39" s="152">
        <f>VLOOKUP(Ручки[[#This Row],[Категория]],Ценовые_категории_ручек[],2,0)</f>
        <v>257</v>
      </c>
      <c r="CZ39" s="252" t="s">
        <v>463</v>
      </c>
      <c r="DA39" s="249" t="s">
        <v>459</v>
      </c>
      <c r="DB39" s="249">
        <v>10</v>
      </c>
      <c r="DC39" s="249">
        <v>3600</v>
      </c>
      <c r="DD39" s="249">
        <v>600</v>
      </c>
      <c r="DE39" s="250">
        <v>2536</v>
      </c>
      <c r="DF39" s="250">
        <v>4278</v>
      </c>
      <c r="DG39" s="250">
        <v>6020</v>
      </c>
      <c r="DH39" s="71">
        <f>ROUND(3650/1000/3*Столешницы[[#This Row],[600 х 3000]],0)</f>
        <v>7324</v>
      </c>
    </row>
    <row r="40" spans="1:141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F40" s="125" t="s">
        <v>629</v>
      </c>
      <c r="CG40" s="118" t="s">
        <v>583</v>
      </c>
      <c r="CH40" s="126" t="s">
        <v>587</v>
      </c>
      <c r="CI40" s="135" t="s">
        <v>723</v>
      </c>
      <c r="CJ40" s="152">
        <f>VLOOKUP(Ручки[[#This Row],[Категория]],Ценовые_категории_ручек[],2,0)</f>
        <v>800</v>
      </c>
      <c r="CZ40" s="252" t="s">
        <v>464</v>
      </c>
      <c r="DA40" s="249" t="s">
        <v>459</v>
      </c>
      <c r="DB40" s="249">
        <v>10</v>
      </c>
      <c r="DC40" s="249">
        <v>3600</v>
      </c>
      <c r="DD40" s="249">
        <v>600</v>
      </c>
      <c r="DE40" s="250">
        <v>2536</v>
      </c>
      <c r="DF40" s="250">
        <v>4278</v>
      </c>
      <c r="DG40" s="250">
        <v>6020</v>
      </c>
      <c r="DH40" s="71">
        <f>ROUND(3650/1000/3*Столешницы[[#This Row],[600 х 3000]],0)</f>
        <v>7324</v>
      </c>
    </row>
    <row r="41" spans="1:141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F41" s="91" t="s">
        <v>602</v>
      </c>
      <c r="CG41" s="120" t="s">
        <v>581</v>
      </c>
      <c r="CH41" s="91" t="s">
        <v>545</v>
      </c>
      <c r="CI41" s="135" t="s">
        <v>723</v>
      </c>
      <c r="CJ41" s="152">
        <f>VLOOKUP(Ручки[[#This Row],[Категория]],Ценовые_категории_ручек[],2,0)</f>
        <v>257</v>
      </c>
      <c r="CZ41" s="252" t="s">
        <v>465</v>
      </c>
      <c r="DA41" s="249" t="s">
        <v>459</v>
      </c>
      <c r="DB41" s="249">
        <v>10</v>
      </c>
      <c r="DC41" s="249">
        <v>3600</v>
      </c>
      <c r="DD41" s="249">
        <v>600</v>
      </c>
      <c r="DE41" s="250">
        <v>2536</v>
      </c>
      <c r="DF41" s="250">
        <v>4278</v>
      </c>
      <c r="DG41" s="250">
        <v>6020</v>
      </c>
      <c r="DH41" s="71">
        <f>ROUND(3650/1000/3*Столешницы[[#This Row],[600 х 3000]],0)</f>
        <v>7324</v>
      </c>
    </row>
    <row r="42" spans="1:141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F42" s="125" t="s">
        <v>642</v>
      </c>
      <c r="CG42" s="118" t="s">
        <v>576</v>
      </c>
      <c r="CH42" s="132" t="s">
        <v>592</v>
      </c>
      <c r="CI42" s="135" t="s">
        <v>738</v>
      </c>
      <c r="CJ42" s="152">
        <f>VLOOKUP(Ручки[[#This Row],[Категория]],Ценовые_категории_ручек[],2,0)</f>
        <v>800</v>
      </c>
      <c r="CZ42" s="251" t="s">
        <v>466</v>
      </c>
      <c r="DA42" s="249" t="s">
        <v>473</v>
      </c>
      <c r="DB42" s="249">
        <v>10</v>
      </c>
      <c r="DC42" s="249">
        <v>4200</v>
      </c>
      <c r="DD42" s="249">
        <v>600</v>
      </c>
      <c r="DE42" s="250">
        <v>5477</v>
      </c>
      <c r="DF42" s="250">
        <v>9240</v>
      </c>
      <c r="DG42" s="250">
        <v>13003</v>
      </c>
      <c r="DH42" s="71">
        <v>18022</v>
      </c>
    </row>
    <row r="43" spans="1:141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F43" s="124" t="s">
        <v>632</v>
      </c>
      <c r="CG43" s="118" t="s">
        <v>589</v>
      </c>
      <c r="CH43" s="132" t="s">
        <v>591</v>
      </c>
      <c r="CI43" s="135" t="s">
        <v>733</v>
      </c>
      <c r="CJ43" s="152">
        <f>VLOOKUP(Ручки[[#This Row],[Категория]],Ценовые_категории_ручек[],2,0)</f>
        <v>625</v>
      </c>
      <c r="CZ43" s="251" t="s">
        <v>467</v>
      </c>
      <c r="DA43" s="249" t="s">
        <v>473</v>
      </c>
      <c r="DB43" s="249">
        <v>10</v>
      </c>
      <c r="DC43" s="249">
        <v>4200</v>
      </c>
      <c r="DD43" s="249">
        <v>600</v>
      </c>
      <c r="DE43" s="250">
        <v>5477</v>
      </c>
      <c r="DF43" s="250">
        <v>9240</v>
      </c>
      <c r="DG43" s="250">
        <v>13003</v>
      </c>
      <c r="DH43" s="71">
        <v>18022</v>
      </c>
    </row>
    <row r="44" spans="1:141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F44" s="124" t="s">
        <v>634</v>
      </c>
      <c r="CG44" s="118" t="s">
        <v>589</v>
      </c>
      <c r="CH44" s="132" t="s">
        <v>591</v>
      </c>
      <c r="CI44" s="135" t="s">
        <v>733</v>
      </c>
      <c r="CJ44" s="152">
        <f>VLOOKUP(Ручки[[#This Row],[Категория]],Ценовые_категории_ручек[],2,0)</f>
        <v>625</v>
      </c>
      <c r="CZ44" s="251" t="s">
        <v>468</v>
      </c>
      <c r="DA44" s="249" t="s">
        <v>473</v>
      </c>
      <c r="DB44" s="249">
        <v>10</v>
      </c>
      <c r="DC44" s="249">
        <v>4200</v>
      </c>
      <c r="DD44" s="249">
        <v>600</v>
      </c>
      <c r="DE44" s="250">
        <v>5477</v>
      </c>
      <c r="DF44" s="250">
        <v>9240</v>
      </c>
      <c r="DG44" s="250">
        <v>13003</v>
      </c>
      <c r="DH44" s="71">
        <v>18022</v>
      </c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  <c r="EJ44" s="142"/>
      <c r="EK44" s="142"/>
    </row>
    <row r="45" spans="1:141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F45" s="125" t="s">
        <v>631</v>
      </c>
      <c r="CG45" s="118" t="s">
        <v>583</v>
      </c>
      <c r="CH45" s="132" t="s">
        <v>588</v>
      </c>
      <c r="CI45" s="135" t="s">
        <v>732</v>
      </c>
      <c r="CJ45" s="152">
        <f>VLOOKUP(Ручки[[#This Row],[Категория]],Ценовые_категории_ручек[],2,0)</f>
        <v>450</v>
      </c>
      <c r="CZ45" s="251" t="s">
        <v>469</v>
      </c>
      <c r="DA45" s="249" t="s">
        <v>473</v>
      </c>
      <c r="DB45" s="249">
        <v>10</v>
      </c>
      <c r="DC45" s="249">
        <v>4200</v>
      </c>
      <c r="DD45" s="249">
        <v>600</v>
      </c>
      <c r="DE45" s="250">
        <v>5477</v>
      </c>
      <c r="DF45" s="250">
        <v>9240</v>
      </c>
      <c r="DG45" s="250">
        <v>13003</v>
      </c>
      <c r="DH45" s="71">
        <v>18022</v>
      </c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  <c r="EJ45" s="142"/>
      <c r="EK45" s="142"/>
    </row>
    <row r="46" spans="1:141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F46" s="125" t="s">
        <v>619</v>
      </c>
      <c r="CG46" s="118" t="s">
        <v>583</v>
      </c>
      <c r="CH46" s="124" t="s">
        <v>585</v>
      </c>
      <c r="CI46" s="135" t="s">
        <v>729</v>
      </c>
      <c r="CJ46" s="152">
        <f>VLOOKUP(Ручки[[#This Row],[Категория]],Ценовые_категории_ручек[],2,0)</f>
        <v>450</v>
      </c>
      <c r="CZ46" s="251" t="s">
        <v>470</v>
      </c>
      <c r="DA46" s="249" t="s">
        <v>473</v>
      </c>
      <c r="DB46" s="249">
        <v>10</v>
      </c>
      <c r="DC46" s="249">
        <v>4200</v>
      </c>
      <c r="DD46" s="249">
        <v>600</v>
      </c>
      <c r="DE46" s="250">
        <v>5477</v>
      </c>
      <c r="DF46" s="250">
        <v>9240</v>
      </c>
      <c r="DG46" s="250">
        <v>13003</v>
      </c>
      <c r="DH46" s="71">
        <v>18022</v>
      </c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  <c r="EJ46" s="142"/>
      <c r="EK46" s="142"/>
    </row>
    <row r="47" spans="1:141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F47" s="91" t="s">
        <v>600</v>
      </c>
      <c r="CG47" s="118" t="s">
        <v>583</v>
      </c>
      <c r="CH47" s="91" t="s">
        <v>545</v>
      </c>
      <c r="CI47" s="135" t="s">
        <v>721</v>
      </c>
      <c r="CJ47" s="152">
        <f>VLOOKUP(Ручки[[#This Row],[Категория]],Ценовые_категории_ручек[],2,0)</f>
        <v>257</v>
      </c>
      <c r="CZ47" s="251" t="s">
        <v>471</v>
      </c>
      <c r="DA47" s="249" t="s">
        <v>473</v>
      </c>
      <c r="DB47" s="249">
        <v>10</v>
      </c>
      <c r="DC47" s="249">
        <v>4200</v>
      </c>
      <c r="DD47" s="249">
        <v>600</v>
      </c>
      <c r="DE47" s="250">
        <v>5477</v>
      </c>
      <c r="DF47" s="250">
        <v>9240</v>
      </c>
      <c r="DG47" s="250">
        <v>13003</v>
      </c>
      <c r="DH47" s="71">
        <v>18022</v>
      </c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  <c r="EJ47" s="142"/>
      <c r="EK47" s="142"/>
    </row>
    <row r="48" spans="1:141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F48" s="125" t="s">
        <v>641</v>
      </c>
      <c r="CG48" s="118" t="s">
        <v>583</v>
      </c>
      <c r="CH48" s="132" t="s">
        <v>592</v>
      </c>
      <c r="CI48" s="135" t="s">
        <v>737</v>
      </c>
      <c r="CJ48" s="152">
        <f>VLOOKUP(Ручки[[#This Row],[Категория]],Ценовые_категории_ручек[],2,0)</f>
        <v>800</v>
      </c>
      <c r="CZ48" s="251" t="s">
        <v>472</v>
      </c>
      <c r="DA48" s="249" t="s">
        <v>473</v>
      </c>
      <c r="DB48" s="249">
        <v>10</v>
      </c>
      <c r="DC48" s="249">
        <v>4200</v>
      </c>
      <c r="DD48" s="249">
        <v>600</v>
      </c>
      <c r="DE48" s="250">
        <v>5477</v>
      </c>
      <c r="DF48" s="250">
        <v>9240</v>
      </c>
      <c r="DG48" s="250">
        <v>13003</v>
      </c>
      <c r="DH48" s="71">
        <v>18022</v>
      </c>
    </row>
    <row r="49" spans="1:112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F49" s="124" t="s">
        <v>640</v>
      </c>
      <c r="CG49" s="118" t="s">
        <v>583</v>
      </c>
      <c r="CH49" s="132" t="s">
        <v>592</v>
      </c>
      <c r="CI49" s="135" t="s">
        <v>737</v>
      </c>
      <c r="CJ49" s="152">
        <f>VLOOKUP(Ручки[[#This Row],[Категория]],Ценовые_категории_ручек[],2,0)</f>
        <v>800</v>
      </c>
      <c r="CZ49" s="252" t="s">
        <v>474</v>
      </c>
      <c r="DA49" s="249" t="s">
        <v>473</v>
      </c>
      <c r="DB49" s="249">
        <v>10</v>
      </c>
      <c r="DC49" s="249">
        <v>4200</v>
      </c>
      <c r="DD49" s="249">
        <v>600</v>
      </c>
      <c r="DE49" s="250">
        <v>5477</v>
      </c>
      <c r="DF49" s="250">
        <v>9240</v>
      </c>
      <c r="DG49" s="250">
        <v>13003</v>
      </c>
      <c r="DH49" s="71">
        <v>18022</v>
      </c>
    </row>
    <row r="50" spans="1:112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F50" s="91" t="s">
        <v>582</v>
      </c>
      <c r="CG50" s="118" t="s">
        <v>583</v>
      </c>
      <c r="CH50" s="91" t="s">
        <v>545</v>
      </c>
      <c r="CI50" s="135" t="s">
        <v>720</v>
      </c>
      <c r="CJ50" s="152">
        <f>VLOOKUP(Ручки[[#This Row],[Категория]],Ценовые_категории_ручек[],2,0)</f>
        <v>257</v>
      </c>
    </row>
    <row r="51" spans="1:112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F51" s="125" t="s">
        <v>621</v>
      </c>
      <c r="CG51" s="118" t="s">
        <v>583</v>
      </c>
      <c r="CH51" s="124" t="s">
        <v>585</v>
      </c>
      <c r="CI51" s="135" t="s">
        <v>727</v>
      </c>
      <c r="CJ51" s="152">
        <f>VLOOKUP(Ручки[[#This Row],[Категория]],Ценовые_категории_ручек[],2,0)</f>
        <v>450</v>
      </c>
      <c r="DD51" s="62" t="e">
        <f>#REF!/DE43</f>
        <v>#REF!</v>
      </c>
      <c r="DE51" s="62">
        <f>5477*0.5555555555555</f>
        <v>3042.7777777774731</v>
      </c>
    </row>
    <row r="52" spans="1:112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F52" s="126" t="s">
        <v>616</v>
      </c>
      <c r="CG52" s="118" t="s">
        <v>583</v>
      </c>
      <c r="CH52" s="123" t="s">
        <v>585</v>
      </c>
      <c r="CI52" s="135" t="s">
        <v>727</v>
      </c>
      <c r="CJ52" s="152">
        <f>VLOOKUP(Ручки[[#This Row],[Категория]],Ценовые_категории_ручек[],2,0)</f>
        <v>450</v>
      </c>
    </row>
    <row r="53" spans="1:112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F53" s="125" t="s">
        <v>626</v>
      </c>
      <c r="CG53" s="118" t="s">
        <v>583</v>
      </c>
      <c r="CH53" s="126" t="s">
        <v>586</v>
      </c>
      <c r="CI53" s="135" t="s">
        <v>716</v>
      </c>
      <c r="CJ53" s="152">
        <f>VLOOKUP(Ручки[[#This Row],[Категория]],Ценовые_категории_ручек[],2,0)</f>
        <v>625</v>
      </c>
    </row>
    <row r="54" spans="1:112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F54" s="125" t="s">
        <v>596</v>
      </c>
      <c r="CG54" s="120" t="s">
        <v>581</v>
      </c>
      <c r="CH54" s="91" t="s">
        <v>545</v>
      </c>
      <c r="CI54" s="135" t="s">
        <v>716</v>
      </c>
      <c r="CJ54" s="152">
        <f>VLOOKUP(Ручки[[#This Row],[Категория]],Ценовые_категории_ручек[],2,0)</f>
        <v>257</v>
      </c>
    </row>
    <row r="55" spans="1:112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F55" s="125" t="s">
        <v>643</v>
      </c>
      <c r="CG55" s="118" t="s">
        <v>583</v>
      </c>
      <c r="CH55" s="132" t="s">
        <v>592</v>
      </c>
      <c r="CI55" s="135" t="s">
        <v>739</v>
      </c>
      <c r="CJ55" s="152">
        <f>VLOOKUP(Ручки[[#This Row],[Категория]],Ценовые_категории_ручек[],2,0)</f>
        <v>800</v>
      </c>
    </row>
    <row r="56" spans="1:112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F56" s="126" t="s">
        <v>628</v>
      </c>
      <c r="CG56" s="118" t="s">
        <v>583</v>
      </c>
      <c r="CH56" s="126" t="s">
        <v>587</v>
      </c>
      <c r="CI56" s="135" t="s">
        <v>728</v>
      </c>
      <c r="CJ56" s="152">
        <f>VLOOKUP(Ручки[[#This Row],[Категория]],Ценовые_категории_ручек[],2,0)</f>
        <v>800</v>
      </c>
    </row>
    <row r="57" spans="1:112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F57" s="125" t="s">
        <v>618</v>
      </c>
      <c r="CG57" s="120" t="s">
        <v>581</v>
      </c>
      <c r="CH57" s="123" t="s">
        <v>585</v>
      </c>
      <c r="CI57" s="135" t="s">
        <v>728</v>
      </c>
      <c r="CJ57" s="152">
        <f>VLOOKUP(Ручки[[#This Row],[Категория]],Ценовые_категории_ручек[],2,0)</f>
        <v>450</v>
      </c>
    </row>
    <row r="58" spans="1:112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F58" s="124" t="s">
        <v>633</v>
      </c>
      <c r="CG58" s="118" t="s">
        <v>590</v>
      </c>
      <c r="CH58" s="132" t="s">
        <v>591</v>
      </c>
      <c r="CI58" s="135" t="s">
        <v>734</v>
      </c>
      <c r="CJ58" s="152">
        <f>VLOOKUP(Ручки[[#This Row],[Категория]],Ценовые_категории_ручек[],2,0)</f>
        <v>625</v>
      </c>
    </row>
    <row r="59" spans="1:112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F59" s="91" t="s">
        <v>575</v>
      </c>
      <c r="CG59" s="118" t="s">
        <v>576</v>
      </c>
      <c r="CH59" s="135" t="s">
        <v>577</v>
      </c>
      <c r="CI59" s="135" t="s">
        <v>645</v>
      </c>
      <c r="CJ59" s="152">
        <f>VLOOKUP(Ручки[[#This Row],[Категория]],Ценовые_категории_ручек[],2,0)</f>
        <v>50</v>
      </c>
    </row>
    <row r="60" spans="1:112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2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2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2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2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gZWOFFa/jpx0i4+MkEqQV/fppJxqltZwhj0VzrTHixjIc6QhloL01mUZYzAPrgxSTSzmCkIJp+x2LqW33JlFkQ==" saltValue="GAzCcw/ybZ7ez5xkZvGvmg==" spinCount="100000" sheet="1" objects="1" scenarios="1"/>
  <mergeCells count="9">
    <mergeCell ref="CF1:CJ1"/>
    <mergeCell ref="CN1:CO1"/>
    <mergeCell ref="CR1:CV1"/>
    <mergeCell ref="BB1:BE1"/>
    <mergeCell ref="BH2:BJ2"/>
    <mergeCell ref="BQ1:BR1"/>
    <mergeCell ref="BU1:BV1"/>
    <mergeCell ref="BX1:BY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72" t="s">
        <v>353</v>
      </c>
      <c r="C7" s="270" t="s">
        <v>354</v>
      </c>
      <c r="D7" s="270" t="s">
        <v>355</v>
      </c>
    </row>
    <row r="8" spans="2:4" ht="12" customHeight="1" x14ac:dyDescent="0.2">
      <c r="B8" s="272"/>
      <c r="C8" s="271"/>
      <c r="D8" s="271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67"/>
    </row>
    <row r="56" spans="1:7" x14ac:dyDescent="0.2">
      <c r="B56" s="39" t="s">
        <v>373</v>
      </c>
      <c r="C56" s="40">
        <v>1720</v>
      </c>
      <c r="D56" s="268"/>
    </row>
    <row r="57" spans="1:7" x14ac:dyDescent="0.2">
      <c r="B57" s="39" t="s">
        <v>374</v>
      </c>
      <c r="C57" s="40">
        <v>2140</v>
      </c>
      <c r="D57" s="268"/>
    </row>
    <row r="58" spans="1:7" ht="12.75" thickBot="1" x14ac:dyDescent="0.25">
      <c r="B58" s="39" t="s">
        <v>375</v>
      </c>
      <c r="C58" s="40">
        <v>2410</v>
      </c>
      <c r="D58" s="269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sheetProtection algorithmName="SHA-512" hashValue="l5s8HYJCh6GhrMf9WhgTUVWRaWwgmhmGD04E2cUFImY7f9ssQKNnjLJhBIG9uzGbGiNC3s5DuFcMSjAISov2fA==" saltValue="o7k7DzJNu2MwoBfGZN6yUw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sheetProtection algorithmName="SHA-512" hashValue="skBj+IWBgav4PLO1EGgYJWANUJmUnvllUO5MgC88sFAERvQ4Tfb+pquc07CnMrT6UTBOCksiEN3tduHmwepsDw==" saltValue="gOKXNTXp5FWf8gUfwKpE7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sheetProtection algorithmName="SHA-512" hashValue="YZQwdGDHT5BUNM0/H13pk8N2qfQ9ICsTrR+jyxEoaxNUeIEJ8IyepxkBXcBSF95gyv1jPVhDjKTYo3oV+erwfQ==" saltValue="sAB/EdM5jixTiwOnQNTR5g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2025-02-28T07:29:51Z</dcterms:modified>
</cp:coreProperties>
</file>