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kitchen_calculator\"/>
    </mc:Choice>
  </mc:AlternateContent>
  <xr:revisionPtr revIDLastSave="0" documentId="13_ncr:1_{CAA1F3B5-C62C-4152-BBA4-11AD5A8D68EF}" xr6:coauthVersionLast="45" xr6:coauthVersionMax="45" xr10:uidLastSave="{00000000-0000-0000-0000-000000000000}"/>
  <bookViews>
    <workbookView xWindow="-6690" yWindow="2820" windowWidth="14490" windowHeight="11190" activeTab="1" xr2:uid="{38627D7D-736F-4D1A-9ABD-DADB48A4DBD5}"/>
  </bookViews>
  <sheets>
    <sheet name="modules" sheetId="2" r:id="rId1"/>
    <sheet name="kf_korp" sheetId="3" r:id="rId2"/>
    <sheet name="kompl" sheetId="5" r:id="rId3"/>
    <sheet name="furn" sheetId="4" r:id="rId4"/>
  </sheets>
  <externalReferences>
    <externalReference r:id="rId5"/>
    <externalReference r:id="rId6"/>
  </externalReferences>
  <definedNames>
    <definedName name="Верхние">[1]Лист2!$A$2:$A$100</definedName>
    <definedName name="Комплектация_">'[1]Тип НСТ'!$A$16:$A$22</definedName>
    <definedName name="Материал_полок_">'[1]Тип НСТ'!$H$2:$H$5</definedName>
    <definedName name="Нижние">[1]Лист1!$A$2:$A$74</definedName>
    <definedName name="Опоры_">'[1]Тип НСТ'!$C$2:$C$4</definedName>
    <definedName name="Освещение_">'[1]Тип НСТ'!$D$2:$D$8</definedName>
    <definedName name="Открывание_">'[1]Тип НСТ'!$E$2:$E$5</definedName>
    <definedName name="Подъемник_">'[1]Тип НСТ'!$F$8:$F$11</definedName>
    <definedName name="Тип_нестандарта">'[1]Тип НСТ'!$I$2:$I$3</definedName>
    <definedName name="Тип_продукции">'[1]Тип НСТ'!$A$11:$A$11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" i="5"/>
  <c r="BJ80" i="2" l="1"/>
  <c r="Q85" i="2" l="1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3" i="2"/>
  <c r="Q42" i="2"/>
  <c r="Q40" i="2"/>
  <c r="Q39" i="2"/>
  <c r="Q37" i="2"/>
  <c r="Q36" i="2"/>
  <c r="Q35" i="2"/>
  <c r="Q34" i="2"/>
  <c r="Q30" i="2"/>
  <c r="Q29" i="2"/>
  <c r="Q28" i="2"/>
  <c r="Q27" i="2"/>
  <c r="Q26" i="2"/>
  <c r="Q25" i="2"/>
  <c r="Q24" i="2"/>
  <c r="Q23" i="2"/>
  <c r="Q22" i="2"/>
  <c r="Q21" i="2"/>
  <c r="Q19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BQ85" i="2" l="1"/>
  <c r="BM85" i="2"/>
  <c r="AR85" i="2"/>
  <c r="AM85" i="2"/>
  <c r="AK85" i="2"/>
  <c r="V85" i="2"/>
  <c r="U85" i="2"/>
  <c r="BQ84" i="2"/>
  <c r="BM84" i="2"/>
  <c r="V84" i="2"/>
  <c r="AZ84" i="2" s="1"/>
  <c r="U84" i="2"/>
  <c r="AX84" i="2" s="1"/>
  <c r="BQ83" i="2"/>
  <c r="BL83" i="2"/>
  <c r="V83" i="2"/>
  <c r="AZ83" i="2" s="1"/>
  <c r="U83" i="2"/>
  <c r="AX83" i="2" s="1"/>
  <c r="BQ82" i="2"/>
  <c r="BL82" i="2"/>
  <c r="V82" i="2"/>
  <c r="AZ82" i="2" s="1"/>
  <c r="U82" i="2"/>
  <c r="AX82" i="2" s="1"/>
  <c r="BQ81" i="2"/>
  <c r="BO81" i="2"/>
  <c r="BK81" i="2" s="1"/>
  <c r="BN81" i="2"/>
  <c r="V81" i="2"/>
  <c r="AY81" i="2" s="1"/>
  <c r="U81" i="2"/>
  <c r="AX81" i="2" s="1"/>
  <c r="BQ80" i="2"/>
  <c r="BO80" i="2"/>
  <c r="BK80" i="2" s="1"/>
  <c r="BN80" i="2"/>
  <c r="V80" i="2"/>
  <c r="AZ80" i="2" s="1"/>
  <c r="U80" i="2"/>
  <c r="AX80" i="2" s="1"/>
  <c r="BQ79" i="2"/>
  <c r="AG79" i="2"/>
  <c r="AE79" i="2"/>
  <c r="V79" i="2"/>
  <c r="U79" i="2"/>
  <c r="BQ78" i="2"/>
  <c r="BM78" i="2"/>
  <c r="AP78" i="2"/>
  <c r="AK78" i="2"/>
  <c r="U78" i="2"/>
  <c r="BQ77" i="2"/>
  <c r="AG77" i="2"/>
  <c r="AF77" i="2"/>
  <c r="AE77" i="2"/>
  <c r="V77" i="2"/>
  <c r="U77" i="2"/>
  <c r="BQ76" i="2"/>
  <c r="AQ76" i="2"/>
  <c r="AP76" i="2"/>
  <c r="AN76" i="2"/>
  <c r="AM76" i="2"/>
  <c r="AK76" i="2"/>
  <c r="V76" i="2"/>
  <c r="U76" i="2"/>
  <c r="BQ75" i="2"/>
  <c r="AQ75" i="2"/>
  <c r="AP75" i="2"/>
  <c r="AN75" i="2"/>
  <c r="AM75" i="2"/>
  <c r="AK75" i="2"/>
  <c r="V75" i="2"/>
  <c r="U75" i="2"/>
  <c r="BQ74" i="2"/>
  <c r="AQ74" i="2"/>
  <c r="AP74" i="2"/>
  <c r="AN74" i="2"/>
  <c r="AM74" i="2"/>
  <c r="AK74" i="2"/>
  <c r="V74" i="2"/>
  <c r="U74" i="2"/>
  <c r="BQ73" i="2"/>
  <c r="U73" i="2"/>
  <c r="BQ72" i="2"/>
  <c r="U72" i="2"/>
  <c r="BQ71" i="2"/>
  <c r="AR71" i="2"/>
  <c r="AQ71" i="2"/>
  <c r="AP71" i="2"/>
  <c r="AN71" i="2"/>
  <c r="AM71" i="2"/>
  <c r="AK71" i="2"/>
  <c r="V71" i="2"/>
  <c r="U71" i="2"/>
  <c r="BQ70" i="2"/>
  <c r="AR70" i="2"/>
  <c r="AQ70" i="2"/>
  <c r="AP70" i="2"/>
  <c r="AO70" i="2"/>
  <c r="AN70" i="2"/>
  <c r="AM70" i="2"/>
  <c r="AL70" i="2"/>
  <c r="AK70" i="2"/>
  <c r="AJ70" i="2"/>
  <c r="V70" i="2"/>
  <c r="U70" i="2"/>
  <c r="BQ69" i="2"/>
  <c r="U69" i="2"/>
  <c r="BQ68" i="2"/>
  <c r="V68" i="2"/>
  <c r="AZ68" i="2" s="1"/>
  <c r="U68" i="2"/>
  <c r="AX68" i="2" s="1"/>
  <c r="BQ67" i="2"/>
  <c r="U67" i="2"/>
  <c r="BQ66" i="2"/>
  <c r="V66" i="2"/>
  <c r="AZ66" i="2" s="1"/>
  <c r="U66" i="2"/>
  <c r="AX66" i="2" s="1"/>
  <c r="BQ65" i="2"/>
  <c r="AQ65" i="2"/>
  <c r="AZ65" i="2" s="1"/>
  <c r="AN65" i="2"/>
  <c r="AM65" i="2"/>
  <c r="AK65" i="2"/>
  <c r="AX65" i="2" s="1"/>
  <c r="BQ64" i="2"/>
  <c r="V64" i="2"/>
  <c r="AY64" i="2" s="1"/>
  <c r="U64" i="2"/>
  <c r="AX64" i="2" s="1"/>
  <c r="BQ63" i="2"/>
  <c r="V63" i="2"/>
  <c r="AZ63" i="2" s="1"/>
  <c r="U63" i="2"/>
  <c r="AX63" i="2" s="1"/>
  <c r="BQ62" i="2"/>
  <c r="U62" i="2"/>
  <c r="BQ61" i="2"/>
  <c r="V61" i="2"/>
  <c r="AY61" i="2" s="1"/>
  <c r="U61" i="2"/>
  <c r="AX61" i="2" s="1"/>
  <c r="BQ60" i="2"/>
  <c r="Z60" i="2"/>
  <c r="AZ60" i="2" s="1"/>
  <c r="Y60" i="2"/>
  <c r="BQ59" i="2"/>
  <c r="BQ58" i="2"/>
  <c r="AW58" i="2"/>
  <c r="X58" i="2"/>
  <c r="AZ58" i="2" s="1"/>
  <c r="W58" i="2"/>
  <c r="BQ57" i="2"/>
  <c r="AW57" i="2"/>
  <c r="AH57" i="2"/>
  <c r="AZ57" i="2" s="1"/>
  <c r="BQ56" i="2"/>
  <c r="AW56" i="2"/>
  <c r="V56" i="2"/>
  <c r="AY56" i="2" s="1"/>
  <c r="U56" i="2"/>
  <c r="AX56" i="2" s="1"/>
  <c r="BQ55" i="2"/>
  <c r="AW55" i="2"/>
  <c r="V55" i="2"/>
  <c r="AZ55" i="2" s="1"/>
  <c r="U55" i="2"/>
  <c r="AX55" i="2" s="1"/>
  <c r="BQ54" i="2"/>
  <c r="V54" i="2"/>
  <c r="U54" i="2"/>
  <c r="BQ53" i="2"/>
  <c r="AF53" i="2"/>
  <c r="AE53" i="2"/>
  <c r="AB53" i="2"/>
  <c r="BQ52" i="2"/>
  <c r="AF52" i="2"/>
  <c r="AE52" i="2"/>
  <c r="AB52" i="2"/>
  <c r="BQ51" i="2"/>
  <c r="AF51" i="2"/>
  <c r="AE51" i="2"/>
  <c r="AA51" i="2"/>
  <c r="BQ50" i="2"/>
  <c r="AH50" i="2"/>
  <c r="AA50" i="2"/>
  <c r="BQ49" i="2"/>
  <c r="AD49" i="2"/>
  <c r="V49" i="2"/>
  <c r="U49" i="2"/>
  <c r="BQ48" i="2"/>
  <c r="AC48" i="2"/>
  <c r="V48" i="2"/>
  <c r="U48" i="2"/>
  <c r="BQ47" i="2"/>
  <c r="AB47" i="2"/>
  <c r="V47" i="2"/>
  <c r="U47" i="2"/>
  <c r="BQ46" i="2"/>
  <c r="AB46" i="2"/>
  <c r="V46" i="2"/>
  <c r="U46" i="2"/>
  <c r="BQ45" i="2"/>
  <c r="AA45" i="2"/>
  <c r="V45" i="2"/>
  <c r="U45" i="2"/>
  <c r="BQ44" i="2"/>
  <c r="Z44" i="2"/>
  <c r="AY44" i="2" s="1"/>
  <c r="Y44" i="2"/>
  <c r="AX44" i="2" s="1"/>
  <c r="BQ43" i="2"/>
  <c r="V43" i="2"/>
  <c r="AZ43" i="2" s="1"/>
  <c r="U43" i="2"/>
  <c r="AX43" i="2" s="1"/>
  <c r="BQ42" i="2"/>
  <c r="V42" i="2"/>
  <c r="AZ42" i="2" s="1"/>
  <c r="U42" i="2"/>
  <c r="AX42" i="2" s="1"/>
  <c r="BQ41" i="2"/>
  <c r="X41" i="2"/>
  <c r="W41" i="2"/>
  <c r="BQ40" i="2"/>
  <c r="AH40" i="2"/>
  <c r="AZ40" i="2" s="1"/>
  <c r="BQ39" i="2"/>
  <c r="V39" i="2"/>
  <c r="AZ39" i="2" s="1"/>
  <c r="U39" i="2"/>
  <c r="AX39" i="2" s="1"/>
  <c r="BQ38" i="2"/>
  <c r="AG38" i="2"/>
  <c r="AE38" i="2"/>
  <c r="AX38" i="2" s="1"/>
  <c r="V38" i="2"/>
  <c r="BQ37" i="2"/>
  <c r="AG37" i="2"/>
  <c r="AF37" i="2"/>
  <c r="AE37" i="2"/>
  <c r="AX37" i="2" s="1"/>
  <c r="V37" i="2"/>
  <c r="BQ36" i="2"/>
  <c r="V36" i="2"/>
  <c r="AZ36" i="2" s="1"/>
  <c r="U36" i="2"/>
  <c r="AX36" i="2" s="1"/>
  <c r="BQ35" i="2"/>
  <c r="V35" i="2"/>
  <c r="AZ35" i="2" s="1"/>
  <c r="U35" i="2"/>
  <c r="AX35" i="2" s="1"/>
  <c r="BQ34" i="2"/>
  <c r="BQ33" i="2"/>
  <c r="BQ32" i="2"/>
  <c r="AV32" i="2"/>
  <c r="W32" i="2"/>
  <c r="BQ31" i="2"/>
  <c r="AV31" i="2"/>
  <c r="W31" i="2"/>
  <c r="BQ30" i="2"/>
  <c r="AV30" i="2"/>
  <c r="V30" i="2"/>
  <c r="U30" i="2"/>
  <c r="BQ29" i="2"/>
  <c r="AV29" i="2"/>
  <c r="V29" i="2"/>
  <c r="U29" i="2"/>
  <c r="BQ28" i="2"/>
  <c r="AV28" i="2"/>
  <c r="AU28" i="2"/>
  <c r="AT28" i="2"/>
  <c r="BQ27" i="2"/>
  <c r="AV27" i="2"/>
  <c r="AS27" i="2"/>
  <c r="BQ26" i="2"/>
  <c r="AV26" i="2"/>
  <c r="AK26" i="2"/>
  <c r="AJ26" i="2"/>
  <c r="BQ25" i="2"/>
  <c r="AV25" i="2"/>
  <c r="AK25" i="2"/>
  <c r="BQ24" i="2"/>
  <c r="AV24" i="2"/>
  <c r="V24" i="2"/>
  <c r="U24" i="2"/>
  <c r="BQ23" i="2"/>
  <c r="AV23" i="2"/>
  <c r="V23" i="2"/>
  <c r="U23" i="2"/>
  <c r="BQ22" i="2"/>
  <c r="X22" i="2"/>
  <c r="AY22" i="2" s="1"/>
  <c r="W22" i="2"/>
  <c r="AX22" i="2" s="1"/>
  <c r="BQ21" i="2"/>
  <c r="BQ20" i="2"/>
  <c r="Z20" i="2"/>
  <c r="AZ20" i="2" s="1"/>
  <c r="Y20" i="2"/>
  <c r="AX20" i="2" s="1"/>
  <c r="BQ19" i="2"/>
  <c r="AN19" i="2"/>
  <c r="AI19" i="2"/>
  <c r="BQ18" i="2"/>
  <c r="BH18" i="2"/>
  <c r="BG18" i="2"/>
  <c r="AK18" i="2"/>
  <c r="BQ17" i="2"/>
  <c r="AR17" i="2"/>
  <c r="AZ17" i="2" s="1"/>
  <c r="AP17" i="2"/>
  <c r="AN17" i="2"/>
  <c r="AM17" i="2"/>
  <c r="AK17" i="2"/>
  <c r="AX17" i="2" s="1"/>
  <c r="BQ16" i="2"/>
  <c r="AR16" i="2"/>
  <c r="AQ16" i="2"/>
  <c r="AP16" i="2"/>
  <c r="AN16" i="2"/>
  <c r="AM16" i="2"/>
  <c r="AL16" i="2"/>
  <c r="AK16" i="2"/>
  <c r="AJ16" i="2"/>
  <c r="BQ15" i="2"/>
  <c r="AQ15" i="2"/>
  <c r="AZ15" i="2" s="1"/>
  <c r="AN15" i="2"/>
  <c r="AL15" i="2"/>
  <c r="AJ15" i="2"/>
  <c r="AX15" i="2" s="1"/>
  <c r="BQ14" i="2"/>
  <c r="AO14" i="2"/>
  <c r="AN14" i="2"/>
  <c r="AL14" i="2"/>
  <c r="AJ14" i="2"/>
  <c r="V14" i="2"/>
  <c r="U14" i="2"/>
  <c r="BQ13" i="2"/>
  <c r="AO13" i="2"/>
  <c r="AN13" i="2"/>
  <c r="AL13" i="2"/>
  <c r="AJ13" i="2"/>
  <c r="V13" i="2"/>
  <c r="U13" i="2"/>
  <c r="BQ12" i="2"/>
  <c r="X12" i="2"/>
  <c r="W12" i="2"/>
  <c r="BQ11" i="2"/>
  <c r="X11" i="2"/>
  <c r="W11" i="2"/>
  <c r="BQ10" i="2"/>
  <c r="X10" i="2"/>
  <c r="W10" i="2"/>
  <c r="BQ9" i="2"/>
  <c r="X9" i="2"/>
  <c r="W9" i="2"/>
  <c r="BQ8" i="2"/>
  <c r="V8" i="2"/>
  <c r="AZ8" i="2" s="1"/>
  <c r="U8" i="2"/>
  <c r="AX8" i="2" s="1"/>
  <c r="BQ7" i="2"/>
  <c r="V7" i="2"/>
  <c r="AY7" i="2" s="1"/>
  <c r="U7" i="2"/>
  <c r="AX7" i="2" s="1"/>
  <c r="BQ6" i="2"/>
  <c r="AT6" i="2"/>
  <c r="AZ6" i="2" s="1"/>
  <c r="BQ5" i="2"/>
  <c r="AS5" i="2"/>
  <c r="AZ5" i="2" s="1"/>
  <c r="BQ4" i="2"/>
  <c r="V4" i="2"/>
  <c r="AZ4" i="2" s="1"/>
  <c r="U4" i="2"/>
  <c r="AX4" i="2" s="1"/>
  <c r="BQ3" i="2"/>
  <c r="V3" i="2"/>
  <c r="AZ3" i="2" s="1"/>
  <c r="U3" i="2"/>
  <c r="AX3" i="2" s="1"/>
  <c r="BQ2" i="2"/>
  <c r="AZ2" i="2"/>
  <c r="AY2" i="2"/>
  <c r="AX2" i="2"/>
  <c r="AZ53" i="2" l="1"/>
  <c r="AZ29" i="2"/>
  <c r="AY25" i="2"/>
  <c r="AZ51" i="2"/>
  <c r="AZ71" i="2"/>
  <c r="AZ10" i="2"/>
  <c r="AY79" i="2"/>
  <c r="AZ62" i="2"/>
  <c r="AZ32" i="2"/>
  <c r="AY38" i="2"/>
  <c r="AZ37" i="2"/>
  <c r="AX85" i="2"/>
  <c r="AZ85" i="2"/>
  <c r="AX71" i="2"/>
  <c r="AY63" i="2"/>
  <c r="AX69" i="2"/>
  <c r="AZ64" i="2"/>
  <c r="AX52" i="2"/>
  <c r="AZ81" i="2"/>
  <c r="AX16" i="2"/>
  <c r="AX23" i="2"/>
  <c r="AZ49" i="2"/>
  <c r="AY58" i="2"/>
  <c r="AZ76" i="2"/>
  <c r="AX77" i="2"/>
  <c r="AX12" i="2"/>
  <c r="AY17" i="2"/>
  <c r="AX25" i="2"/>
  <c r="AZ45" i="2"/>
  <c r="AZ48" i="2"/>
  <c r="AY65" i="2"/>
  <c r="AY74" i="2"/>
  <c r="AX14" i="2"/>
  <c r="AY50" i="2"/>
  <c r="AZ56" i="2"/>
  <c r="AZ54" i="2"/>
  <c r="AZ77" i="2"/>
  <c r="AZ72" i="2"/>
  <c r="AZ16" i="2"/>
  <c r="AY37" i="2"/>
  <c r="AX60" i="2"/>
  <c r="AY71" i="2"/>
  <c r="AX74" i="2"/>
  <c r="AZ26" i="2"/>
  <c r="AZ28" i="2"/>
  <c r="AZ44" i="2"/>
  <c r="AY82" i="2"/>
  <c r="AY73" i="2"/>
  <c r="AY46" i="2"/>
  <c r="AX5" i="2"/>
  <c r="AZ18" i="2"/>
  <c r="AY35" i="2"/>
  <c r="AY55" i="2"/>
  <c r="AY60" i="2"/>
  <c r="AZ67" i="2"/>
  <c r="AX26" i="2"/>
  <c r="AY16" i="2"/>
  <c r="AZ23" i="2"/>
  <c r="AY26" i="2"/>
  <c r="AZ19" i="2"/>
  <c r="AY72" i="2"/>
  <c r="AX76" i="2"/>
  <c r="AY84" i="2"/>
  <c r="AY15" i="2"/>
  <c r="AZ47" i="2"/>
  <c r="AZ74" i="2"/>
  <c r="AY85" i="2"/>
  <c r="AX6" i="2"/>
  <c r="AY6" i="2"/>
  <c r="AZ14" i="2"/>
  <c r="AY36" i="2"/>
  <c r="AX13" i="2"/>
  <c r="AY27" i="2"/>
  <c r="AY43" i="2"/>
  <c r="AX53" i="2"/>
  <c r="AY29" i="2"/>
  <c r="AY53" i="2"/>
  <c r="AX79" i="2"/>
  <c r="AY5" i="2"/>
  <c r="AX28" i="2"/>
  <c r="AZ7" i="2"/>
  <c r="AZ9" i="2"/>
  <c r="AZ27" i="2"/>
  <c r="AZ50" i="2"/>
  <c r="AZ75" i="2"/>
  <c r="AZ25" i="2"/>
  <c r="AY45" i="2"/>
  <c r="AY49" i="2"/>
  <c r="AY54" i="2"/>
  <c r="AX58" i="2"/>
  <c r="AZ61" i="2"/>
  <c r="AX72" i="2"/>
  <c r="BJ81" i="2"/>
  <c r="AZ70" i="2"/>
  <c r="AZ11" i="2"/>
  <c r="AY48" i="2"/>
  <c r="AZ78" i="2"/>
  <c r="AX24" i="2"/>
  <c r="AY78" i="2"/>
  <c r="AZ24" i="2"/>
  <c r="AX75" i="2"/>
  <c r="AY76" i="2"/>
  <c r="AY83" i="2"/>
  <c r="AZ13" i="2"/>
  <c r="AY28" i="2"/>
  <c r="AZ31" i="2"/>
  <c r="AY42" i="2"/>
  <c r="AX51" i="2"/>
  <c r="AY52" i="2"/>
  <c r="AZ73" i="2"/>
  <c r="AY47" i="2"/>
  <c r="AX70" i="2"/>
  <c r="AX27" i="2"/>
  <c r="AZ41" i="2"/>
  <c r="AX50" i="2"/>
  <c r="AY51" i="2"/>
  <c r="AZ52" i="2"/>
  <c r="AY70" i="2"/>
  <c r="AY75" i="2"/>
  <c r="AY77" i="2"/>
  <c r="AZ12" i="2"/>
  <c r="AZ30" i="2"/>
  <c r="AX41" i="2"/>
  <c r="AZ46" i="2"/>
  <c r="AZ69" i="2"/>
  <c r="AX73" i="2"/>
  <c r="AX11" i="2"/>
  <c r="AX32" i="2"/>
  <c r="AY40" i="2"/>
  <c r="AX62" i="2"/>
  <c r="AY69" i="2"/>
  <c r="AX40" i="2"/>
  <c r="AY4" i="2"/>
  <c r="AY12" i="2"/>
  <c r="AX10" i="2"/>
  <c r="AY24" i="2"/>
  <c r="AY32" i="2"/>
  <c r="AY41" i="2"/>
  <c r="AY62" i="2"/>
  <c r="AX9" i="2"/>
  <c r="AY11" i="2"/>
  <c r="AY3" i="2"/>
  <c r="AY8" i="2"/>
  <c r="AY9" i="2"/>
  <c r="AY10" i="2"/>
  <c r="AY13" i="2"/>
  <c r="AY20" i="2"/>
  <c r="AY23" i="2"/>
  <c r="AX31" i="2"/>
  <c r="AY39" i="2"/>
  <c r="AY68" i="2"/>
  <c r="AY80" i="2"/>
  <c r="AX19" i="2"/>
  <c r="AX30" i="2"/>
  <c r="AY31" i="2"/>
  <c r="AX57" i="2"/>
  <c r="AX67" i="2"/>
  <c r="AX78" i="2"/>
  <c r="AY14" i="2"/>
  <c r="AX18" i="2"/>
  <c r="AY19" i="2"/>
  <c r="AX29" i="2"/>
  <c r="AY30" i="2"/>
  <c r="AX54" i="2"/>
  <c r="AY57" i="2"/>
  <c r="AY67" i="2"/>
  <c r="AY18" i="2"/>
  <c r="AX45" i="2"/>
  <c r="AX46" i="2"/>
  <c r="AX47" i="2"/>
  <c r="AX48" i="2"/>
  <c r="AX49" i="2"/>
  <c r="AY6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Камынин Василий Алексеевич</author>
  </authors>
  <commentList>
    <comment ref="U1" authorId="0" shapeId="0" xr:uid="{B0AC5388-8788-4533-B179-D124CC3D1AE7}">
      <text>
        <r>
          <rPr>
            <b/>
            <sz val="9"/>
            <color indexed="81"/>
            <rFont val="Tahoma"/>
            <family val="2"/>
            <charset val="204"/>
          </rPr>
          <t>Камынин Василий Алексеевич:</t>
        </r>
        <r>
          <rPr>
            <sz val="9"/>
            <color indexed="81"/>
            <rFont val="Tahoma"/>
            <family val="2"/>
            <charset val="204"/>
          </rPr>
          <t xml:space="preserve">
Комплектация №2</t>
        </r>
      </text>
    </comment>
  </commentList>
</comments>
</file>

<file path=xl/sharedStrings.xml><?xml version="1.0" encoding="utf-8"?>
<sst xmlns="http://schemas.openxmlformats.org/spreadsheetml/2006/main" count="2360" uniqueCount="314">
  <si>
    <t>Артикул</t>
  </si>
  <si>
    <t>Тип</t>
  </si>
  <si>
    <t>Варианты наполнения</t>
  </si>
  <si>
    <t>Вид модуля</t>
  </si>
  <si>
    <t>Профиль Gola</t>
  </si>
  <si>
    <t>Признаки для фильтров</t>
  </si>
  <si>
    <t>Высота min</t>
  </si>
  <si>
    <t>Высота max</t>
  </si>
  <si>
    <t>Ширина min</t>
  </si>
  <si>
    <t>Ширина max</t>
  </si>
  <si>
    <t>Глубина min</t>
  </si>
  <si>
    <t>Глубина max</t>
  </si>
  <si>
    <t>Базовая цена</t>
  </si>
  <si>
    <t>КФ НСТ11</t>
  </si>
  <si>
    <t>КФ НСТ1</t>
  </si>
  <si>
    <t>КФ крепежа корпуса 1</t>
  </si>
  <si>
    <t>КФ крепежа корпуса 2</t>
  </si>
  <si>
    <t>КФ крепежа корпуса 4</t>
  </si>
  <si>
    <t>КФ крепежа корпуса 6</t>
  </si>
  <si>
    <t>КФ крепежа корпуса 7</t>
  </si>
  <si>
    <t>КФ крепежа корпуса 9</t>
  </si>
  <si>
    <t>КФ крепежа корпуса 10</t>
  </si>
  <si>
    <t>КФ крепежа корпуса 11</t>
  </si>
  <si>
    <t>КФ крепежа корпуса 12</t>
  </si>
  <si>
    <t>КФ крепежа корпуса 13</t>
  </si>
  <si>
    <t>КФ НСТ 14</t>
  </si>
  <si>
    <t>КФ крепежа корпуса 15</t>
  </si>
  <si>
    <t>КФ крепежа корпуса 16</t>
  </si>
  <si>
    <t>КФ опора пластиковая 120</t>
  </si>
  <si>
    <t>KFPr-SB-POD</t>
  </si>
  <si>
    <t>KFPr-SB-ZPG</t>
  </si>
  <si>
    <t>KFPr-SB-SPL</t>
  </si>
  <si>
    <t>KFPr-SB-SMRZ_16мм</t>
  </si>
  <si>
    <t>КФ KEKU</t>
  </si>
  <si>
    <t>КФ петли SENS накл.110 гр. с крестообр. Планкой</t>
  </si>
  <si>
    <t>KFP-SB-N110</t>
  </si>
  <si>
    <t>КФ петли вклад. 95 гр. с крестообр. планкой</t>
  </si>
  <si>
    <t>KFP-SB-PY94</t>
  </si>
  <si>
    <t>КKFP-SB-GT45</t>
  </si>
  <si>
    <t>KFP-SB-N45</t>
  </si>
  <si>
    <t>KFS-SB-45 (посудосушители)</t>
  </si>
  <si>
    <t>КФ Сушка AFF 600</t>
  </si>
  <si>
    <t>КФ Сушка AFF 800</t>
  </si>
  <si>
    <t>КФ Сушка AFF 900</t>
  </si>
  <si>
    <t>KFP-SP-PPGK</t>
  </si>
  <si>
    <t xml:space="preserve">KFP-SP-PPGK_71
</t>
  </si>
  <si>
    <t>KFP-SP-PPA</t>
  </si>
  <si>
    <t>KFP-SB-PPHF_W</t>
  </si>
  <si>
    <t>KFN-SB-M54</t>
  </si>
  <si>
    <t>Комплект для ящика Hettich ATIRA Серый, NL-470, H-70</t>
  </si>
  <si>
    <t>Комплект для ящика Hettich ATIRA Серый с реллингом, NL-470, H-176</t>
  </si>
  <si>
    <t>KFN-SB-M86</t>
  </si>
  <si>
    <t>KFN-SB-M15</t>
  </si>
  <si>
    <t>KFN-SB-MD</t>
  </si>
  <si>
    <t>КФ ящика Matrix (H=89 мм)_450_GR</t>
  </si>
  <si>
    <t>КФ ящика Matrix (H=175 мм)_450_GR</t>
  </si>
  <si>
    <t>Комплект ящика INNOTECH ATIRA полного выдв. с  PUSH TO OPEN , Н70,NL470,цвет серебристый</t>
  </si>
  <si>
    <t>Комплект короба INNOTECH ATIRA полного выдв. с Push to open, Н176,NL470,рейлинги, цвет серебристый</t>
  </si>
  <si>
    <t>KFS-SB-BYT</t>
  </si>
  <si>
    <t>Корзина с держателем для бутылок 414*500*520 мм</t>
  </si>
  <si>
    <t>КФ евровинт</t>
  </si>
  <si>
    <t>КФ  крепления профиля Gola</t>
  </si>
  <si>
    <t>Профиль Gola для подвесных шкафов алюм.16 мм</t>
  </si>
  <si>
    <t>Комплектация №2</t>
  </si>
  <si>
    <t>Комплектация №3</t>
  </si>
  <si>
    <t>Комплектация №3Т</t>
  </si>
  <si>
    <t>Базовая ширина</t>
  </si>
  <si>
    <t>Базовая высота</t>
  </si>
  <si>
    <t>Базовая глубина</t>
  </si>
  <si>
    <t>Коэфф.высота</t>
  </si>
  <si>
    <t>Коэфф.ширина</t>
  </si>
  <si>
    <t>Коэфф.глубина</t>
  </si>
  <si>
    <t>Полки min,шт.</t>
  </si>
  <si>
    <t>Полки max,шт.</t>
  </si>
  <si>
    <t>Tip-on</t>
  </si>
  <si>
    <t>Инфо о комплектации</t>
  </si>
  <si>
    <t>Полки по умолчанию</t>
  </si>
  <si>
    <t>Доступ к стеклянным полкам</t>
  </si>
  <si>
    <t>Базовая цена цветной корпус</t>
  </si>
  <si>
    <t>КФ НСТ19</t>
  </si>
  <si>
    <t>Корзина выдв.посудосуш.600 мм + напр. L450 Hettich (ХРОМ)</t>
  </si>
  <si>
    <t>Кол-во фасадов</t>
  </si>
  <si>
    <t>Комплектация №1</t>
  </si>
  <si>
    <t>Комплектация №1T</t>
  </si>
  <si>
    <t>КФ НСТ20</t>
  </si>
  <si>
    <t>КФ НСТ12</t>
  </si>
  <si>
    <t>КФ EMV1DL/2DL</t>
  </si>
  <si>
    <t>Комплект петли Hettich с доводчиком для алюм.профиля</t>
  </si>
  <si>
    <t>Наличие подсветки на нижнем горизонте</t>
  </si>
  <si>
    <t>профиль рассеиватель HLBL</t>
  </si>
  <si>
    <t>ENO</t>
  </si>
  <si>
    <t>Нижний</t>
  </si>
  <si>
    <t>ENO Открытый+Полки+Нижний</t>
  </si>
  <si>
    <t>Открытый</t>
  </si>
  <si>
    <t>Нет</t>
  </si>
  <si>
    <t>Полки</t>
  </si>
  <si>
    <t>Все комплектации доступны</t>
  </si>
  <si>
    <t>EMN1D</t>
  </si>
  <si>
    <t>EMN1D 1 дверь+Полки+Нижний</t>
  </si>
  <si>
    <t>Прямой</t>
  </si>
  <si>
    <t>EMN2D</t>
  </si>
  <si>
    <t>EMN2D 2 двери+Полки+Нижний</t>
  </si>
  <si>
    <t>EMN1K_150</t>
  </si>
  <si>
    <t>EMN1K_150 1 дверь+Корзина_150</t>
  </si>
  <si>
    <t>Корзина</t>
  </si>
  <si>
    <t>EMN1K_450</t>
  </si>
  <si>
    <t>EMN1K_450 1 дверь+Корзина_450</t>
  </si>
  <si>
    <t>EWN1D</t>
  </si>
  <si>
    <t>EWN1D 1 дверь+Мойка</t>
  </si>
  <si>
    <t>Мойка</t>
  </si>
  <si>
    <t>Да</t>
  </si>
  <si>
    <t>EWN2D</t>
  </si>
  <si>
    <t>EWN2D 2 двери+Мойка</t>
  </si>
  <si>
    <t>EUN1D</t>
  </si>
  <si>
    <t>EUN1D 1 дверь+Бленда+Полки+Угловой_отступ_250</t>
  </si>
  <si>
    <t>Угловой</t>
  </si>
  <si>
    <t>EUN1D_150</t>
  </si>
  <si>
    <t>EUN1D_150 1 дверь+Бленда+Полки+Угловой_отступ_150</t>
  </si>
  <si>
    <t>EWU1D</t>
  </si>
  <si>
    <t>EWU1D 1 дверь+Бленда+Мойка+Угловой_отступ_250</t>
  </si>
  <si>
    <t>EWU1D_150</t>
  </si>
  <si>
    <t>EWU1D_150 1 дверь+Бленда+Мойка+Угловой_отступ_150</t>
  </si>
  <si>
    <t>EMN1B1D</t>
  </si>
  <si>
    <t>EMN1B1D 1 дверь+1 Ящик+Полки</t>
  </si>
  <si>
    <t>Ящик</t>
  </si>
  <si>
    <t>Модуль недоступен в компл. 3T</t>
  </si>
  <si>
    <t>EMN1B2D</t>
  </si>
  <si>
    <t>EMN1B2D 2 двери+1 Ящик+Полки</t>
  </si>
  <si>
    <t>EMN4B</t>
  </si>
  <si>
    <t>EMN4B 4 Ящика</t>
  </si>
  <si>
    <t>EMN3B</t>
  </si>
  <si>
    <t>EMN3B 3 Ящика</t>
  </si>
  <si>
    <t>EMN2B</t>
  </si>
  <si>
    <t>EMN2B 2 Ящика</t>
  </si>
  <si>
    <t>EMN1W1B</t>
  </si>
  <si>
    <t>EMN1W1B 2 Ящика + Сушилка</t>
  </si>
  <si>
    <t>Сушилка</t>
  </si>
  <si>
    <t>Модуль недоступен в компл.№3 и 3T</t>
  </si>
  <si>
    <t>ETN1B</t>
  </si>
  <si>
    <t>ETN1B 1 ящик+Духовка</t>
  </si>
  <si>
    <t>Духовка</t>
  </si>
  <si>
    <t>Модуль не доступен в комплектации №2 и №3T</t>
  </si>
  <si>
    <t>ESNX1D</t>
  </si>
  <si>
    <t>ESNX1D 1 дверь+Скошенный+Торцевой+Полки</t>
  </si>
  <si>
    <t>Скошенный</t>
  </si>
  <si>
    <t>ERN</t>
  </si>
  <si>
    <t>ERN Открытый+Радиус+Торцевой+Полки</t>
  </si>
  <si>
    <t>Радиусный</t>
  </si>
  <si>
    <t>ERN1D</t>
  </si>
  <si>
    <t>ERN1D 1 дверь+Радиус+Торцевой+Полки</t>
  </si>
  <si>
    <t>ENG1D</t>
  </si>
  <si>
    <t>ENG1D Gola+1 дверь</t>
  </si>
  <si>
    <t>ENG2D</t>
  </si>
  <si>
    <t>ENG2D Gola+2 двери</t>
  </si>
  <si>
    <t>ENG2B</t>
  </si>
  <si>
    <t>ENG2B Gola+2 Ящика</t>
  </si>
  <si>
    <t>ENG3B</t>
  </si>
  <si>
    <t>ENG3B Gola+3 Ящика</t>
  </si>
  <si>
    <t>ENG1K_150</t>
  </si>
  <si>
    <t>ENG1K_150 Gola+Корзина_150</t>
  </si>
  <si>
    <t>ENG1K_450</t>
  </si>
  <si>
    <t>ENG1K_450 Gola+Корзина_450</t>
  </si>
  <si>
    <t>EWG1D</t>
  </si>
  <si>
    <t>EWG1D Gola+1 дверь+Мойка</t>
  </si>
  <si>
    <t>EWG2D</t>
  </si>
  <si>
    <t>EWG2D Gola+2 двери+Мойка</t>
  </si>
  <si>
    <t>EUG1D</t>
  </si>
  <si>
    <t>EUG1D Gola+1 дверь+Бленда+Полки+Угловой_Отступ_250+Низ</t>
  </si>
  <si>
    <t>EUG1D_150</t>
  </si>
  <si>
    <t>EUG1D_150 Gola+1 дверь+Бленда+Полки+Угловой_Отступ_150+Низ</t>
  </si>
  <si>
    <t>EZ1F</t>
  </si>
  <si>
    <t>EZ1F 1 фасад+Колонна + Нижний</t>
  </si>
  <si>
    <t>Колонна</t>
  </si>
  <si>
    <t>EVO</t>
  </si>
  <si>
    <t>Верхний</t>
  </si>
  <si>
    <t>EVO Открытый+Полки+Верхний</t>
  </si>
  <si>
    <t>EMV1D</t>
  </si>
  <si>
    <t>EMV1D 1 дверь+Полки+Верхний</t>
  </si>
  <si>
    <t>EMV1DN</t>
  </si>
  <si>
    <t>EMV1DN 1 дверь+Микроволновая печь</t>
  </si>
  <si>
    <t>Микроволновка</t>
  </si>
  <si>
    <t>EMV1V</t>
  </si>
  <si>
    <t>EMV1V 1 фасад+Подъемник поворотный_h_360</t>
  </si>
  <si>
    <t>Подъемник</t>
  </si>
  <si>
    <t>EMV1VN</t>
  </si>
  <si>
    <t>EMV1VN 1 дверь+Подъемник поворотный+Микроволновая печь</t>
  </si>
  <si>
    <t>EMV2D</t>
  </si>
  <si>
    <t>EMV2D 2 двери+Полки+Верхний</t>
  </si>
  <si>
    <t>EMV2V</t>
  </si>
  <si>
    <t>EMV2V 2 фасада+Подъемник складной</t>
  </si>
  <si>
    <t>EVU1D</t>
  </si>
  <si>
    <t>EVU1D 1 дверь+Бленда+Полки+Угловой</t>
  </si>
  <si>
    <t>EHV1D</t>
  </si>
  <si>
    <t>EHV1D 1 дверь+Вытяжка</t>
  </si>
  <si>
    <t>Вытяжка</t>
  </si>
  <si>
    <t>EHV2D</t>
  </si>
  <si>
    <t>EHV2D 2 двери+Вытяжка</t>
  </si>
  <si>
    <t>EDV1D</t>
  </si>
  <si>
    <t>EDV1D 1 дверь+Диагональный+Полки</t>
  </si>
  <si>
    <t>Диагональный</t>
  </si>
  <si>
    <t>EWV1D_450</t>
  </si>
  <si>
    <t>EWV1D_450 1 дверь+Сушилка_450</t>
  </si>
  <si>
    <t>EWV1D_600</t>
  </si>
  <si>
    <t>EWV1D_600 1 дверь+Сушилка_600</t>
  </si>
  <si>
    <t>EWV2D_600</t>
  </si>
  <si>
    <t>EWV2D_600 2 двери+Сушилка_600</t>
  </si>
  <si>
    <t>EWV2D_800</t>
  </si>
  <si>
    <t>EWV2D_800 2 двери+Сушилка_800</t>
  </si>
  <si>
    <t>EWV2D_900</t>
  </si>
  <si>
    <t>EWV2D_900 2 двери+Сушилка_900</t>
  </si>
  <si>
    <t>EWV2V_450</t>
  </si>
  <si>
    <t>EWV2V_450 2 фасада+Подъемник складной+Сушилка_450</t>
  </si>
  <si>
    <t>EWV1V_450</t>
  </si>
  <si>
    <t>EWV1V_450 1 фасад+Подъемник поворотный+Сушилка_450</t>
  </si>
  <si>
    <t>EWV1V_600</t>
  </si>
  <si>
    <t>EWV1V_600 1 фасад+Подъемник поворотный+Сушилка_600</t>
  </si>
  <si>
    <t>EWV1V_900</t>
  </si>
  <si>
    <t>EWV1V_900 1 фасад+Подъемник поворотный+Сушилка_900</t>
  </si>
  <si>
    <t>ERV1D</t>
  </si>
  <si>
    <t>ERV1D 1 дверь+Радиус+Торцевой+1 Полка+Верхний</t>
  </si>
  <si>
    <t>EVG1D</t>
  </si>
  <si>
    <t>EVG1D Gola+1 дверь+Полки</t>
  </si>
  <si>
    <t>EVG2D</t>
  </si>
  <si>
    <t>EVG2D Gola+2 двери+Полки</t>
  </si>
  <si>
    <t>EVG2V</t>
  </si>
  <si>
    <t>EVG2V Gola+Складной подъемник</t>
  </si>
  <si>
    <t>EVUG1D</t>
  </si>
  <si>
    <t>EVUG1D Gola+1 дверь+Бленда+Полки+Угловой</t>
  </si>
  <si>
    <t>EZ1F 1 фасад+Колонна нижний</t>
  </si>
  <si>
    <t>ESVX1D</t>
  </si>
  <si>
    <t>ESVX1D 1 дверь+Скошенный+Полки h=720</t>
  </si>
  <si>
    <t>EP1D</t>
  </si>
  <si>
    <t>Пенал</t>
  </si>
  <si>
    <t>EP1D 1 дверь+ Полки + Пенал</t>
  </si>
  <si>
    <t>EPG1D</t>
  </si>
  <si>
    <t>EPG1D Gola+1 дверь+Полки+Пенал</t>
  </si>
  <si>
    <t>EPT1D_455</t>
  </si>
  <si>
    <t>EPT1D_455 1 дверь+1 Ниша под технику_455+Полки</t>
  </si>
  <si>
    <t>1 ниша</t>
  </si>
  <si>
    <t>EPT1D_595</t>
  </si>
  <si>
    <t>EPT1D_595 1 дверь+1 Ниша под технику_595+Полки</t>
  </si>
  <si>
    <t>EPT1B</t>
  </si>
  <si>
    <t>EPT1B 1 ящик+1 Ниша под технику_380</t>
  </si>
  <si>
    <t>EP2D</t>
  </si>
  <si>
    <t>EP2D 2 двери+Полки + Пенал</t>
  </si>
  <si>
    <t>EPG2D_EPG2DM</t>
  </si>
  <si>
    <t>EPG2D_EPG2DM Gola+2 двери+Полки+Пенал</t>
  </si>
  <si>
    <t>EPS2D</t>
  </si>
  <si>
    <t>EPS2D 2 двери+ Холодильник</t>
  </si>
  <si>
    <t>Холодильник</t>
  </si>
  <si>
    <t>EPSG2D</t>
  </si>
  <si>
    <t>EPSG2D Gola+2 двери+Холодильник</t>
  </si>
  <si>
    <t>EP3B1D</t>
  </si>
  <si>
    <t>EP3B1D 1 дверь+3 Ящика</t>
  </si>
  <si>
    <t>EP2B1D</t>
  </si>
  <si>
    <t>EP2B1D 1 дверь+2 Ящика</t>
  </si>
  <si>
    <t>EPTG2D_455</t>
  </si>
  <si>
    <t>EPTG2D_455 Gola+2 двери +1 Ниша под технику_455</t>
  </si>
  <si>
    <t>EPTG2D_595</t>
  </si>
  <si>
    <t>EPTG2D_595 Gola+2 двери +1 Ниша под технику_595</t>
  </si>
  <si>
    <t>EPT2B1D_382</t>
  </si>
  <si>
    <t>EPT2B1D_382 1 дверь+2 ящика+1 Ниша под технику_382</t>
  </si>
  <si>
    <t>EPT2B1D_455</t>
  </si>
  <si>
    <t>EPT2B1D_455 1 дверь+2 ящика + 1 Ниша под технику_455</t>
  </si>
  <si>
    <t>EPT2B1D_595</t>
  </si>
  <si>
    <t>EPT2B1D_595 1 дверь+2 ящика + 1 Ниша под технику_595</t>
  </si>
  <si>
    <t>EPTP1D_595</t>
  </si>
  <si>
    <t>EPTP1D_595 1 подъемник+1 дверь+2 Ниши под технику_382_595</t>
  </si>
  <si>
    <t>2 ниши</t>
  </si>
  <si>
    <t>EPNG1B1D</t>
  </si>
  <si>
    <t>EPNG1B1D Gola+1 дверь+1 ящик+Ниша под технику (настр.)</t>
  </si>
  <si>
    <t>EPSP2D</t>
  </si>
  <si>
    <t>EPSP2D 1 подъемник+2 двери+Холодильник</t>
  </si>
  <si>
    <t>EMV1DL</t>
  </si>
  <si>
    <t>EMV1DL 1 дверь + ал.витрина+ подсветка</t>
  </si>
  <si>
    <t>Ал.витрина</t>
  </si>
  <si>
    <t>EMV2DL</t>
  </si>
  <si>
    <t>EMV2DL 2 двери + ал.витрина+ подсветка</t>
  </si>
  <si>
    <t>EHV1D_312</t>
  </si>
  <si>
    <t>EHV1D_312 1 дверь + Вытяжка + настр.ниша</t>
  </si>
  <si>
    <t>EHV2D_312</t>
  </si>
  <si>
    <t>EHV2D_312 2 двери + Вытяжка + настр.ниша</t>
  </si>
  <si>
    <t>EPN2D</t>
  </si>
  <si>
    <t>EPN2D 2 двери + 1 Ниша под технику (настр.)</t>
  </si>
  <si>
    <t>EPN1B1D</t>
  </si>
  <si>
    <t>EPN1B1D 1 дверь + 1 ящик + 1 Ниша под технику (настр.)</t>
  </si>
  <si>
    <t>name_module</t>
  </si>
  <si>
    <t>name_furn</t>
  </si>
  <si>
    <t>quanity</t>
  </si>
  <si>
    <t>KFPr-SB-StK</t>
  </si>
  <si>
    <t>price</t>
  </si>
  <si>
    <t>number_kompl</t>
  </si>
  <si>
    <t>KFS-SB-BYT_AFF</t>
  </si>
  <si>
    <t>KFP-SP-PPGK_71</t>
  </si>
  <si>
    <t>condition</t>
  </si>
  <si>
    <t>changed_quantity</t>
  </si>
  <si>
    <t>name_furn_changed</t>
  </si>
  <si>
    <t>actualHeight &gt; 2101</t>
  </si>
  <si>
    <t>actualHeight &gt; 2200</t>
  </si>
  <si>
    <t>actualHeight &gt; 480 Or (actualHeight &gt; 450 And actualHeight &lt;= 480 And actualWidth &gt; 850)</t>
  </si>
  <si>
    <t>actualHeight &gt;= 2200</t>
  </si>
  <si>
    <t>actualHeight &gt; 2220</t>
  </si>
  <si>
    <t>actualHeight &gt; 800</t>
  </si>
  <si>
    <t>actualHeight &gt; 920</t>
  </si>
  <si>
    <t>actualHeight &gt; 961</t>
  </si>
  <si>
    <t>actualHeight &gt; 480 And actualHeight &lt;= 600</t>
  </si>
  <si>
    <t>actualHeight &gt; 960</t>
  </si>
  <si>
    <t>actualHeight &gt; 2100</t>
  </si>
  <si>
    <t>actualWidth &gt; 900</t>
  </si>
  <si>
    <t>(actualHeight - NishaHeight - 720 - 11) &gt;= 960 And (actualHeight - NishaHeight - 720 - 11) &lt;= 1499</t>
  </si>
  <si>
    <t>case_1: ((actualHeight - NishaHeight - 360 - 11) &gt;= 960 And (actualHeight - NishaHeight - 360 - 11) &lt;= 1499) case_2: ((actualHeight - NishaHeight - 360 - 11) &gt;= 1500 And (actualHeight - NishaHeight - 360 - 11) &lt;= 1859)</t>
  </si>
  <si>
    <t>changed_quantity_case_2</t>
  </si>
  <si>
    <t>KFP-SB-GT45</t>
  </si>
  <si>
    <t>id_furn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</si>
</sst>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₽_-;\-* #,##0.00\ _₽_-;_-* &quot;-&quot;??\ _₽_-;_-@_-"/>
    <numFmt numFmtId="165" formatCode="0.0"/>
    <numFmt numFmtId="166" formatCode="0.000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9"/>
      <color theme="2" tint="-0.499984740745262"/>
      <name val="Arial Cyr"/>
      <charset val="204"/>
    </font>
    <font>
      <sz val="9"/>
      <name val="Arial Cyr"/>
      <charset val="204"/>
    </font>
    <font>
      <sz val="10"/>
      <color theme="2" tint="-0.499984740745262"/>
      <name val="Arial Cyr"/>
      <charset val="204"/>
    </font>
    <font>
      <b/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8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8F6C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</cellStyleXfs>
  <cellXfs count="70">
    <xf numFmtId="0" fontId="0" fillId="0" borderId="0" xfId="0"/>
    <xf numFmtId="164" fontId="4" fillId="0" borderId="0" xfId="1" applyFont="1" applyFill="1" applyBorder="1" applyAlignment="1">
      <alignment horizontal="center" vertical="center"/>
    </xf>
    <xf numFmtId="164" fontId="3" fillId="0" borderId="0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 applyAlignment="1">
      <alignment horizontal="center" vertical="center" wrapText="1"/>
    </xf>
    <xf numFmtId="0" fontId="5" fillId="0" borderId="0" xfId="2" applyFont="1" applyFill="1" applyAlignment="1">
      <alignment horizontal="center" vertical="center"/>
    </xf>
    <xf numFmtId="0" fontId="6" fillId="0" borderId="0" xfId="3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" fontId="7" fillId="0" borderId="0" xfId="0" applyNumberFormat="1" applyFont="1" applyFill="1" applyAlignment="1">
      <alignment horizontal="center" vertical="center"/>
    </xf>
    <xf numFmtId="165" fontId="7" fillId="0" borderId="0" xfId="0" applyNumberFormat="1" applyFont="1" applyFill="1" applyAlignment="1">
      <alignment horizontal="center" vertical="center"/>
    </xf>
    <xf numFmtId="2" fontId="7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0" fontId="6" fillId="0" borderId="0" xfId="3" applyFont="1" applyFill="1" applyAlignment="1">
      <alignment horizontal="center" vertical="center" wrapText="1" shrinkToFit="1"/>
    </xf>
    <xf numFmtId="0" fontId="6" fillId="0" borderId="0" xfId="0" applyFont="1" applyFill="1" applyAlignment="1">
      <alignment horizontal="center" vertical="center" wrapText="1"/>
    </xf>
    <xf numFmtId="165" fontId="7" fillId="0" borderId="1" xfId="0" applyNumberFormat="1" applyFont="1" applyFill="1" applyBorder="1" applyAlignment="1">
      <alignment horizontal="center" vertical="center"/>
    </xf>
    <xf numFmtId="4" fontId="0" fillId="0" borderId="0" xfId="0" applyNumberFormat="1" applyFill="1" applyAlignment="1">
      <alignment horizontal="center" vertical="center"/>
    </xf>
    <xf numFmtId="49" fontId="6" fillId="0" borderId="0" xfId="3" applyNumberFormat="1" applyFont="1" applyFill="1" applyAlignment="1">
      <alignment horizontal="center" vertical="center" wrapText="1" shrinkToFit="1"/>
    </xf>
    <xf numFmtId="49" fontId="6" fillId="0" borderId="0" xfId="3" applyNumberFormat="1" applyFont="1" applyFill="1" applyAlignment="1">
      <alignment horizontal="center" vertical="center"/>
    </xf>
    <xf numFmtId="49" fontId="6" fillId="0" borderId="0" xfId="4" applyNumberFormat="1" applyFont="1" applyFill="1" applyAlignment="1">
      <alignment horizontal="center" vertical="center" wrapText="1" shrinkToFit="1"/>
    </xf>
    <xf numFmtId="0" fontId="6" fillId="0" borderId="0" xfId="4" applyFont="1" applyFill="1" applyAlignment="1">
      <alignment horizontal="center" vertical="center" wrapText="1"/>
    </xf>
    <xf numFmtId="49" fontId="6" fillId="0" borderId="0" xfId="0" applyNumberFormat="1" applyFont="1" applyFill="1" applyAlignment="1">
      <alignment horizontal="center" vertical="center" wrapText="1" shrinkToFit="1"/>
    </xf>
    <xf numFmtId="49" fontId="9" fillId="0" borderId="0" xfId="4" applyNumberFormat="1" applyFont="1" applyFill="1" applyAlignment="1">
      <alignment horizontal="center" vertical="center" wrapText="1" shrinkToFit="1"/>
    </xf>
    <xf numFmtId="49" fontId="6" fillId="0" borderId="0" xfId="4" applyNumberFormat="1" applyFont="1" applyFill="1" applyAlignment="1">
      <alignment horizontal="center" vertical="center"/>
    </xf>
    <xf numFmtId="2" fontId="10" fillId="0" borderId="0" xfId="0" applyNumberFormat="1" applyFont="1" applyFill="1" applyAlignment="1">
      <alignment horizontal="center" vertical="center"/>
    </xf>
    <xf numFmtId="165" fontId="7" fillId="0" borderId="2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49" fontId="6" fillId="0" borderId="0" xfId="3" applyNumberFormat="1" applyFont="1" applyFill="1" applyAlignment="1">
      <alignment vertical="center" wrapText="1" shrinkToFit="1"/>
    </xf>
    <xf numFmtId="0" fontId="0" fillId="0" borderId="0" xfId="0" applyFill="1"/>
    <xf numFmtId="2" fontId="0" fillId="0" borderId="0" xfId="0" applyNumberFormat="1" applyFill="1" applyAlignment="1">
      <alignment horizontal="center" vertical="center" wrapText="1"/>
    </xf>
    <xf numFmtId="2" fontId="8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166" fontId="0" fillId="0" borderId="0" xfId="0" applyNumberFormat="1" applyFill="1" applyAlignment="1">
      <alignment horizontal="center" vertical="center" wrapText="1"/>
    </xf>
    <xf numFmtId="166" fontId="0" fillId="0" borderId="0" xfId="0" applyNumberFormat="1" applyFill="1"/>
    <xf numFmtId="1" fontId="0" fillId="0" borderId="0" xfId="0" applyNumberFormat="1" applyFill="1" applyAlignment="1">
      <alignment horizontal="center" vertical="center" wrapText="1"/>
    </xf>
    <xf numFmtId="1" fontId="0" fillId="0" borderId="0" xfId="0" applyNumberFormat="1" applyFill="1" applyAlignment="1">
      <alignment horizontal="center" vertical="center"/>
    </xf>
    <xf numFmtId="1" fontId="2" fillId="0" borderId="0" xfId="2" applyNumberFormat="1" applyFill="1" applyAlignment="1">
      <alignment horizontal="center"/>
    </xf>
    <xf numFmtId="1" fontId="0" fillId="0" borderId="0" xfId="0" applyNumberFormat="1" applyFill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/>
    <xf numFmtId="1" fontId="0" fillId="9" borderId="0" xfId="0" applyNumberFormat="1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6" fillId="9" borderId="0" xfId="3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0" fontId="6" fillId="3" borderId="0" xfId="3" applyFont="1" applyFill="1" applyAlignment="1">
      <alignment horizontal="center" vertical="center" wrapText="1" shrinkToFit="1"/>
    </xf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49" fontId="6" fillId="3" borderId="0" xfId="3" applyNumberFormat="1" applyFont="1" applyFill="1" applyAlignment="1">
      <alignment horizontal="center" vertical="center"/>
    </xf>
    <xf numFmtId="0" fontId="6" fillId="3" borderId="0" xfId="3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49" fontId="6" fillId="3" borderId="0" xfId="3" applyNumberFormat="1" applyFont="1" applyFill="1" applyAlignment="1">
      <alignment horizontal="center" vertical="center" wrapText="1" shrinkToFit="1"/>
    </xf>
    <xf numFmtId="49" fontId="6" fillId="3" borderId="0" xfId="4" applyNumberFormat="1" applyFont="1" applyFill="1" applyAlignment="1">
      <alignment horizontal="center" vertical="center" wrapText="1" shrinkToFit="1"/>
    </xf>
    <xf numFmtId="0" fontId="0" fillId="3" borderId="0" xfId="0" applyFill="1" applyAlignment="1">
      <alignment horizontal="center" vertical="center" wrapText="1"/>
    </xf>
    <xf numFmtId="0" fontId="6" fillId="3" borderId="0" xfId="4" applyFont="1" applyFill="1" applyAlignment="1">
      <alignment horizontal="center" vertical="center" wrapText="1"/>
    </xf>
    <xf numFmtId="49" fontId="6" fillId="3" borderId="0" xfId="0" applyNumberFormat="1" applyFont="1" applyFill="1" applyAlignment="1">
      <alignment horizontal="center" vertical="center" wrapText="1" shrinkToFit="1"/>
    </xf>
    <xf numFmtId="49" fontId="9" fillId="3" borderId="0" xfId="4" applyNumberFormat="1" applyFont="1" applyFill="1" applyAlignment="1">
      <alignment horizontal="center" vertical="center" wrapText="1" shrinkToFit="1"/>
    </xf>
    <xf numFmtId="49" fontId="6" fillId="3" borderId="0" xfId="4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</cellXfs>
  <cellStyles count="5">
    <cellStyle name="Обычный" xfId="0" builtinId="0"/>
    <cellStyle name="Обычный 2" xfId="2" xr:uid="{0CCA6C3A-CD53-4AD6-9D46-0C8D5BCE1425}"/>
    <cellStyle name="Обычный 3 3" xfId="4" xr:uid="{04B24065-AF7B-4B02-ABE1-CADB4EB2C3DF}"/>
    <cellStyle name="Обычный 5" xfId="3" xr:uid="{F753ABC1-674D-42E1-94D9-F2975A36EA2E}"/>
    <cellStyle name="Финансовый 2" xfId="1" xr:uid="{702D37C1-FD0B-45E0-8955-AA0F39D7F389}"/>
  </cellStyles>
  <dxfs count="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1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numFmt numFmtId="30" formatCode="@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numFmt numFmtId="30" formatCode="@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6" formatCode="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6" formatCode="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6" formatCode="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04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charset val="204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mynin/Downloads/&#1047;&#1072;&#1103;&#1074;&#1082;&#1072;%20&#8470;%2041-43%20&#1051;&#1077;&#1073;&#1077;&#1076;&#1077;&#1074;%20&#1044;.&#1041;.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&#1050;&#1091;&#1093;&#1086;&#1085;&#1085;&#1099;&#1081;%20&#1082;&#1072;&#1083;&#1100;&#1082;&#1091;&#1083;&#1103;&#1090;&#1086;&#1088;%20&#1041;&#1099;&#1089;&#1090;&#1088;&#1072;&#1103;%20&#1094;&#1077;&#1085;&#1072;%20&#1074;&#1077;&#1088;&#1089;&#1080;&#1103;%201.1.0.%20&#1086;&#1090;%2017.08.20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2"/>
      <sheetName val="41"/>
      <sheetName val="Тип НСТ"/>
      <sheetName val="Лист1"/>
      <sheetName val="Лист2"/>
      <sheetName val="Лист3"/>
    </sheetNames>
    <sheetDataSet>
      <sheetData sheetId="0"/>
      <sheetData sheetId="1"/>
      <sheetData sheetId="2">
        <row r="2">
          <cell r="C2">
            <v>120</v>
          </cell>
          <cell r="D2" t="str">
            <v>LA - Врезной сверху</v>
          </cell>
          <cell r="E2" t="str">
            <v>левое</v>
          </cell>
          <cell r="H2" t="str">
            <v>ЛДСП</v>
          </cell>
          <cell r="I2" t="str">
            <v>1: Габариты/Проработка ниши для техники(НСТ без наценки)</v>
          </cell>
        </row>
        <row r="3">
          <cell r="C3">
            <v>150</v>
          </cell>
          <cell r="D3" t="str">
            <v>LB - Врезной снизу</v>
          </cell>
          <cell r="E3" t="str">
            <v>правое</v>
          </cell>
          <cell r="H3" t="str">
            <v>Стекло</v>
          </cell>
          <cell r="I3" t="str">
            <v>2: изменения конструктива</v>
          </cell>
        </row>
        <row r="4">
          <cell r="C4" t="str">
            <v>нет</v>
          </cell>
          <cell r="D4" t="str">
            <v>LC - Врезной сверху и снизу</v>
          </cell>
          <cell r="E4" t="str">
            <v>подъемник</v>
          </cell>
          <cell r="H4" t="str">
            <v>Нет</v>
          </cell>
        </row>
        <row r="5">
          <cell r="D5" t="str">
            <v>LD - Врезные 2 сверху</v>
          </cell>
          <cell r="E5" t="str">
            <v>ящик</v>
          </cell>
          <cell r="H5" t="str">
            <v>указано на эскизе</v>
          </cell>
        </row>
        <row r="6">
          <cell r="D6" t="str">
            <v>LE - Врезные 2 сверху, 1 снизу</v>
          </cell>
        </row>
        <row r="7">
          <cell r="D7" t="str">
            <v>нет</v>
          </cell>
        </row>
        <row r="8">
          <cell r="F8" t="str">
            <v>Поворотный</v>
          </cell>
        </row>
        <row r="9">
          <cell r="F9" t="str">
            <v>Складной(2 фасада)</v>
          </cell>
        </row>
        <row r="10">
          <cell r="F10" t="str">
            <v>Нет</v>
          </cell>
        </row>
        <row r="11">
          <cell r="A11" t="str">
            <v>Кухни Sidak</v>
          </cell>
        </row>
        <row r="16">
          <cell r="A16" t="str">
            <v>Комплектация №1 - алюмин рама с доводчиками</v>
          </cell>
        </row>
        <row r="17">
          <cell r="A17" t="str">
            <v>Комплектация №1T - алюмин рама с Tip-ON</v>
          </cell>
        </row>
        <row r="18">
          <cell r="A18" t="str">
            <v>Комплектация №2(петли Hettich; складной подъемник Hafele поворотный)</v>
          </cell>
        </row>
        <row r="19">
          <cell r="A19" t="str">
            <v>Комплектация №2Р Ящики с доводчиком Hettich</v>
          </cell>
        </row>
        <row r="20">
          <cell r="A20" t="str">
            <v>Комплектация №2T Ящики с push to open Hettich</v>
          </cell>
        </row>
        <row r="21">
          <cell r="A21" t="str">
            <v>Комплектация №3(петли, ящики, подъемники Hafele(ящики с доп. доводчиком)</v>
          </cell>
        </row>
        <row r="22">
          <cell r="A22" t="str">
            <v>Комплектация №3Т(петли Hafele с Tip-On)</v>
          </cell>
        </row>
      </sheetData>
      <sheetData sheetId="3">
        <row r="2">
          <cell r="A2" t="str">
            <v>ENO</v>
          </cell>
        </row>
        <row r="3">
          <cell r="A3" t="str">
            <v>EMN1D</v>
          </cell>
        </row>
        <row r="4">
          <cell r="A4" t="str">
            <v xml:space="preserve">EMN2D </v>
          </cell>
        </row>
        <row r="5">
          <cell r="A5" t="str">
            <v>EMN1K</v>
          </cell>
        </row>
        <row r="6">
          <cell r="A6" t="str">
            <v>EWN1D</v>
          </cell>
        </row>
        <row r="7">
          <cell r="A7" t="str">
            <v>EWN2D</v>
          </cell>
        </row>
        <row r="8">
          <cell r="A8" t="str">
            <v>EUN1D</v>
          </cell>
        </row>
        <row r="9">
          <cell r="A9" t="str">
            <v>EUN1D_150</v>
          </cell>
        </row>
        <row r="10">
          <cell r="A10" t="str">
            <v>EWU1D</v>
          </cell>
        </row>
        <row r="11">
          <cell r="A11" t="str">
            <v>EWU1D_150</v>
          </cell>
        </row>
        <row r="12">
          <cell r="A12" t="str">
            <v>EDN1D</v>
          </cell>
        </row>
        <row r="13">
          <cell r="A13" t="str">
            <v>EWD1D</v>
          </cell>
        </row>
        <row r="14">
          <cell r="A14" t="str">
            <v>EMN1B1D</v>
          </cell>
        </row>
        <row r="15">
          <cell r="A15" t="str">
            <v>EMN1B2D</v>
          </cell>
        </row>
        <row r="16">
          <cell r="A16" t="str">
            <v>EMN4B</v>
          </cell>
        </row>
        <row r="17">
          <cell r="A17" t="str">
            <v>EMN3B</v>
          </cell>
        </row>
        <row r="18">
          <cell r="A18" t="str">
            <v>EMN2B</v>
          </cell>
        </row>
        <row r="19">
          <cell r="A19" t="str">
            <v>ETN1B</v>
          </cell>
        </row>
        <row r="20">
          <cell r="A20" t="str">
            <v>ESNX1D</v>
          </cell>
        </row>
        <row r="21">
          <cell r="A21" t="str">
            <v>ERN</v>
          </cell>
        </row>
        <row r="22">
          <cell r="A22" t="str">
            <v>ERN1D</v>
          </cell>
        </row>
        <row r="23">
          <cell r="A23" t="str">
            <v>ENG1D</v>
          </cell>
        </row>
        <row r="24">
          <cell r="A24" t="str">
            <v>ENG2D</v>
          </cell>
        </row>
        <row r="25">
          <cell r="A25" t="str">
            <v>ENG2B</v>
          </cell>
        </row>
        <row r="26">
          <cell r="A26" t="str">
            <v>ENG3B</v>
          </cell>
        </row>
        <row r="27">
          <cell r="A27" t="str">
            <v>ENG1K</v>
          </cell>
        </row>
        <row r="28">
          <cell r="A28" t="str">
            <v>EWG1D</v>
          </cell>
        </row>
        <row r="29">
          <cell r="A29" t="str">
            <v>EWG2D</v>
          </cell>
        </row>
        <row r="30">
          <cell r="A30" t="str">
            <v>EUG1D</v>
          </cell>
        </row>
        <row r="31">
          <cell r="A31" t="str">
            <v>EUG1D_150</v>
          </cell>
        </row>
        <row r="32">
          <cell r="A32" t="str">
            <v>EP1D</v>
          </cell>
        </row>
        <row r="33">
          <cell r="A33" t="str">
            <v>EPG1D, EPG1DM</v>
          </cell>
        </row>
        <row r="34">
          <cell r="A34" t="str">
            <v>EPT1D</v>
          </cell>
        </row>
        <row r="35">
          <cell r="A35" t="str">
            <v>EPT1B</v>
          </cell>
        </row>
        <row r="36">
          <cell r="A36" t="str">
            <v>EPT1B2</v>
          </cell>
        </row>
        <row r="37">
          <cell r="A37" t="str">
            <v>EPT2B</v>
          </cell>
        </row>
        <row r="38">
          <cell r="A38" t="str">
            <v>EP2D</v>
          </cell>
        </row>
        <row r="39">
          <cell r="A39" t="str">
            <v>EPG2D, EPG2DM</v>
          </cell>
        </row>
        <row r="40">
          <cell r="A40" t="str">
            <v>EPS2D</v>
          </cell>
        </row>
        <row r="41">
          <cell r="A41" t="str">
            <v>EPSG2D, EPSG2DM</v>
          </cell>
        </row>
        <row r="42">
          <cell r="A42" t="str">
            <v>EP3B1D</v>
          </cell>
        </row>
        <row r="43">
          <cell r="A43" t="str">
            <v>EP2B1D</v>
          </cell>
        </row>
        <row r="44">
          <cell r="A44" t="str">
            <v>EPT2D</v>
          </cell>
        </row>
        <row r="45">
          <cell r="A45" t="str">
            <v>EPTG2D, EPTG2DM</v>
          </cell>
        </row>
        <row r="46">
          <cell r="A46" t="str">
            <v>EPT2B1D</v>
          </cell>
        </row>
        <row r="47">
          <cell r="A47" t="str">
            <v>EPTP1D</v>
          </cell>
        </row>
        <row r="48">
          <cell r="A48" t="str">
            <v>EPT1B1D</v>
          </cell>
        </row>
        <row r="49">
          <cell r="A49" t="str">
            <v>EPTG1B1D, EPTG1B1DM</v>
          </cell>
        </row>
        <row r="50">
          <cell r="A50" t="str">
            <v>EPP2D</v>
          </cell>
        </row>
        <row r="51">
          <cell r="A51" t="str">
            <v>EPSP2D</v>
          </cell>
        </row>
        <row r="52">
          <cell r="A52" t="str">
            <v>EZ1F</v>
          </cell>
        </row>
        <row r="53">
          <cell r="A53" t="str">
            <v>EVO</v>
          </cell>
        </row>
        <row r="54">
          <cell r="A54" t="str">
            <v>EMV1D</v>
          </cell>
        </row>
        <row r="55">
          <cell r="A55" t="str">
            <v>EMV1V (поворотный)</v>
          </cell>
        </row>
        <row r="56">
          <cell r="A56" t="str">
            <v>EMV2D</v>
          </cell>
        </row>
        <row r="57">
          <cell r="A57" t="str">
            <v>EMV2V</v>
          </cell>
        </row>
        <row r="58">
          <cell r="A58" t="str">
            <v>EUV1D</v>
          </cell>
        </row>
        <row r="59">
          <cell r="A59" t="str">
            <v>EHV1D</v>
          </cell>
        </row>
        <row r="60">
          <cell r="A60" t="str">
            <v>EHV2D</v>
          </cell>
        </row>
        <row r="61">
          <cell r="A61" t="str">
            <v>EDV1D</v>
          </cell>
        </row>
        <row r="62">
          <cell r="A62" t="str">
            <v>EWV1D</v>
          </cell>
        </row>
        <row r="63">
          <cell r="A63" t="str">
            <v>EWV2D</v>
          </cell>
        </row>
        <row r="64">
          <cell r="A64" t="str">
            <v>EWV2V</v>
          </cell>
        </row>
        <row r="65">
          <cell r="A65" t="str">
            <v>ERV</v>
          </cell>
        </row>
        <row r="66">
          <cell r="A66" t="str">
            <v>ERV1D</v>
          </cell>
        </row>
        <row r="67">
          <cell r="A67" t="str">
            <v xml:space="preserve">EVG1D </v>
          </cell>
        </row>
        <row r="68">
          <cell r="A68" t="str">
            <v>EVG2D</v>
          </cell>
        </row>
        <row r="69">
          <cell r="A69" t="str">
            <v>EVG2V</v>
          </cell>
        </row>
        <row r="70">
          <cell r="A70" t="str">
            <v>EUVG1D</v>
          </cell>
        </row>
        <row r="71">
          <cell r="A71" t="str">
            <v>ESVX1D</v>
          </cell>
        </row>
      </sheetData>
      <sheetData sheetId="4">
        <row r="2">
          <cell r="A2" t="str">
            <v>EVO</v>
          </cell>
        </row>
        <row r="3">
          <cell r="A3" t="str">
            <v>EMV1D</v>
          </cell>
        </row>
        <row r="4">
          <cell r="A4" t="str">
            <v>EMV1V</v>
          </cell>
        </row>
        <row r="5">
          <cell r="A5" t="str">
            <v>EMV2D</v>
          </cell>
        </row>
        <row r="6">
          <cell r="A6" t="str">
            <v>EMV2V</v>
          </cell>
        </row>
        <row r="7">
          <cell r="A7" t="str">
            <v>EUV1D</v>
          </cell>
        </row>
        <row r="8">
          <cell r="A8" t="str">
            <v>EHV1D</v>
          </cell>
        </row>
        <row r="9">
          <cell r="A9" t="str">
            <v>EHV2D</v>
          </cell>
        </row>
        <row r="10">
          <cell r="A10" t="str">
            <v>EDV1D</v>
          </cell>
        </row>
        <row r="11">
          <cell r="A11" t="str">
            <v xml:space="preserve">EWV1D </v>
          </cell>
        </row>
        <row r="12">
          <cell r="A12" t="str">
            <v>EWV2D</v>
          </cell>
        </row>
        <row r="13">
          <cell r="A13" t="str">
            <v>EWV2V</v>
          </cell>
        </row>
        <row r="14">
          <cell r="A14" t="str">
            <v>ERV</v>
          </cell>
        </row>
        <row r="15">
          <cell r="A15" t="str">
            <v>ERV1D</v>
          </cell>
        </row>
        <row r="16">
          <cell r="A16" t="str">
            <v xml:space="preserve">EVG1D </v>
          </cell>
        </row>
        <row r="17">
          <cell r="A17" t="str">
            <v>EVG2D</v>
          </cell>
        </row>
        <row r="18">
          <cell r="A18" t="str">
            <v>EVG2V</v>
          </cell>
        </row>
        <row r="19">
          <cell r="A19" t="str">
            <v>EUVG1D</v>
          </cell>
        </row>
        <row r="20">
          <cell r="A20" t="str">
            <v>EZ1F</v>
          </cell>
        </row>
        <row r="21">
          <cell r="A21" t="str">
            <v>ESVX1D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"/>
      <sheetName val="Счет 849"/>
      <sheetName val="Заказ"/>
      <sheetName val="849 Заказ"/>
      <sheetName val="Таблица с признаками"/>
      <sheetName val="Цены на корпус 18_06_25"/>
      <sheetName val="Базовые цены"/>
      <sheetName val="комплекты фурнитуры"/>
      <sheetName val="Фурнитура 18_06_25"/>
      <sheetName val="Изображения"/>
      <sheetName val="Инструкция по добавлению"/>
      <sheetName val="TDSheet"/>
      <sheetName val="Настройки"/>
      <sheetName val="Форма заявки НСТ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C3">
            <v>550</v>
          </cell>
        </row>
        <row r="19">
          <cell r="C19">
            <v>540</v>
          </cell>
        </row>
        <row r="20">
          <cell r="C20">
            <v>940</v>
          </cell>
        </row>
        <row r="21">
          <cell r="C21">
            <v>1690</v>
          </cell>
        </row>
        <row r="22">
          <cell r="C22">
            <v>940</v>
          </cell>
        </row>
        <row r="25">
          <cell r="C25">
            <v>5100</v>
          </cell>
        </row>
        <row r="26">
          <cell r="C26">
            <v>6660</v>
          </cell>
        </row>
        <row r="30">
          <cell r="C30">
            <v>480</v>
          </cell>
        </row>
        <row r="31">
          <cell r="C31">
            <v>950</v>
          </cell>
        </row>
        <row r="32">
          <cell r="C32">
            <v>370</v>
          </cell>
        </row>
        <row r="33">
          <cell r="C33">
            <v>170</v>
          </cell>
        </row>
        <row r="34">
          <cell r="C34">
            <v>5040</v>
          </cell>
        </row>
        <row r="35">
          <cell r="C35">
            <v>4140</v>
          </cell>
        </row>
        <row r="36">
          <cell r="C36">
            <v>6440</v>
          </cell>
        </row>
        <row r="37">
          <cell r="C37">
            <v>7970</v>
          </cell>
        </row>
        <row r="38">
          <cell r="C38">
            <v>4920</v>
          </cell>
        </row>
        <row r="39">
          <cell r="C39">
            <v>5530</v>
          </cell>
        </row>
        <row r="40">
          <cell r="C40">
            <v>6130</v>
          </cell>
        </row>
        <row r="41">
          <cell r="C41">
            <v>1600</v>
          </cell>
        </row>
        <row r="45">
          <cell r="C45">
            <v>8790</v>
          </cell>
        </row>
        <row r="46">
          <cell r="C46">
            <v>11560</v>
          </cell>
        </row>
        <row r="48">
          <cell r="C48">
            <v>10520</v>
          </cell>
        </row>
        <row r="49">
          <cell r="D49">
            <v>1000</v>
          </cell>
        </row>
        <row r="50">
          <cell r="D50">
            <v>1000</v>
          </cell>
        </row>
        <row r="51">
          <cell r="D51">
            <v>1000</v>
          </cell>
        </row>
        <row r="52">
          <cell r="C52">
            <v>1200</v>
          </cell>
        </row>
        <row r="54">
          <cell r="C54">
            <v>1560</v>
          </cell>
        </row>
        <row r="55">
          <cell r="C55">
            <v>190</v>
          </cell>
        </row>
        <row r="56">
          <cell r="C56">
            <v>1300</v>
          </cell>
        </row>
        <row r="58">
          <cell r="C58">
            <v>480</v>
          </cell>
        </row>
        <row r="62">
          <cell r="C62">
            <v>620</v>
          </cell>
        </row>
        <row r="63">
          <cell r="C63">
            <v>130</v>
          </cell>
        </row>
        <row r="67">
          <cell r="C67">
            <v>6080</v>
          </cell>
        </row>
        <row r="68">
          <cell r="C68">
            <v>6940</v>
          </cell>
        </row>
        <row r="69">
          <cell r="C69">
            <v>13990</v>
          </cell>
        </row>
        <row r="70">
          <cell r="C70">
            <v>2290</v>
          </cell>
        </row>
        <row r="80">
          <cell r="C80">
            <v>390</v>
          </cell>
        </row>
        <row r="81">
          <cell r="C81">
            <v>1110</v>
          </cell>
        </row>
        <row r="84">
          <cell r="C84">
            <v>10</v>
          </cell>
        </row>
        <row r="91">
          <cell r="C91">
            <v>400</v>
          </cell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D99A53-3DAF-42B4-9642-575EE721CDC8}" name="Прайс" displayName="Прайс" ref="A1:BQ85" totalsRowShown="0" headerRowDxfId="95" dataDxfId="94">
  <autoFilter ref="A1:BQ85" xr:uid="{B6A411DD-54E4-4F8A-8614-345EC598C3AB}"/>
  <tableColumns count="69">
    <tableColumn id="1" xr3:uid="{4F8856EA-AFEC-478D-B545-3D28E9B808CB}" name="Артикул" dataDxfId="93"/>
    <tableColumn id="2" xr3:uid="{BEF401B1-37D1-41E4-AAF7-3A084D127422}" name="Тип" dataDxfId="92"/>
    <tableColumn id="4" xr3:uid="{50E408EE-2C02-4A80-8F13-EECDD5646C8E}" name="Варианты наполнения" dataDxfId="91"/>
    <tableColumn id="16" xr3:uid="{177D320A-EF66-4D00-B844-1726363AEB1C}" name="Вид модуля" dataDxfId="90"/>
    <tableColumn id="15" xr3:uid="{47476BC9-5BE4-4FDF-93D5-45BC8B589BB9}" name="Профиль Gola" dataDxfId="89"/>
    <tableColumn id="3" xr3:uid="{9A09997E-0B4A-43C2-AAE4-DBA22A351A04}" name="Признаки для фильтров" dataDxfId="88"/>
    <tableColumn id="6" xr3:uid="{4B61EC30-43A5-4A37-8075-C43BE48C26A0}" name="Высота min" dataDxfId="87"/>
    <tableColumn id="7" xr3:uid="{FD0E9A0B-3A07-4A00-9FB2-83E7D23FF743}" name="Высота max" dataDxfId="86"/>
    <tableColumn id="8" xr3:uid="{981BA99F-25FC-4C44-916D-C9A30FA51329}" name="Ширина min" dataDxfId="85"/>
    <tableColumn id="9" xr3:uid="{69539F65-205A-44D1-8A50-E314A57CC84F}" name="Ширина max" dataDxfId="84"/>
    <tableColumn id="10" xr3:uid="{365068AA-90B1-4232-995A-2D78D8DA43CA}" name="Глубина min" dataDxfId="83"/>
    <tableColumn id="11" xr3:uid="{A3703BF6-3D07-42B4-B6BE-A14DC951D34D}" name="Глубина max" dataDxfId="82"/>
    <tableColumn id="5" xr3:uid="{2D3A333C-B164-4A3E-BDA7-63CA8B32CB56}" name="Базовая цена" dataDxfId="81"/>
    <tableColumn id="12" xr3:uid="{29240A1F-8A2D-4D3B-B0EC-91208FF7C1AC}" name="Базовая цена цветной корпус" dataDxfId="80"/>
    <tableColumn id="99" xr3:uid="{A3C031D4-355B-4D00-85A3-066E9FC1E064}" name="Базовая высота" dataDxfId="79"/>
    <tableColumn id="98" xr3:uid="{DE410C3F-FD58-42E6-960B-0F268C155E29}" name="Базовая ширина" dataDxfId="78"/>
    <tableColumn id="97" xr3:uid="{058D6ADC-5915-4922-BFE7-FDDAAF34EBC0}" name="Базовая глубина" dataDxfId="77"/>
    <tableColumn id="96" xr3:uid="{F1674E16-B13B-48AD-9568-12568BAE967C}" name="Коэфф.высота" dataDxfId="76"/>
    <tableColumn id="95" xr3:uid="{E880B5F2-4A08-4E4A-B682-E39354E07835}" name="Коэфф.ширина" dataDxfId="75"/>
    <tableColumn id="83" xr3:uid="{70466367-BC8B-49A6-9ACE-0BEC11E8D001}" name="Коэфф.глубина" dataDxfId="74"/>
    <tableColumn id="38" xr3:uid="{921A8997-D906-49E9-A998-8A2C49992A49}" name="КФ петли SENS накл.110 гр. с крестообр. Планкой" dataDxfId="73"/>
    <tableColumn id="39" xr3:uid="{038C4C49-1A01-41C4-8A8A-54C48EFB70B4}" name="KFP-SB-N110" dataDxfId="72"/>
    <tableColumn id="43" xr3:uid="{C1D2835A-EC10-4DF9-ADF7-B436F7465B0E}" name="КФ петли вклад. 95 гр. с крестообр. планкой" dataDxfId="71"/>
    <tableColumn id="44" xr3:uid="{6813E745-D09D-47FA-8C79-1B51C9280EFC}" name="KFP-SB-PY94" dataDxfId="70"/>
    <tableColumn id="45" xr3:uid="{E30111B6-872F-4DF0-A93A-AAF0EA079F46}" name="КKFP-SB-GT45" dataDxfId="69"/>
    <tableColumn id="46" xr3:uid="{29C8792E-FD0D-400B-B831-60F115B6D86D}" name="KFP-SB-N45" dataDxfId="68"/>
    <tableColumn id="61" xr3:uid="{CCDF8B5A-C6C8-4E35-83B8-4709ED56B170}" name="KFS-SB-45 (посудосушители)" dataDxfId="67"/>
    <tableColumn id="62" xr3:uid="{9FBBC066-B629-4509-8E36-716BFC983CB0}" name="КФ Сушка AFF 600" dataDxfId="66"/>
    <tableColumn id="64" xr3:uid="{1EA277B8-9A9D-4813-82E6-A9E0A50EADF4}" name="КФ Сушка AFF 800" dataDxfId="65"/>
    <tableColumn id="63" xr3:uid="{2857CFB5-2CDD-4729-99F3-604EB2CB71CD}" name="КФ Сушка AFF 900" dataDxfId="64"/>
    <tableColumn id="56" xr3:uid="{C3B02CE1-24FD-430A-88FE-FC7D38A45E2B}" name="KFP-SP-PPGK" dataDxfId="63"/>
    <tableColumn id="57" xr3:uid="{6D0AF8EA-F0A3-4EC2-AC8A-920F429AECCF}" name="KFP-SP-PPGK_71_x000a_" dataDxfId="62"/>
    <tableColumn id="58" xr3:uid="{C207FCBD-6D70-4B49-9A36-2F505353DB64}" name="KFP-SP-PPA" dataDxfId="61"/>
    <tableColumn id="59" xr3:uid="{0096DC53-656F-45C6-A3B7-6DA42F058B6D}" name="KFP-SB-PPHF_W" dataDxfId="60"/>
    <tableColumn id="55" xr3:uid="{A4EE8AE9-7C08-4832-A2C0-E142A2544A35}" name="KFN-SB-M54" dataDxfId="59"/>
    <tableColumn id="47" xr3:uid="{EA515BCA-E472-421E-B34B-67354DD20740}" name="Комплект для ящика Hettich ATIRA Серый, NL-470, H-70" dataDxfId="58"/>
    <tableColumn id="53" xr3:uid="{1BA9340B-BA73-44E5-BDCE-992F6A1F60F7}" name="Комплект для ящика Hettich ATIRA Серый с реллингом, NL-470, H-176" dataDxfId="57"/>
    <tableColumn id="48" xr3:uid="{7085775E-D1FB-4329-9D8D-62DC0DC43634}" name="KFN-SB-M86" dataDxfId="56"/>
    <tableColumn id="54" xr3:uid="{2560215E-DE0A-4CCB-8D31-F72AABE10DED}" name="KFN-SB-M15" dataDxfId="55"/>
    <tableColumn id="49" xr3:uid="{25035583-E0A3-49FA-A8D3-3CB10CD89CEB}" name="KFN-SB-MD" dataDxfId="54"/>
    <tableColumn id="50" xr3:uid="{56E092F3-EB57-417D-82E4-C11A82BCE945}" name="КФ ящика Matrix (H=89 мм)_450_GR" dataDxfId="53"/>
    <tableColumn id="69" xr3:uid="{25450F85-CDFB-45EF-A31F-F83E72A62697}" name="КФ ящика Matrix (H=175 мм)_450_GR" dataDxfId="52"/>
    <tableColumn id="51" xr3:uid="{7F38D6AB-8BEB-4713-879C-F3B14B2F1784}" name="Комплект ящика INNOTECH ATIRA полного выдв. с  PUSH TO OPEN , Н70,NL470,цвет серебристый" dataDxfId="51"/>
    <tableColumn id="52" xr3:uid="{4FF406B2-F1B9-4A41-9AD1-DF45C67F8129}" name="Комплект короба INNOTECH ATIRA полного выдв. с Push to open, Н176,NL470,рейлинги, цвет серебристый" dataDxfId="50"/>
    <tableColumn id="40" xr3:uid="{628BBBE9-D1A9-4CE7-9278-713F2EC173F8}" name="KFS-SB-BYT" dataDxfId="49"/>
    <tableColumn id="41" xr3:uid="{CF9067D5-9CD1-4498-A412-23EAC54CEEED}" name="Корзина с держателем для бутылок 414*500*520 мм" dataDxfId="48"/>
    <tableColumn id="42" xr3:uid="{EC3C68D6-959F-4357-87F2-6AA00EE8B2B3}" name="КФ евровинт" dataDxfId="47"/>
    <tableColumn id="60" xr3:uid="{EFAF5A2F-2789-4FDF-8D6F-730154D7BE4F}" name="КФ  крепления профиля Gola" dataDxfId="46"/>
    <tableColumn id="70" xr3:uid="{9F8C0302-EDFB-4F66-B3B4-A70A637F82EE}" name="Профиль Gola для подвесных шкафов алюм.16 мм" dataDxfId="45"/>
    <tableColumn id="35" xr3:uid="{A7188CAD-1C1B-415A-860B-E7791BCA4689}" name="Комплектация №2" dataDxfId="44"/>
    <tableColumn id="36" xr3:uid="{72790CF2-9572-4EF3-B5AA-F509DD50ADA7}" name="Комплектация №3" dataDxfId="43"/>
    <tableColumn id="37" xr3:uid="{2C273B41-27B7-41AC-B874-AB2361216D76}" name="Комплектация №3Т" dataDxfId="42"/>
    <tableColumn id="74" xr3:uid="{836B66F8-B7DF-4EC6-B406-76D5756E8B6D}" name="Полки min,шт." dataDxfId="41"/>
    <tableColumn id="75" xr3:uid="{50988234-B6A7-4D23-8A34-BB689FE15098}" name="Полки max,шт." dataDxfId="40"/>
    <tableColumn id="80" xr3:uid="{17D481EF-F5C9-4F74-B248-52C3327C5D07}" name="Tip-on" dataDxfId="39"/>
    <tableColumn id="79" xr3:uid="{899D6F7F-36CF-47F9-8D8F-8D594B3FC02C}" name="Инфо о комплектации" dataDxfId="38"/>
    <tableColumn id="81" xr3:uid="{E81821D0-0B27-43B6-BB15-D13A2380FB10}" name="Полки по умолчанию" dataDxfId="37"/>
    <tableColumn id="82" xr3:uid="{70C3A366-7B14-4620-AD2F-AE3E4C8CAD50}" name="Доступ к стеклянным полкам" dataDxfId="36"/>
    <tableColumn id="85" xr3:uid="{5C5D87C5-F5BA-4D9E-8430-8A962EA1A2D7}" name="КФ НСТ19" dataDxfId="35"/>
    <tableColumn id="86" xr3:uid="{4E5E4FA1-773A-4D83-8464-2D17CD1EF777}" name="Корзина выдв.посудосуш.600 мм + напр. L450 Hettich (ХРОМ)" dataDxfId="34"/>
    <tableColumn id="84" xr3:uid="{6D6D4D86-D41F-4C0A-A160-933BB64BFB63}" name="Кол-во фасадов" dataDxfId="33"/>
    <tableColumn id="87" xr3:uid="{E11483C6-2DD0-4D56-9958-9512B72543B3}" name="Комплектация №1" dataDxfId="32"/>
    <tableColumn id="88" xr3:uid="{1CD16EE1-BABE-497E-B73A-DE92F5EBB1BE}" name="Комплектация №1T" dataDxfId="31"/>
    <tableColumn id="89" xr3:uid="{C5C6DAAE-09E7-4FC6-8B5D-6FBB324A370B}" name="КФ НСТ20" dataDxfId="30"/>
    <tableColumn id="90" xr3:uid="{5DCAFE16-906E-417A-BEC1-2AFFED8C619F}" name="КФ НСТ12" dataDxfId="29"/>
    <tableColumn id="91" xr3:uid="{F5F4BB11-1F47-4F96-9C10-0621ECEA8B62}" name="КФ EMV1DL/2DL" dataDxfId="28"/>
    <tableColumn id="92" xr3:uid="{2E9630F2-52F6-4D3A-90B2-0B241D1760E5}" name="Комплект петли Hettich с доводчиком для алюм.профиля" dataDxfId="27"/>
    <tableColumn id="94" xr3:uid="{8C35DE26-2BF9-4151-9A05-E2AB0919AD4D}" name="Наличие подсветки на нижнем горизонте" dataDxfId="26"/>
    <tableColumn id="93" xr3:uid="{D05D017A-1E3B-4F56-9425-9AD3F982BAA2}" name="профиль рассеиватель HLBL" dataDxfId="25">
      <calculatedColumnFormula>IF(Прайс[[#This Row],[Наличие подсветки на нижнем горизонте]]="Нет",0,'[2]комплекты фурнитуры'!$C$91)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36E88-6B36-49E8-ADE3-50DD8E2F47CF}" name="kf_korp" displayName="kf_korp" ref="A1:F220" totalsRowShown="0" headerRowDxfId="24">
  <autoFilter ref="A1:F220" xr:uid="{812204A0-4971-4F08-8D21-63E1605773EF}"/>
  <tableColumns count="6">
    <tableColumn id="1" xr3:uid="{2FAD823B-74F8-4EF5-A803-FC6DB323BD63}" name="name_module" dataDxfId="23" dataCellStyle="Обычный 5"/>
    <tableColumn id="2" xr3:uid="{6A9D9FC6-5088-4B02-92FA-14028B8B7A6F}" name="name_furn" dataDxfId="22"/>
    <tableColumn id="3" xr3:uid="{BDF9712C-E250-4A0C-9E72-9DE1F41A0A64}" name="quanity" dataDxfId="21"/>
    <tableColumn id="4" xr3:uid="{50F407F5-4B28-4DDF-91A4-6D5EBCA16C54}" name="condition" dataDxfId="20"/>
    <tableColumn id="5" xr3:uid="{A3F1A53D-401C-4752-A3D9-940027FB44E4}" name="name_furn_changed" dataDxfId="19"/>
    <tableColumn id="6" xr3:uid="{C85AE6AD-EC2A-496F-83CF-7A65E23B6D33}" name="changed_quantity" dataDxfId="1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0E23B7-88E0-4458-B93E-087F5FF660B5}" name="kompl" displayName="kompl" ref="A1:I254" totalsRowShown="0" headerRowDxfId="9" dataDxfId="8">
  <autoFilter ref="A1:I254" xr:uid="{812204A0-4971-4F08-8D21-63E1605773EF}"/>
  <tableColumns count="9">
    <tableColumn id="1" xr3:uid="{0DB33535-AF68-4EA6-B3F1-27AA313DFD03}" name="name_module" dataDxfId="17" dataCellStyle="Обычный 5"/>
    <tableColumn id="5" xr3:uid="{82B074E5-97B7-4974-8E64-3EB7A6B2B01C}" name="number_kompl" dataDxfId="16" dataCellStyle="Обычный 5"/>
    <tableColumn id="11" xr3:uid="{A59C3EAD-D296-498B-9F90-B67702DA4396}" name="id_furn" dataDxfId="3" dataCellStyle="Обычный 5">
      <calculatedColumnFormula>VLOOKUP(kompl[[#This Row],[name_furn]],furn[],3,0)</calculatedColumnFormula>
    </tableColumn>
    <tableColumn id="2" xr3:uid="{028965F0-6F38-4B70-B780-AB9892775797}" name="name_furn" dataDxfId="15"/>
    <tableColumn id="3" xr3:uid="{08EAB364-744B-4ED6-92B9-B9C1EE8D0270}" name="quanity" dataDxfId="14"/>
    <tableColumn id="4" xr3:uid="{FCAF2D24-69A2-440E-ABEF-C810DCAD1DCB}" name="condition" dataDxfId="13"/>
    <tableColumn id="6" xr3:uid="{872F58E9-D63B-45FF-9CCC-DA38EC916010}" name="name_furn_changed" dataDxfId="12"/>
    <tableColumn id="7" xr3:uid="{DD9FB63B-8364-4A84-9D9B-914E9CE2EBCE}" name="changed_quantity" dataDxfId="11"/>
    <tableColumn id="9" xr3:uid="{CC028AB6-5C97-4D65-9D64-51065BD7CE28}" name="changed_quantity_case_2" dataDxfId="1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32D65B-75E3-411F-A5EC-4666AFD672D4}" name="furn" displayName="furn" ref="A1:C53" totalsRowShown="0" headerRowDxfId="5" dataDxfId="4">
  <autoFilter ref="A1:C53" xr:uid="{09B5EAE4-9935-4C25-8056-464E52C379E3}"/>
  <tableColumns count="3">
    <tableColumn id="1" xr3:uid="{3BF26646-A609-48BA-AFF9-F465C21D6735}" name="name_furn" dataDxfId="7"/>
    <tableColumn id="2" xr3:uid="{25079F83-8FAA-4136-B94C-E5B885B55C1B}" name="price" dataDxfId="6"/>
    <tableColumn id="4" xr3:uid="{1E9574CA-5DA5-4F1C-98BD-6AB361EC683E}" name="id_furn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B05B-A5FF-4B67-8659-2E8CE8386EC3}">
  <sheetPr codeName="Лист2"/>
  <dimension ref="A1:BX150"/>
  <sheetViews>
    <sheetView zoomScaleNormal="100" workbookViewId="0">
      <pane xSplit="1" topLeftCell="BH1" activePane="topRight" state="frozen"/>
      <selection pane="topRight" activeCell="BJ74" sqref="BJ74"/>
    </sheetView>
  </sheetViews>
  <sheetFormatPr defaultRowHeight="15" x14ac:dyDescent="0.25"/>
  <cols>
    <col min="1" max="1" width="20.7109375" style="19" customWidth="1"/>
    <col min="2" max="2" width="15.7109375" style="19" customWidth="1"/>
    <col min="3" max="3" width="63.28515625" style="19" customWidth="1"/>
    <col min="4" max="6" width="15.7109375" style="19" customWidth="1"/>
    <col min="7" max="12" width="15.7109375" style="36" customWidth="1"/>
    <col min="13" max="20" width="15.7109375" style="18" customWidth="1"/>
    <col min="21" max="35" width="19.140625" style="36" customWidth="1"/>
    <col min="36" max="36" width="39.28515625" style="36" customWidth="1"/>
    <col min="37" max="37" width="33.5703125" style="36" customWidth="1"/>
    <col min="38" max="40" width="19.140625" style="36" customWidth="1"/>
    <col min="41" max="42" width="35.42578125" style="36" customWidth="1"/>
    <col min="43" max="43" width="37.85546875" style="36" customWidth="1"/>
    <col min="44" max="44" width="36.28515625" style="36" customWidth="1"/>
    <col min="45" max="45" width="16.42578125" style="36" customWidth="1"/>
    <col min="46" max="47" width="9.140625" style="36" customWidth="1"/>
    <col min="48" max="48" width="18.140625" style="36" customWidth="1"/>
    <col min="49" max="49" width="9.140625" style="36" customWidth="1"/>
    <col min="50" max="50" width="23.5703125" style="36" bestFit="1" customWidth="1"/>
    <col min="51" max="51" width="29.5703125" style="36" customWidth="1"/>
    <col min="52" max="52" width="20.140625" style="36" customWidth="1"/>
    <col min="53" max="53" width="13.7109375" style="45" customWidth="1"/>
    <col min="54" max="54" width="9.140625" style="45" customWidth="1"/>
    <col min="55" max="55" width="28.140625" style="45" customWidth="1"/>
    <col min="56" max="56" width="45.7109375" style="41" bestFit="1" customWidth="1"/>
    <col min="57" max="57" width="19.5703125" style="41" customWidth="1"/>
    <col min="58" max="58" width="23" style="41" customWidth="1"/>
    <col min="59" max="59" width="12.5703125" style="36" customWidth="1"/>
    <col min="60" max="60" width="12.85546875" style="36" customWidth="1"/>
    <col min="61" max="61" width="9.140625" style="36" customWidth="1"/>
    <col min="62" max="62" width="45.7109375" style="36" customWidth="1"/>
    <col min="63" max="63" width="19.85546875" style="36" customWidth="1"/>
    <col min="64" max="64" width="26" style="36" customWidth="1"/>
    <col min="65" max="65" width="15.140625" style="36" customWidth="1"/>
    <col min="66" max="66" width="16.85546875" style="36" customWidth="1"/>
    <col min="67" max="67" width="15.5703125" style="36" bestFit="1" customWidth="1"/>
    <col min="68" max="68" width="13" style="36" bestFit="1" customWidth="1"/>
    <col min="69" max="69" width="20.7109375" style="36" customWidth="1"/>
    <col min="70" max="70" width="19.28515625" style="36" customWidth="1"/>
    <col min="71" max="72" width="14" style="36" bestFit="1" customWidth="1"/>
    <col min="73" max="73" width="19.85546875" style="36" bestFit="1" customWidth="1"/>
    <col min="74" max="74" width="28.85546875" style="36" customWidth="1"/>
    <col min="75" max="75" width="14.140625" style="36" bestFit="1" customWidth="1"/>
    <col min="76" max="76" width="9.140625" style="36"/>
  </cols>
  <sheetData>
    <row r="1" spans="1:76" s="3" customFormat="1" ht="24" customHeigh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37" t="s">
        <v>12</v>
      </c>
      <c r="N1" s="37" t="s">
        <v>78</v>
      </c>
      <c r="O1" s="42" t="s">
        <v>67</v>
      </c>
      <c r="P1" s="42" t="s">
        <v>66</v>
      </c>
      <c r="Q1" s="42" t="s">
        <v>68</v>
      </c>
      <c r="R1" s="40" t="s">
        <v>69</v>
      </c>
      <c r="S1" s="40" t="s">
        <v>70</v>
      </c>
      <c r="T1" s="40" t="s">
        <v>71</v>
      </c>
      <c r="U1" s="11" t="s">
        <v>34</v>
      </c>
      <c r="V1" s="11" t="s">
        <v>35</v>
      </c>
      <c r="W1" s="11" t="s">
        <v>36</v>
      </c>
      <c r="X1" s="11" t="s">
        <v>37</v>
      </c>
      <c r="Y1" s="11" t="s">
        <v>38</v>
      </c>
      <c r="Z1" s="11" t="s">
        <v>39</v>
      </c>
      <c r="AA1" s="11" t="s">
        <v>40</v>
      </c>
      <c r="AB1" s="11" t="s">
        <v>41</v>
      </c>
      <c r="AC1" s="1" t="s">
        <v>42</v>
      </c>
      <c r="AD1" s="11" t="s">
        <v>43</v>
      </c>
      <c r="AE1" s="11" t="s">
        <v>44</v>
      </c>
      <c r="AF1" s="2" t="s">
        <v>45</v>
      </c>
      <c r="AG1" s="12" t="s">
        <v>46</v>
      </c>
      <c r="AH1" s="2" t="s">
        <v>47</v>
      </c>
      <c r="AI1" s="11" t="s">
        <v>48</v>
      </c>
      <c r="AJ1" s="11" t="s">
        <v>49</v>
      </c>
      <c r="AK1" s="11" t="s">
        <v>50</v>
      </c>
      <c r="AL1" s="11" t="s">
        <v>51</v>
      </c>
      <c r="AM1" s="11" t="s">
        <v>52</v>
      </c>
      <c r="AN1" s="11" t="s">
        <v>53</v>
      </c>
      <c r="AO1" s="11" t="s">
        <v>54</v>
      </c>
      <c r="AP1" s="11" t="s">
        <v>55</v>
      </c>
      <c r="AQ1" s="11" t="s">
        <v>56</v>
      </c>
      <c r="AR1" s="11" t="s">
        <v>57</v>
      </c>
      <c r="AS1" s="11" t="s">
        <v>58</v>
      </c>
      <c r="AT1" s="11" t="s">
        <v>59</v>
      </c>
      <c r="AU1" s="11" t="s">
        <v>60</v>
      </c>
      <c r="AV1" s="11" t="s">
        <v>61</v>
      </c>
      <c r="AW1" s="11" t="s">
        <v>62</v>
      </c>
      <c r="AX1" s="11" t="s">
        <v>63</v>
      </c>
      <c r="AY1" s="11" t="s">
        <v>64</v>
      </c>
      <c r="AZ1" s="11" t="s">
        <v>65</v>
      </c>
      <c r="BA1" s="11" t="s">
        <v>72</v>
      </c>
      <c r="BB1" s="11" t="s">
        <v>73</v>
      </c>
      <c r="BC1" s="11" t="s">
        <v>74</v>
      </c>
      <c r="BD1" s="11" t="s">
        <v>75</v>
      </c>
      <c r="BE1" s="11" t="s">
        <v>76</v>
      </c>
      <c r="BF1" s="11" t="s">
        <v>77</v>
      </c>
      <c r="BG1" s="11" t="s">
        <v>79</v>
      </c>
      <c r="BH1" s="11" t="s">
        <v>80</v>
      </c>
      <c r="BI1" s="11" t="s">
        <v>81</v>
      </c>
      <c r="BJ1" s="11" t="s">
        <v>82</v>
      </c>
      <c r="BK1" s="11" t="s">
        <v>83</v>
      </c>
      <c r="BL1" s="11" t="s">
        <v>84</v>
      </c>
      <c r="BM1" s="11" t="s">
        <v>85</v>
      </c>
      <c r="BN1" s="11" t="s">
        <v>86</v>
      </c>
      <c r="BO1" s="11" t="s">
        <v>87</v>
      </c>
      <c r="BP1" s="11" t="s">
        <v>88</v>
      </c>
      <c r="BQ1" s="11" t="s">
        <v>89</v>
      </c>
    </row>
    <row r="2" spans="1:76" ht="15" customHeight="1" x14ac:dyDescent="0.25">
      <c r="A2" s="13" t="s">
        <v>90</v>
      </c>
      <c r="B2" s="14" t="s">
        <v>91</v>
      </c>
      <c r="C2" s="14" t="s">
        <v>92</v>
      </c>
      <c r="D2" s="14" t="s">
        <v>93</v>
      </c>
      <c r="E2" s="14" t="s">
        <v>94</v>
      </c>
      <c r="F2" s="14" t="s">
        <v>95</v>
      </c>
      <c r="G2" s="15">
        <v>420</v>
      </c>
      <c r="H2" s="15">
        <v>2500</v>
      </c>
      <c r="I2" s="15">
        <v>150</v>
      </c>
      <c r="J2" s="15">
        <v>900</v>
      </c>
      <c r="K2" s="15">
        <v>180</v>
      </c>
      <c r="L2" s="15">
        <v>640</v>
      </c>
      <c r="M2" s="38">
        <v>2350</v>
      </c>
      <c r="N2" s="18">
        <v>2900</v>
      </c>
      <c r="O2" s="43">
        <v>720</v>
      </c>
      <c r="P2" s="43">
        <v>300</v>
      </c>
      <c r="Q2" s="43" t="str">
        <f>IF(OR(Прайс[[#This Row],[Тип]]="Нижний",Прайс[[#This Row],[Тип]]="Пенал"),"560",IF(Прайс[[#This Row],[Тип]]="Верхний",315,0))</f>
        <v>560</v>
      </c>
      <c r="R2" s="20">
        <v>1.095</v>
      </c>
      <c r="S2" s="20">
        <v>1.0649999999999999</v>
      </c>
      <c r="T2" s="20">
        <v>1.3</v>
      </c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7" t="e">
        <f>SUM(#REF!)</f>
        <v>#REF!</v>
      </c>
      <c r="AY2" s="18" t="e">
        <f>SUM(#REF!)</f>
        <v>#REF!</v>
      </c>
      <c r="AZ2" s="18" t="e">
        <f>SUM(#REF!)</f>
        <v>#REF!</v>
      </c>
      <c r="BA2" s="19">
        <v>0</v>
      </c>
      <c r="BB2" s="19">
        <v>7</v>
      </c>
      <c r="BC2" s="19" t="s">
        <v>94</v>
      </c>
      <c r="BD2" s="18" t="s">
        <v>96</v>
      </c>
      <c r="BE2" s="19">
        <v>1</v>
      </c>
      <c r="BF2" s="19" t="s">
        <v>94</v>
      </c>
      <c r="BG2" s="19"/>
      <c r="BH2" s="19"/>
      <c r="BI2" s="19">
        <v>0</v>
      </c>
      <c r="BJ2" s="19">
        <v>0</v>
      </c>
      <c r="BK2" s="19">
        <v>0</v>
      </c>
      <c r="BL2" s="19"/>
      <c r="BM2" s="19"/>
      <c r="BN2" s="19"/>
      <c r="BO2" s="19"/>
      <c r="BP2" s="19" t="s">
        <v>94</v>
      </c>
      <c r="BQ2" s="19">
        <f>IF(Прайс[[#This Row],[Наличие подсветки на нижнем горизонте]]="Нет",0,'[2]комплекты фурнитуры'!$C$91)</f>
        <v>0</v>
      </c>
      <c r="BR2"/>
      <c r="BS2"/>
      <c r="BT2"/>
      <c r="BU2"/>
      <c r="BV2"/>
      <c r="BW2"/>
      <c r="BX2"/>
    </row>
    <row r="3" spans="1:76" ht="15" customHeight="1" x14ac:dyDescent="0.25">
      <c r="A3" s="21" t="s">
        <v>97</v>
      </c>
      <c r="B3" s="14" t="s">
        <v>91</v>
      </c>
      <c r="C3" s="14" t="s">
        <v>98</v>
      </c>
      <c r="D3" s="14" t="s">
        <v>99</v>
      </c>
      <c r="E3" s="14" t="s">
        <v>94</v>
      </c>
      <c r="F3" s="14" t="s">
        <v>95</v>
      </c>
      <c r="G3" s="15">
        <v>480</v>
      </c>
      <c r="H3" s="15">
        <v>960</v>
      </c>
      <c r="I3" s="15">
        <v>150</v>
      </c>
      <c r="J3" s="15">
        <v>650</v>
      </c>
      <c r="K3" s="15">
        <v>180</v>
      </c>
      <c r="L3" s="15">
        <v>640</v>
      </c>
      <c r="M3" s="38">
        <v>2350</v>
      </c>
      <c r="N3" s="18">
        <v>2900</v>
      </c>
      <c r="O3" s="43">
        <v>720</v>
      </c>
      <c r="P3" s="43">
        <v>300</v>
      </c>
      <c r="Q3" s="43" t="str">
        <f>IF(OR(Прайс[[#This Row],[Тип]]="Нижний",Прайс[[#This Row],[Тип]]="Пенал"),"560",IF(Прайс[[#This Row],[Тип]]="Верхний",315,0))</f>
        <v>560</v>
      </c>
      <c r="R3" s="20">
        <v>1.08</v>
      </c>
      <c r="S3" s="20">
        <v>1.0649999999999999</v>
      </c>
      <c r="T3" s="20">
        <v>1.3</v>
      </c>
      <c r="U3" s="16">
        <f>'[2]комплекты фурнитуры'!$C$62</f>
        <v>620</v>
      </c>
      <c r="V3" s="16">
        <f>'[2]комплекты фурнитуры'!$C$63</f>
        <v>130</v>
      </c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7">
        <f>Прайс[[#This Row],[КФ петли SENS накл.110 гр. с крестообр. Планкой]]*2</f>
        <v>1240</v>
      </c>
      <c r="AY3" s="18">
        <f>Прайс[[#This Row],[KFP-SB-N110]]*2</f>
        <v>260</v>
      </c>
      <c r="AZ3" s="18">
        <f>Прайс[[#This Row],[KFP-SB-N110]]*2</f>
        <v>260</v>
      </c>
      <c r="BA3" s="19">
        <v>0</v>
      </c>
      <c r="BB3" s="19">
        <v>7</v>
      </c>
      <c r="BC3" s="19" t="s">
        <v>94</v>
      </c>
      <c r="BD3" s="18" t="s">
        <v>96</v>
      </c>
      <c r="BE3" s="19">
        <v>1</v>
      </c>
      <c r="BF3" s="19" t="s">
        <v>94</v>
      </c>
      <c r="BG3" s="19"/>
      <c r="BH3" s="19"/>
      <c r="BI3" s="19">
        <v>1</v>
      </c>
      <c r="BJ3" s="19">
        <v>0</v>
      </c>
      <c r="BK3" s="19">
        <v>0</v>
      </c>
      <c r="BL3" s="19"/>
      <c r="BM3" s="19"/>
      <c r="BN3" s="19"/>
      <c r="BO3" s="19"/>
      <c r="BP3" s="19" t="s">
        <v>94</v>
      </c>
      <c r="BQ3" s="19">
        <f>IF(Прайс[[#This Row],[Наличие подсветки на нижнем горизонте]]="Нет",0,'[2]комплекты фурнитуры'!$C$91)</f>
        <v>0</v>
      </c>
      <c r="BR3"/>
      <c r="BS3"/>
      <c r="BT3"/>
      <c r="BU3"/>
      <c r="BV3"/>
      <c r="BW3"/>
      <c r="BX3"/>
    </row>
    <row r="4" spans="1:76" ht="15" customHeight="1" x14ac:dyDescent="0.25">
      <c r="A4" s="21" t="s">
        <v>100</v>
      </c>
      <c r="B4" s="14" t="s">
        <v>91</v>
      </c>
      <c r="C4" s="14" t="s">
        <v>101</v>
      </c>
      <c r="D4" s="14" t="s">
        <v>99</v>
      </c>
      <c r="E4" s="14" t="s">
        <v>94</v>
      </c>
      <c r="F4" s="14" t="s">
        <v>95</v>
      </c>
      <c r="G4" s="15">
        <v>480</v>
      </c>
      <c r="H4" s="15">
        <v>960</v>
      </c>
      <c r="I4" s="15">
        <v>400</v>
      </c>
      <c r="J4" s="15">
        <v>900</v>
      </c>
      <c r="K4" s="15">
        <v>180</v>
      </c>
      <c r="L4" s="15">
        <v>640</v>
      </c>
      <c r="M4" s="38">
        <v>2350</v>
      </c>
      <c r="N4" s="18">
        <v>2900</v>
      </c>
      <c r="O4" s="43">
        <v>720</v>
      </c>
      <c r="P4" s="43">
        <v>300</v>
      </c>
      <c r="Q4" s="43" t="str">
        <f>IF(OR(Прайс[[#This Row],[Тип]]="Нижний",Прайс[[#This Row],[Тип]]="Пенал"),"560",IF(Прайс[[#This Row],[Тип]]="Верхний",315,0))</f>
        <v>560</v>
      </c>
      <c r="R4" s="20">
        <v>1.08</v>
      </c>
      <c r="S4" s="20">
        <v>1.0649999999999999</v>
      </c>
      <c r="T4" s="20">
        <v>1.3</v>
      </c>
      <c r="U4" s="16">
        <f>'[2]комплекты фурнитуры'!$C$62</f>
        <v>620</v>
      </c>
      <c r="V4" s="16">
        <f>'[2]комплекты фурнитуры'!$C$63</f>
        <v>130</v>
      </c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7">
        <f>Прайс[[#This Row],[КФ петли SENS накл.110 гр. с крестообр. Планкой]]*4</f>
        <v>2480</v>
      </c>
      <c r="AY4" s="18">
        <f>Прайс[[#This Row],[KFP-SB-N110]]*4</f>
        <v>520</v>
      </c>
      <c r="AZ4" s="18">
        <f>Прайс[[#This Row],[KFP-SB-N110]]*4</f>
        <v>520</v>
      </c>
      <c r="BA4" s="19">
        <v>0</v>
      </c>
      <c r="BB4" s="19">
        <v>7</v>
      </c>
      <c r="BC4" s="19" t="s">
        <v>94</v>
      </c>
      <c r="BD4" s="18" t="s">
        <v>96</v>
      </c>
      <c r="BE4" s="19">
        <v>1</v>
      </c>
      <c r="BF4" s="19" t="s">
        <v>94</v>
      </c>
      <c r="BG4" s="19"/>
      <c r="BH4" s="19"/>
      <c r="BI4" s="19">
        <v>2</v>
      </c>
      <c r="BJ4" s="19">
        <v>0</v>
      </c>
      <c r="BK4" s="19">
        <v>0</v>
      </c>
      <c r="BL4" s="19"/>
      <c r="BM4" s="19"/>
      <c r="BN4" s="19"/>
      <c r="BO4" s="19"/>
      <c r="BP4" s="19" t="s">
        <v>94</v>
      </c>
      <c r="BQ4" s="19">
        <f>IF(Прайс[[#This Row],[Наличие подсветки на нижнем горизонте]]="Нет",0,'[2]комплекты фурнитуры'!$C$91)</f>
        <v>0</v>
      </c>
      <c r="BR4"/>
      <c r="BS4"/>
      <c r="BT4"/>
      <c r="BU4"/>
      <c r="BV4"/>
      <c r="BW4"/>
      <c r="BX4"/>
    </row>
    <row r="5" spans="1:76" ht="15" customHeight="1" x14ac:dyDescent="0.25">
      <c r="A5" s="21" t="s">
        <v>102</v>
      </c>
      <c r="B5" s="14" t="s">
        <v>91</v>
      </c>
      <c r="C5" s="14" t="s">
        <v>103</v>
      </c>
      <c r="D5" s="14" t="s">
        <v>99</v>
      </c>
      <c r="E5" s="14" t="s">
        <v>94</v>
      </c>
      <c r="F5" s="14" t="s">
        <v>104</v>
      </c>
      <c r="G5" s="15">
        <v>720</v>
      </c>
      <c r="H5" s="15">
        <v>880</v>
      </c>
      <c r="I5" s="15">
        <v>150</v>
      </c>
      <c r="J5" s="15">
        <v>150</v>
      </c>
      <c r="K5" s="15">
        <v>515</v>
      </c>
      <c r="L5" s="15">
        <v>640</v>
      </c>
      <c r="M5" s="38">
        <v>2350</v>
      </c>
      <c r="N5" s="18">
        <v>2900</v>
      </c>
      <c r="O5" s="43">
        <v>720</v>
      </c>
      <c r="P5" s="43">
        <v>300</v>
      </c>
      <c r="Q5" s="43" t="str">
        <f>IF(OR(Прайс[[#This Row],[Тип]]="Нижний",Прайс[[#This Row],[Тип]]="Пенал"),"560",IF(Прайс[[#This Row],[Тип]]="Верхний",315,0))</f>
        <v>560</v>
      </c>
      <c r="R5" s="20">
        <v>1.08</v>
      </c>
      <c r="S5" s="20">
        <v>1.0649999999999999</v>
      </c>
      <c r="T5" s="20">
        <v>1.3</v>
      </c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>
        <f>'[2]комплекты фурнитуры'!$C$46</f>
        <v>11560</v>
      </c>
      <c r="AT5" s="16"/>
      <c r="AU5" s="16"/>
      <c r="AV5" s="16"/>
      <c r="AW5" s="16"/>
      <c r="AX5" s="17" t="e">
        <f>SUM(#REF!)</f>
        <v>#REF!</v>
      </c>
      <c r="AY5" s="18" t="e">
        <f>SUM(#REF!)</f>
        <v>#REF!</v>
      </c>
      <c r="AZ5" s="18" t="e">
        <f>SUM(#REF!)</f>
        <v>#REF!</v>
      </c>
      <c r="BA5" s="19">
        <v>0</v>
      </c>
      <c r="BB5" s="19">
        <v>7</v>
      </c>
      <c r="BC5" s="19" t="s">
        <v>94</v>
      </c>
      <c r="BD5" s="18" t="s">
        <v>96</v>
      </c>
      <c r="BE5" s="19">
        <v>1</v>
      </c>
      <c r="BF5" s="19" t="s">
        <v>94</v>
      </c>
      <c r="BG5" s="19"/>
      <c r="BH5" s="19"/>
      <c r="BI5" s="19">
        <v>1</v>
      </c>
      <c r="BJ5" s="19">
        <v>0</v>
      </c>
      <c r="BK5" s="19">
        <v>0</v>
      </c>
      <c r="BL5" s="19"/>
      <c r="BM5" s="19"/>
      <c r="BN5" s="19"/>
      <c r="BO5" s="19"/>
      <c r="BP5" s="19" t="s">
        <v>94</v>
      </c>
      <c r="BQ5" s="19">
        <f>IF(Прайс[[#This Row],[Наличие подсветки на нижнем горизонте]]="Нет",0,'[2]комплекты фурнитуры'!$C$91)</f>
        <v>0</v>
      </c>
      <c r="BR5"/>
      <c r="BS5"/>
      <c r="BT5"/>
      <c r="BU5"/>
      <c r="BV5"/>
      <c r="BW5"/>
      <c r="BX5"/>
    </row>
    <row r="6" spans="1:76" ht="15" customHeight="1" x14ac:dyDescent="0.25">
      <c r="A6" s="21" t="s">
        <v>105</v>
      </c>
      <c r="B6" s="14" t="s">
        <v>91</v>
      </c>
      <c r="C6" s="14" t="s">
        <v>106</v>
      </c>
      <c r="D6" s="14" t="s">
        <v>99</v>
      </c>
      <c r="E6" s="14" t="s">
        <v>94</v>
      </c>
      <c r="F6" s="14" t="s">
        <v>104</v>
      </c>
      <c r="G6" s="15">
        <v>720</v>
      </c>
      <c r="H6" s="15">
        <v>880</v>
      </c>
      <c r="I6" s="15">
        <v>450</v>
      </c>
      <c r="J6" s="15">
        <v>450</v>
      </c>
      <c r="K6" s="15">
        <v>515</v>
      </c>
      <c r="L6" s="15">
        <v>640</v>
      </c>
      <c r="M6" s="38">
        <v>2350</v>
      </c>
      <c r="N6" s="18">
        <v>2900</v>
      </c>
      <c r="O6" s="43">
        <v>720</v>
      </c>
      <c r="P6" s="43">
        <v>300</v>
      </c>
      <c r="Q6" s="43" t="str">
        <f>IF(OR(Прайс[[#This Row],[Тип]]="Нижний",Прайс[[#This Row],[Тип]]="Пенал"),"560",IF(Прайс[[#This Row],[Тип]]="Верхний",315,0))</f>
        <v>560</v>
      </c>
      <c r="R6" s="20">
        <v>1.08</v>
      </c>
      <c r="S6" s="20">
        <v>1.0649999999999999</v>
      </c>
      <c r="T6" s="20">
        <v>1.3</v>
      </c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>
        <f>'[2]комплекты фурнитуры'!$C$48</f>
        <v>10520</v>
      </c>
      <c r="AU6" s="16"/>
      <c r="AV6" s="16"/>
      <c r="AW6" s="16"/>
      <c r="AX6" s="17" t="e">
        <f>SUM(#REF!)</f>
        <v>#REF!</v>
      </c>
      <c r="AY6" s="18" t="e">
        <f>SUM(#REF!)</f>
        <v>#REF!</v>
      </c>
      <c r="AZ6" s="18" t="e">
        <f>SUM(#REF!)</f>
        <v>#REF!</v>
      </c>
      <c r="BA6" s="19">
        <v>0</v>
      </c>
      <c r="BB6" s="19">
        <v>7</v>
      </c>
      <c r="BC6" s="19" t="s">
        <v>94</v>
      </c>
      <c r="BD6" s="18" t="s">
        <v>96</v>
      </c>
      <c r="BE6" s="19">
        <v>1</v>
      </c>
      <c r="BF6" s="19" t="s">
        <v>94</v>
      </c>
      <c r="BG6" s="19"/>
      <c r="BH6" s="19"/>
      <c r="BI6" s="19">
        <v>1</v>
      </c>
      <c r="BJ6" s="19">
        <v>0</v>
      </c>
      <c r="BK6" s="19">
        <v>0</v>
      </c>
      <c r="BL6" s="19"/>
      <c r="BM6" s="19"/>
      <c r="BN6" s="19"/>
      <c r="BO6" s="19"/>
      <c r="BP6" s="19" t="s">
        <v>94</v>
      </c>
      <c r="BQ6" s="19">
        <f>IF(Прайс[[#This Row],[Наличие подсветки на нижнем горизонте]]="Нет",0,'[2]комплекты фурнитуры'!$C$91)</f>
        <v>0</v>
      </c>
      <c r="BR6"/>
      <c r="BS6"/>
      <c r="BT6"/>
      <c r="BU6"/>
      <c r="BV6"/>
      <c r="BW6"/>
      <c r="BX6"/>
    </row>
    <row r="7" spans="1:76" x14ac:dyDescent="0.25">
      <c r="A7" s="21" t="s">
        <v>107</v>
      </c>
      <c r="B7" s="14" t="s">
        <v>91</v>
      </c>
      <c r="C7" s="14" t="s">
        <v>108</v>
      </c>
      <c r="D7" s="14" t="s">
        <v>99</v>
      </c>
      <c r="E7" s="14" t="s">
        <v>94</v>
      </c>
      <c r="F7" s="14" t="s">
        <v>109</v>
      </c>
      <c r="G7" s="15">
        <v>600</v>
      </c>
      <c r="H7" s="15">
        <v>750</v>
      </c>
      <c r="I7" s="15">
        <v>300</v>
      </c>
      <c r="J7" s="15">
        <v>600</v>
      </c>
      <c r="K7" s="15">
        <v>250</v>
      </c>
      <c r="L7" s="15">
        <v>640</v>
      </c>
      <c r="M7" s="38">
        <v>2380</v>
      </c>
      <c r="N7" s="18">
        <v>2990</v>
      </c>
      <c r="O7" s="43">
        <v>720</v>
      </c>
      <c r="P7" s="43">
        <v>450</v>
      </c>
      <c r="Q7" s="43" t="str">
        <f>IF(OR(Прайс[[#This Row],[Тип]]="Нижний",Прайс[[#This Row],[Тип]]="Пенал"),"560",IF(Прайс[[#This Row],[Тип]]="Верхний",315,0))</f>
        <v>560</v>
      </c>
      <c r="R7" s="20">
        <v>1.08</v>
      </c>
      <c r="S7" s="20">
        <v>1.0649999999999999</v>
      </c>
      <c r="T7" s="20">
        <v>1.3</v>
      </c>
      <c r="U7" s="16">
        <f>'[2]комплекты фурнитуры'!$C$62</f>
        <v>620</v>
      </c>
      <c r="V7" s="16">
        <f>'[2]комплекты фурнитуры'!$C$63</f>
        <v>130</v>
      </c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7">
        <f>Прайс[[#This Row],[КФ петли SENS накл.110 гр. с крестообр. Планкой]]*2</f>
        <v>1240</v>
      </c>
      <c r="AY7" s="18">
        <f>Прайс[[#This Row],[KFP-SB-N110]]*2</f>
        <v>260</v>
      </c>
      <c r="AZ7" s="18">
        <f>Прайс[[#This Row],[KFP-SB-N110]]*2</f>
        <v>260</v>
      </c>
      <c r="BA7" s="19">
        <v>0</v>
      </c>
      <c r="BB7" s="19">
        <v>0</v>
      </c>
      <c r="BC7" s="19" t="s">
        <v>110</v>
      </c>
      <c r="BD7" s="18" t="s">
        <v>96</v>
      </c>
      <c r="BE7" s="19">
        <v>0</v>
      </c>
      <c r="BF7" s="19" t="s">
        <v>94</v>
      </c>
      <c r="BG7" s="19"/>
      <c r="BH7" s="19"/>
      <c r="BI7" s="19">
        <v>1</v>
      </c>
      <c r="BJ7" s="19">
        <v>0</v>
      </c>
      <c r="BK7" s="19">
        <v>0</v>
      </c>
      <c r="BL7" s="19"/>
      <c r="BM7" s="19"/>
      <c r="BN7" s="19"/>
      <c r="BO7" s="19"/>
      <c r="BP7" s="19" t="s">
        <v>94</v>
      </c>
      <c r="BQ7" s="19">
        <f>IF(Прайс[[#This Row],[Наличие подсветки на нижнем горизонте]]="Нет",0,'[2]комплекты фурнитуры'!$C$91)</f>
        <v>0</v>
      </c>
      <c r="BR7"/>
      <c r="BS7"/>
      <c r="BT7"/>
      <c r="BU7"/>
      <c r="BV7"/>
      <c r="BW7"/>
      <c r="BX7"/>
    </row>
    <row r="8" spans="1:76" s="4" customFormat="1" ht="15" customHeight="1" x14ac:dyDescent="0.25">
      <c r="A8" s="21" t="s">
        <v>111</v>
      </c>
      <c r="B8" s="14" t="s">
        <v>91</v>
      </c>
      <c r="C8" s="14" t="s">
        <v>112</v>
      </c>
      <c r="D8" s="14" t="s">
        <v>99</v>
      </c>
      <c r="E8" s="14" t="s">
        <v>94</v>
      </c>
      <c r="F8" s="14" t="s">
        <v>109</v>
      </c>
      <c r="G8" s="15">
        <v>600</v>
      </c>
      <c r="H8" s="15">
        <v>750</v>
      </c>
      <c r="I8" s="15">
        <v>400</v>
      </c>
      <c r="J8" s="15">
        <v>900</v>
      </c>
      <c r="K8" s="15">
        <v>250</v>
      </c>
      <c r="L8" s="15">
        <v>640</v>
      </c>
      <c r="M8" s="38">
        <v>2380</v>
      </c>
      <c r="N8" s="18">
        <v>2990</v>
      </c>
      <c r="O8" s="43">
        <v>720</v>
      </c>
      <c r="P8" s="43">
        <v>450</v>
      </c>
      <c r="Q8" s="43" t="str">
        <f>IF(OR(Прайс[[#This Row],[Тип]]="Нижний",Прайс[[#This Row],[Тип]]="Пенал"),"560",IF(Прайс[[#This Row],[Тип]]="Верхний",315,0))</f>
        <v>560</v>
      </c>
      <c r="R8" s="20">
        <v>1.08</v>
      </c>
      <c r="S8" s="20">
        <v>1.0649999999999999</v>
      </c>
      <c r="T8" s="20">
        <v>1.3</v>
      </c>
      <c r="U8" s="16">
        <f>'[2]комплекты фурнитуры'!$C$62</f>
        <v>620</v>
      </c>
      <c r="V8" s="16">
        <f>'[2]комплекты фурнитуры'!$C$63</f>
        <v>130</v>
      </c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7">
        <f>Прайс[[#This Row],[КФ петли SENS накл.110 гр. с крестообр. Планкой]]*4</f>
        <v>2480</v>
      </c>
      <c r="AY8" s="18">
        <f>Прайс[[#This Row],[KFP-SB-N110]]*4</f>
        <v>520</v>
      </c>
      <c r="AZ8" s="18">
        <f>Прайс[[#This Row],[KFP-SB-N110]]*4</f>
        <v>520</v>
      </c>
      <c r="BA8" s="19">
        <v>0</v>
      </c>
      <c r="BB8" s="19">
        <v>0</v>
      </c>
      <c r="BC8" s="19" t="s">
        <v>110</v>
      </c>
      <c r="BD8" s="18" t="s">
        <v>96</v>
      </c>
      <c r="BE8" s="19">
        <v>0</v>
      </c>
      <c r="BF8" s="19" t="s">
        <v>94</v>
      </c>
      <c r="BG8" s="19"/>
      <c r="BH8" s="19"/>
      <c r="BI8" s="19">
        <v>2</v>
      </c>
      <c r="BJ8" s="19">
        <v>0</v>
      </c>
      <c r="BK8" s="19">
        <v>0</v>
      </c>
      <c r="BL8" s="19"/>
      <c r="BM8" s="19"/>
      <c r="BN8" s="19"/>
      <c r="BO8" s="19"/>
      <c r="BP8" s="19" t="s">
        <v>94</v>
      </c>
      <c r="BQ8" s="19">
        <f>IF(Прайс[[#This Row],[Наличие подсветки на нижнем горизонте]]="Нет",0,'[2]комплекты фурнитуры'!$C$91)</f>
        <v>0</v>
      </c>
    </row>
    <row r="9" spans="1:76" ht="15" customHeight="1" x14ac:dyDescent="0.25">
      <c r="A9" s="21" t="s">
        <v>113</v>
      </c>
      <c r="B9" s="14" t="s">
        <v>91</v>
      </c>
      <c r="C9" s="14" t="s">
        <v>114</v>
      </c>
      <c r="D9" s="14" t="s">
        <v>115</v>
      </c>
      <c r="E9" s="14" t="s">
        <v>94</v>
      </c>
      <c r="F9" s="14" t="s">
        <v>95</v>
      </c>
      <c r="G9" s="15">
        <v>720</v>
      </c>
      <c r="H9" s="15">
        <v>720</v>
      </c>
      <c r="I9" s="15">
        <v>710</v>
      </c>
      <c r="J9" s="15">
        <v>950</v>
      </c>
      <c r="K9" s="15">
        <v>360</v>
      </c>
      <c r="L9" s="15">
        <v>560</v>
      </c>
      <c r="M9" s="38">
        <v>3200</v>
      </c>
      <c r="N9" s="18">
        <v>4030</v>
      </c>
      <c r="O9" s="43">
        <v>720</v>
      </c>
      <c r="P9" s="43">
        <v>750</v>
      </c>
      <c r="Q9" s="43" t="str">
        <f>IF(OR(Прайс[[#This Row],[Тип]]="Нижний",Прайс[[#This Row],[Тип]]="Пенал"),"560",IF(Прайс[[#This Row],[Тип]]="Верхний",315,0))</f>
        <v>560</v>
      </c>
      <c r="R9" s="20">
        <v>1.08</v>
      </c>
      <c r="S9" s="20">
        <v>1.0649999999999999</v>
      </c>
      <c r="T9" s="20">
        <v>1.3</v>
      </c>
      <c r="U9" s="16"/>
      <c r="V9" s="16"/>
      <c r="W9" s="16">
        <f>'[2]комплекты фурнитуры'!$C$56</f>
        <v>1300</v>
      </c>
      <c r="X9" s="16">
        <f>'[2]комплекты фурнитуры'!$C$58</f>
        <v>480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7" t="e">
        <f>#REF!+Прайс[[#This Row],[КФ петли вклад. 95 гр. с крестообр. планкой]]*2+#REF!</f>
        <v>#REF!</v>
      </c>
      <c r="AY9" s="18" t="e">
        <f>#REF!+Прайс[[#This Row],[KFP-SB-PY94]]*2</f>
        <v>#REF!</v>
      </c>
      <c r="AZ9" s="18" t="e">
        <f>#REF!+Прайс[[#This Row],[KFP-SB-PY94]]*2</f>
        <v>#REF!</v>
      </c>
      <c r="BA9" s="19">
        <v>0</v>
      </c>
      <c r="BB9" s="19">
        <v>2</v>
      </c>
      <c r="BC9" s="19" t="s">
        <v>110</v>
      </c>
      <c r="BD9" s="18" t="s">
        <v>96</v>
      </c>
      <c r="BE9" s="19">
        <v>1</v>
      </c>
      <c r="BF9" s="19" t="s">
        <v>94</v>
      </c>
      <c r="BG9" s="19"/>
      <c r="BH9" s="19"/>
      <c r="BI9" s="19">
        <v>1</v>
      </c>
      <c r="BJ9" s="19">
        <v>0</v>
      </c>
      <c r="BK9" s="19">
        <v>0</v>
      </c>
      <c r="BL9" s="19"/>
      <c r="BM9" s="19"/>
      <c r="BN9" s="19"/>
      <c r="BO9" s="19"/>
      <c r="BP9" s="19" t="s">
        <v>94</v>
      </c>
      <c r="BQ9" s="19">
        <f>IF(Прайс[[#This Row],[Наличие подсветки на нижнем горизонте]]="Нет",0,'[2]комплекты фурнитуры'!$C$91)</f>
        <v>0</v>
      </c>
      <c r="BR9"/>
      <c r="BS9"/>
      <c r="BT9"/>
      <c r="BU9"/>
      <c r="BV9"/>
      <c r="BW9"/>
      <c r="BX9"/>
    </row>
    <row r="10" spans="1:76" ht="15" customHeight="1" x14ac:dyDescent="0.25">
      <c r="A10" s="13" t="s">
        <v>116</v>
      </c>
      <c r="B10" s="14" t="s">
        <v>91</v>
      </c>
      <c r="C10" s="14" t="s">
        <v>117</v>
      </c>
      <c r="D10" s="14" t="s">
        <v>115</v>
      </c>
      <c r="E10" s="14" t="s">
        <v>94</v>
      </c>
      <c r="F10" s="14" t="s">
        <v>95</v>
      </c>
      <c r="G10" s="15">
        <v>720</v>
      </c>
      <c r="H10" s="15">
        <v>720</v>
      </c>
      <c r="I10" s="15">
        <v>810</v>
      </c>
      <c r="J10" s="15">
        <v>1050</v>
      </c>
      <c r="K10" s="15">
        <v>360</v>
      </c>
      <c r="L10" s="15">
        <v>560</v>
      </c>
      <c r="M10" s="38">
        <v>3200</v>
      </c>
      <c r="N10" s="18">
        <v>4030</v>
      </c>
      <c r="O10" s="43">
        <v>720</v>
      </c>
      <c r="P10" s="43">
        <v>750</v>
      </c>
      <c r="Q10" s="43" t="str">
        <f>IF(OR(Прайс[[#This Row],[Тип]]="Нижний",Прайс[[#This Row],[Тип]]="Пенал"),"560",IF(Прайс[[#This Row],[Тип]]="Верхний",315,0))</f>
        <v>560</v>
      </c>
      <c r="R10" s="20">
        <v>1.08</v>
      </c>
      <c r="S10" s="20">
        <v>1.0649999999999999</v>
      </c>
      <c r="T10" s="20">
        <v>1.3</v>
      </c>
      <c r="U10" s="16"/>
      <c r="V10" s="16"/>
      <c r="W10" s="16">
        <f>'[2]комплекты фурнитуры'!$C$56</f>
        <v>1300</v>
      </c>
      <c r="X10" s="16">
        <f>'[2]комплекты фурнитуры'!$C$58</f>
        <v>480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7" t="e">
        <f>#REF!+Прайс[[#This Row],[КФ петли вклад. 95 гр. с крестообр. планкой]]*2+#REF!</f>
        <v>#REF!</v>
      </c>
      <c r="AY10" s="18" t="e">
        <f>#REF!+Прайс[[#This Row],[KFP-SB-PY94]]*2</f>
        <v>#REF!</v>
      </c>
      <c r="AZ10" s="18" t="e">
        <f>#REF!+Прайс[[#This Row],[KFP-SB-PY94]]*2</f>
        <v>#REF!</v>
      </c>
      <c r="BA10" s="19">
        <v>0</v>
      </c>
      <c r="BB10" s="19">
        <v>2</v>
      </c>
      <c r="BC10" s="19" t="s">
        <v>110</v>
      </c>
      <c r="BD10" s="18" t="s">
        <v>96</v>
      </c>
      <c r="BE10" s="19">
        <v>1</v>
      </c>
      <c r="BF10" s="19" t="s">
        <v>94</v>
      </c>
      <c r="BG10" s="19"/>
      <c r="BH10" s="19"/>
      <c r="BI10" s="19">
        <v>1</v>
      </c>
      <c r="BJ10" s="19">
        <v>0</v>
      </c>
      <c r="BK10" s="19">
        <v>0</v>
      </c>
      <c r="BL10" s="19"/>
      <c r="BM10" s="19"/>
      <c r="BN10" s="19"/>
      <c r="BO10" s="19"/>
      <c r="BP10" s="19" t="s">
        <v>94</v>
      </c>
      <c r="BQ10" s="19">
        <f>IF(Прайс[[#This Row],[Наличие подсветки на нижнем горизонте]]="Нет",0,'[2]комплекты фурнитуры'!$C$91)</f>
        <v>0</v>
      </c>
      <c r="BR10"/>
      <c r="BS10"/>
      <c r="BT10"/>
      <c r="BU10"/>
      <c r="BV10"/>
      <c r="BW10"/>
      <c r="BX10"/>
    </row>
    <row r="11" spans="1:76" ht="15" customHeight="1" x14ac:dyDescent="0.25">
      <c r="A11" s="21" t="s">
        <v>118</v>
      </c>
      <c r="B11" s="14" t="s">
        <v>91</v>
      </c>
      <c r="C11" s="14" t="s">
        <v>119</v>
      </c>
      <c r="D11" s="14" t="s">
        <v>115</v>
      </c>
      <c r="E11" s="14" t="s">
        <v>94</v>
      </c>
      <c r="F11" s="14" t="s">
        <v>109</v>
      </c>
      <c r="G11" s="15">
        <v>720</v>
      </c>
      <c r="H11" s="15">
        <v>720</v>
      </c>
      <c r="I11" s="15">
        <v>710</v>
      </c>
      <c r="J11" s="15">
        <v>950</v>
      </c>
      <c r="K11" s="15">
        <v>360</v>
      </c>
      <c r="L11" s="15">
        <v>560</v>
      </c>
      <c r="M11" s="38">
        <v>2980</v>
      </c>
      <c r="N11" s="18">
        <v>3840</v>
      </c>
      <c r="O11" s="43">
        <v>720</v>
      </c>
      <c r="P11" s="43">
        <v>750</v>
      </c>
      <c r="Q11" s="43" t="str">
        <f>IF(OR(Прайс[[#This Row],[Тип]]="Нижний",Прайс[[#This Row],[Тип]]="Пенал"),"560",IF(Прайс[[#This Row],[Тип]]="Верхний",315,0))</f>
        <v>560</v>
      </c>
      <c r="R11" s="20">
        <v>1.08</v>
      </c>
      <c r="S11" s="20">
        <v>1.0649999999999999</v>
      </c>
      <c r="T11" s="20">
        <v>0</v>
      </c>
      <c r="U11" s="16"/>
      <c r="V11" s="16"/>
      <c r="W11" s="16">
        <f>'[2]комплекты фурнитуры'!$C$56</f>
        <v>1300</v>
      </c>
      <c r="X11" s="16">
        <f>'[2]комплекты фурнитуры'!$C$58</f>
        <v>480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7" t="e">
        <f>#REF!+Прайс[[#This Row],[КФ петли вклад. 95 гр. с крестообр. планкой]]*2</f>
        <v>#REF!</v>
      </c>
      <c r="AY11" s="18" t="e">
        <f>#REF!+Прайс[[#This Row],[KFP-SB-PY94]]*2</f>
        <v>#REF!</v>
      </c>
      <c r="AZ11" s="18" t="e">
        <f>#REF!+Прайс[[#This Row],[KFP-SB-PY94]]*2</f>
        <v>#REF!</v>
      </c>
      <c r="BA11" s="19">
        <v>0</v>
      </c>
      <c r="BB11" s="19">
        <v>0</v>
      </c>
      <c r="BC11" s="19" t="s">
        <v>110</v>
      </c>
      <c r="BD11" s="18" t="s">
        <v>96</v>
      </c>
      <c r="BE11" s="19">
        <v>0</v>
      </c>
      <c r="BF11" s="19" t="s">
        <v>94</v>
      </c>
      <c r="BG11" s="19"/>
      <c r="BH11" s="19"/>
      <c r="BI11" s="19">
        <v>1</v>
      </c>
      <c r="BJ11" s="19">
        <v>0</v>
      </c>
      <c r="BK11" s="19">
        <v>0</v>
      </c>
      <c r="BL11" s="19"/>
      <c r="BM11" s="19"/>
      <c r="BN11" s="19"/>
      <c r="BO11" s="19"/>
      <c r="BP11" s="19" t="s">
        <v>94</v>
      </c>
      <c r="BQ11" s="19">
        <f>IF(Прайс[[#This Row],[Наличие подсветки на нижнем горизонте]]="Нет",0,'[2]комплекты фурнитуры'!$C$91)</f>
        <v>0</v>
      </c>
      <c r="BR11"/>
      <c r="BS11"/>
      <c r="BT11"/>
      <c r="BU11"/>
      <c r="BV11"/>
      <c r="BW11"/>
      <c r="BX11"/>
    </row>
    <row r="12" spans="1:76" ht="15" customHeight="1" x14ac:dyDescent="0.25">
      <c r="A12" s="13" t="s">
        <v>120</v>
      </c>
      <c r="B12" s="14" t="s">
        <v>91</v>
      </c>
      <c r="C12" s="14" t="s">
        <v>121</v>
      </c>
      <c r="D12" s="14" t="s">
        <v>115</v>
      </c>
      <c r="E12" s="14" t="s">
        <v>94</v>
      </c>
      <c r="F12" s="14" t="s">
        <v>109</v>
      </c>
      <c r="G12" s="15">
        <v>720</v>
      </c>
      <c r="H12" s="15">
        <v>720</v>
      </c>
      <c r="I12" s="15">
        <v>810</v>
      </c>
      <c r="J12" s="15">
        <v>1050</v>
      </c>
      <c r="K12" s="15">
        <v>360</v>
      </c>
      <c r="L12" s="15">
        <v>560</v>
      </c>
      <c r="M12" s="38">
        <v>2980</v>
      </c>
      <c r="N12" s="18">
        <v>3840</v>
      </c>
      <c r="O12" s="43">
        <v>720</v>
      </c>
      <c r="P12" s="43">
        <v>750</v>
      </c>
      <c r="Q12" s="43" t="str">
        <f>IF(OR(Прайс[[#This Row],[Тип]]="Нижний",Прайс[[#This Row],[Тип]]="Пенал"),"560",IF(Прайс[[#This Row],[Тип]]="Верхний",315,0))</f>
        <v>560</v>
      </c>
      <c r="R12" s="20">
        <v>1.08</v>
      </c>
      <c r="S12" s="20">
        <v>1.0649999999999999</v>
      </c>
      <c r="T12" s="20">
        <v>0</v>
      </c>
      <c r="U12" s="16"/>
      <c r="V12" s="16"/>
      <c r="W12" s="16">
        <f>'[2]комплекты фурнитуры'!$C$56</f>
        <v>1300</v>
      </c>
      <c r="X12" s="16">
        <f>'[2]комплекты фурнитуры'!$C$58</f>
        <v>480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7" t="e">
        <f>#REF!+Прайс[[#This Row],[КФ петли вклад. 95 гр. с крестообр. планкой]]*2</f>
        <v>#REF!</v>
      </c>
      <c r="AY12" s="18" t="e">
        <f>#REF!+Прайс[[#This Row],[KFP-SB-PY94]]*2</f>
        <v>#REF!</v>
      </c>
      <c r="AZ12" s="18" t="e">
        <f>#REF!+Прайс[[#This Row],[KFP-SB-PY94]]*2</f>
        <v>#REF!</v>
      </c>
      <c r="BA12" s="19">
        <v>0</v>
      </c>
      <c r="BB12" s="19">
        <v>0</v>
      </c>
      <c r="BC12" s="19" t="s">
        <v>110</v>
      </c>
      <c r="BD12" s="18" t="s">
        <v>96</v>
      </c>
      <c r="BE12" s="19">
        <v>0</v>
      </c>
      <c r="BF12" s="19" t="s">
        <v>94</v>
      </c>
      <c r="BG12" s="19"/>
      <c r="BH12" s="19"/>
      <c r="BI12" s="19">
        <v>1</v>
      </c>
      <c r="BJ12" s="19">
        <v>0</v>
      </c>
      <c r="BK12" s="19">
        <v>0</v>
      </c>
      <c r="BL12" s="19"/>
      <c r="BM12" s="19"/>
      <c r="BN12" s="19"/>
      <c r="BO12" s="19"/>
      <c r="BP12" s="19" t="s">
        <v>94</v>
      </c>
      <c r="BQ12" s="19">
        <f>IF(Прайс[[#This Row],[Наличие подсветки на нижнем горизонте]]="Нет",0,'[2]комплекты фурнитуры'!$C$91)</f>
        <v>0</v>
      </c>
      <c r="BR12"/>
      <c r="BS12"/>
      <c r="BT12"/>
      <c r="BU12"/>
      <c r="BV12"/>
      <c r="BW12"/>
      <c r="BX12"/>
    </row>
    <row r="13" spans="1:76" s="5" customFormat="1" ht="15" customHeight="1" x14ac:dyDescent="0.25">
      <c r="A13" s="21" t="s">
        <v>122</v>
      </c>
      <c r="B13" s="14" t="s">
        <v>91</v>
      </c>
      <c r="C13" s="14" t="s">
        <v>123</v>
      </c>
      <c r="D13" s="14" t="s">
        <v>99</v>
      </c>
      <c r="E13" s="14" t="s">
        <v>94</v>
      </c>
      <c r="F13" s="14" t="s">
        <v>124</v>
      </c>
      <c r="G13" s="15">
        <v>720</v>
      </c>
      <c r="H13" s="15">
        <v>720</v>
      </c>
      <c r="I13" s="15">
        <v>300</v>
      </c>
      <c r="J13" s="15">
        <v>600</v>
      </c>
      <c r="K13" s="15">
        <v>525</v>
      </c>
      <c r="L13" s="15">
        <v>560</v>
      </c>
      <c r="M13" s="38">
        <v>2640</v>
      </c>
      <c r="N13" s="18">
        <v>3240</v>
      </c>
      <c r="O13" s="43">
        <v>720</v>
      </c>
      <c r="P13" s="43">
        <v>300</v>
      </c>
      <c r="Q13" s="43" t="str">
        <f>IF(OR(Прайс[[#This Row],[Тип]]="Нижний",Прайс[[#This Row],[Тип]]="Пенал"),"560",IF(Прайс[[#This Row],[Тип]]="Верхний",315,0))</f>
        <v>560</v>
      </c>
      <c r="R13" s="20">
        <v>1.08</v>
      </c>
      <c r="S13" s="20">
        <v>1.0649999999999999</v>
      </c>
      <c r="T13" s="20">
        <v>0</v>
      </c>
      <c r="U13" s="16">
        <f>'[2]комплекты фурнитуры'!$C$62</f>
        <v>620</v>
      </c>
      <c r="V13" s="16">
        <f>'[2]комплекты фурнитуры'!$C$63</f>
        <v>130</v>
      </c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>
        <f>'[2]комплекты фурнитуры'!$C$25</f>
        <v>5100</v>
      </c>
      <c r="AK13" s="16"/>
      <c r="AL13" s="16">
        <f>'[2]комплекты фурнитуры'!$C$32</f>
        <v>370</v>
      </c>
      <c r="AM13" s="16"/>
      <c r="AN13" s="16">
        <f>'[2]комплекты фурнитуры'!$C$33</f>
        <v>170</v>
      </c>
      <c r="AO13" s="16">
        <f>'[2]комплекты фурнитуры'!$C$35</f>
        <v>4140</v>
      </c>
      <c r="AP13" s="16"/>
      <c r="AQ13" s="16"/>
      <c r="AR13" s="16"/>
      <c r="AS13" s="16"/>
      <c r="AT13" s="16"/>
      <c r="AU13" s="16"/>
      <c r="AV13" s="16"/>
      <c r="AW13" s="16"/>
      <c r="AX13" s="17">
        <f>Прайс[[#This Row],[КФ петли SENS накл.110 гр. с крестообр. Планкой]]*2+Прайс[[#This Row],[Комплект для ящика Hettich ATIRA Серый, NL-470, H-70]]</f>
        <v>6340</v>
      </c>
      <c r="AY13" s="18">
        <f>Прайс[[#This Row],[KFP-SB-N110]]*2+Прайс[[#This Row],[KFN-SB-M86]]+Прайс[[#This Row],[KFN-SB-MD]]</f>
        <v>800</v>
      </c>
      <c r="AZ13" s="18">
        <f>Прайс[[#This Row],[KFP-SB-N110]]*2+Прайс[[#This Row],[КФ ящика Matrix (H=89 мм)_450_GR]]</f>
        <v>4400</v>
      </c>
      <c r="BA13" s="19">
        <v>0</v>
      </c>
      <c r="BB13" s="19">
        <v>1</v>
      </c>
      <c r="BC13" s="19" t="s">
        <v>110</v>
      </c>
      <c r="BD13" s="18" t="s">
        <v>125</v>
      </c>
      <c r="BE13" s="19">
        <v>1</v>
      </c>
      <c r="BF13" s="19" t="s">
        <v>94</v>
      </c>
      <c r="BG13" s="19"/>
      <c r="BH13" s="19"/>
      <c r="BI13" s="19">
        <v>2</v>
      </c>
      <c r="BJ13" s="19">
        <v>0</v>
      </c>
      <c r="BK13" s="19">
        <v>0</v>
      </c>
      <c r="BL13" s="19"/>
      <c r="BM13" s="19"/>
      <c r="BN13" s="19"/>
      <c r="BO13" s="19"/>
      <c r="BP13" s="19" t="s">
        <v>94</v>
      </c>
      <c r="BQ13" s="19">
        <f>IF(Прайс[[#This Row],[Наличие подсветки на нижнем горизонте]]="Нет",0,'[2]комплекты фурнитуры'!$C$91)</f>
        <v>0</v>
      </c>
    </row>
    <row r="14" spans="1:76" s="5" customFormat="1" ht="15" customHeight="1" x14ac:dyDescent="0.25">
      <c r="A14" s="21" t="s">
        <v>126</v>
      </c>
      <c r="B14" s="14" t="s">
        <v>91</v>
      </c>
      <c r="C14" s="14" t="s">
        <v>127</v>
      </c>
      <c r="D14" s="14" t="s">
        <v>99</v>
      </c>
      <c r="E14" s="14" t="s">
        <v>94</v>
      </c>
      <c r="F14" s="14" t="s">
        <v>124</v>
      </c>
      <c r="G14" s="15">
        <v>720</v>
      </c>
      <c r="H14" s="15">
        <v>720</v>
      </c>
      <c r="I14" s="15">
        <v>500</v>
      </c>
      <c r="J14" s="15">
        <v>900</v>
      </c>
      <c r="K14" s="15">
        <v>525</v>
      </c>
      <c r="L14" s="15">
        <v>560</v>
      </c>
      <c r="M14" s="38">
        <v>2640</v>
      </c>
      <c r="N14" s="18">
        <v>3240</v>
      </c>
      <c r="O14" s="43">
        <v>720</v>
      </c>
      <c r="P14" s="43">
        <v>300</v>
      </c>
      <c r="Q14" s="43" t="str">
        <f>IF(OR(Прайс[[#This Row],[Тип]]="Нижний",Прайс[[#This Row],[Тип]]="Пенал"),"560",IF(Прайс[[#This Row],[Тип]]="Верхний",315,0))</f>
        <v>560</v>
      </c>
      <c r="R14" s="20">
        <v>1.08</v>
      </c>
      <c r="S14" s="20">
        <v>1.0649999999999999</v>
      </c>
      <c r="T14" s="20">
        <v>0</v>
      </c>
      <c r="U14" s="16">
        <f>'[2]комплекты фурнитуры'!$C$62</f>
        <v>620</v>
      </c>
      <c r="V14" s="16">
        <f>'[2]комплекты фурнитуры'!$C$63</f>
        <v>130</v>
      </c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>
        <f>'[2]комплекты фурнитуры'!$C$25</f>
        <v>5100</v>
      </c>
      <c r="AK14" s="16"/>
      <c r="AL14" s="16">
        <f>'[2]комплекты фурнитуры'!$C$32</f>
        <v>370</v>
      </c>
      <c r="AM14" s="16"/>
      <c r="AN14" s="16">
        <f>'[2]комплекты фурнитуры'!$C$33</f>
        <v>170</v>
      </c>
      <c r="AO14" s="16">
        <f>'[2]комплекты фурнитуры'!$C$35</f>
        <v>4140</v>
      </c>
      <c r="AP14" s="16"/>
      <c r="AQ14" s="16"/>
      <c r="AR14" s="16"/>
      <c r="AS14" s="16"/>
      <c r="AT14" s="16"/>
      <c r="AU14" s="16"/>
      <c r="AV14" s="16"/>
      <c r="AW14" s="16"/>
      <c r="AX14" s="17">
        <f>Прайс[[#This Row],[КФ петли SENS накл.110 гр. с крестообр. Планкой]]*4+Прайс[[#This Row],[Комплект для ящика Hettich ATIRA Серый, NL-470, H-70]]</f>
        <v>7580</v>
      </c>
      <c r="AY14" s="18">
        <f>Прайс[[#This Row],[KFP-SB-N110]]*4+Прайс[[#This Row],[KFN-SB-M86]]+Прайс[[#This Row],[KFN-SB-MD]]</f>
        <v>1060</v>
      </c>
      <c r="AZ14" s="18">
        <f>Прайс[[#This Row],[KFP-SB-N110]]*4+Прайс[[#This Row],[КФ ящика Matrix (H=89 мм)_450_GR]]</f>
        <v>4660</v>
      </c>
      <c r="BA14" s="19">
        <v>0</v>
      </c>
      <c r="BB14" s="19">
        <v>1</v>
      </c>
      <c r="BC14" s="19" t="s">
        <v>110</v>
      </c>
      <c r="BD14" s="18" t="s">
        <v>125</v>
      </c>
      <c r="BE14" s="19">
        <v>1</v>
      </c>
      <c r="BF14" s="19" t="s">
        <v>94</v>
      </c>
      <c r="BG14" s="19"/>
      <c r="BH14" s="19"/>
      <c r="BI14" s="19">
        <v>3</v>
      </c>
      <c r="BJ14" s="19">
        <v>0</v>
      </c>
      <c r="BK14" s="19">
        <v>0</v>
      </c>
      <c r="BL14" s="19"/>
      <c r="BM14" s="19"/>
      <c r="BN14" s="19"/>
      <c r="BO14" s="19"/>
      <c r="BP14" s="19" t="s">
        <v>94</v>
      </c>
      <c r="BQ14" s="19">
        <f>IF(Прайс[[#This Row],[Наличие подсветки на нижнем горизонте]]="Нет",0,'[2]комплекты фурнитуры'!$C$91)</f>
        <v>0</v>
      </c>
    </row>
    <row r="15" spans="1:76" ht="15" customHeight="1" x14ac:dyDescent="0.25">
      <c r="A15" s="13" t="s">
        <v>128</v>
      </c>
      <c r="B15" s="14" t="s">
        <v>91</v>
      </c>
      <c r="C15" s="14" t="s">
        <v>129</v>
      </c>
      <c r="D15" s="14" t="s">
        <v>99</v>
      </c>
      <c r="E15" s="14" t="s">
        <v>94</v>
      </c>
      <c r="F15" s="14" t="s">
        <v>124</v>
      </c>
      <c r="G15" s="15">
        <v>720</v>
      </c>
      <c r="H15" s="15">
        <v>720</v>
      </c>
      <c r="I15" s="15">
        <v>300</v>
      </c>
      <c r="J15" s="15">
        <v>900</v>
      </c>
      <c r="K15" s="15">
        <v>525</v>
      </c>
      <c r="L15" s="15">
        <v>560</v>
      </c>
      <c r="M15" s="38">
        <v>3510</v>
      </c>
      <c r="N15" s="18">
        <v>4260</v>
      </c>
      <c r="O15" s="43">
        <v>720</v>
      </c>
      <c r="P15" s="43">
        <v>300</v>
      </c>
      <c r="Q15" s="43" t="str">
        <f>IF(OR(Прайс[[#This Row],[Тип]]="Нижний",Прайс[[#This Row],[Тип]]="Пенал"),"560",IF(Прайс[[#This Row],[Тип]]="Верхний",315,0))</f>
        <v>560</v>
      </c>
      <c r="R15" s="20">
        <v>1.08</v>
      </c>
      <c r="S15" s="20">
        <v>1.0649999999999999</v>
      </c>
      <c r="T15" s="20">
        <v>0</v>
      </c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>
        <f>'[2]комплекты фурнитуры'!$C$25</f>
        <v>5100</v>
      </c>
      <c r="AK15" s="16"/>
      <c r="AL15" s="16">
        <f>'[2]комплекты фурнитуры'!$C$32</f>
        <v>370</v>
      </c>
      <c r="AM15" s="16"/>
      <c r="AN15" s="16">
        <f>'[2]комплекты фурнитуры'!$C$33</f>
        <v>170</v>
      </c>
      <c r="AO15" s="16"/>
      <c r="AP15" s="16"/>
      <c r="AQ15" s="16">
        <f>'[2]комплекты фурнитуры'!$C$36</f>
        <v>6440</v>
      </c>
      <c r="AR15" s="16"/>
      <c r="AS15" s="16"/>
      <c r="AT15" s="16"/>
      <c r="AU15" s="16"/>
      <c r="AV15" s="16"/>
      <c r="AW15" s="16"/>
      <c r="AX15" s="17">
        <f>4*Прайс[[#This Row],[Комплект для ящика Hettich ATIRA Серый, NL-470, H-70]]</f>
        <v>20400</v>
      </c>
      <c r="AY15" s="18">
        <f>Прайс[[#This Row],[KFN-SB-M86]]*4+Прайс[[#This Row],[KFN-SB-MD]]*4</f>
        <v>2160</v>
      </c>
      <c r="AZ15" s="18">
        <f>Прайс[[#This Row],[Комплект ящика INNOTECH ATIRA полного выдв. с  PUSH TO OPEN , Н70,NL470,цвет серебристый]]*4</f>
        <v>25760</v>
      </c>
      <c r="BA15" s="19">
        <v>0</v>
      </c>
      <c r="BB15" s="19">
        <v>0</v>
      </c>
      <c r="BC15" s="19" t="s">
        <v>110</v>
      </c>
      <c r="BD15" s="18" t="s">
        <v>96</v>
      </c>
      <c r="BE15" s="19">
        <v>0</v>
      </c>
      <c r="BF15" s="19" t="s">
        <v>94</v>
      </c>
      <c r="BG15" s="19"/>
      <c r="BH15" s="19"/>
      <c r="BI15" s="19">
        <v>4</v>
      </c>
      <c r="BJ15" s="19">
        <v>0</v>
      </c>
      <c r="BK15" s="19">
        <v>0</v>
      </c>
      <c r="BL15" s="19"/>
      <c r="BM15" s="19"/>
      <c r="BN15" s="19"/>
      <c r="BO15" s="19"/>
      <c r="BP15" s="19" t="s">
        <v>94</v>
      </c>
      <c r="BQ15" s="19">
        <f>IF(Прайс[[#This Row],[Наличие подсветки на нижнем горизонте]]="Нет",0,'[2]комплекты фурнитуры'!$C$91)</f>
        <v>0</v>
      </c>
      <c r="BR15"/>
      <c r="BS15"/>
      <c r="BT15"/>
      <c r="BU15"/>
      <c r="BV15"/>
      <c r="BW15"/>
      <c r="BX15"/>
    </row>
    <row r="16" spans="1:76" ht="15" customHeight="1" x14ac:dyDescent="0.25">
      <c r="A16" s="13" t="s">
        <v>130</v>
      </c>
      <c r="B16" s="14" t="s">
        <v>91</v>
      </c>
      <c r="C16" s="14" t="s">
        <v>131</v>
      </c>
      <c r="D16" s="14" t="s">
        <v>99</v>
      </c>
      <c r="E16" s="14" t="s">
        <v>94</v>
      </c>
      <c r="F16" s="14" t="s">
        <v>124</v>
      </c>
      <c r="G16" s="15">
        <v>720</v>
      </c>
      <c r="H16" s="15">
        <v>720</v>
      </c>
      <c r="I16" s="15">
        <v>300</v>
      </c>
      <c r="J16" s="15">
        <v>900</v>
      </c>
      <c r="K16" s="15">
        <v>525</v>
      </c>
      <c r="L16" s="15">
        <v>560</v>
      </c>
      <c r="M16" s="38">
        <v>3060</v>
      </c>
      <c r="N16" s="18">
        <v>3770</v>
      </c>
      <c r="O16" s="43">
        <v>720</v>
      </c>
      <c r="P16" s="43">
        <v>300</v>
      </c>
      <c r="Q16" s="43" t="str">
        <f>IF(OR(Прайс[[#This Row],[Тип]]="Нижний",Прайс[[#This Row],[Тип]]="Пенал"),"560",IF(Прайс[[#This Row],[Тип]]="Верхний",315,0))</f>
        <v>560</v>
      </c>
      <c r="R16" s="20">
        <v>1.08</v>
      </c>
      <c r="S16" s="20">
        <v>1.0649999999999999</v>
      </c>
      <c r="T16" s="20">
        <v>0</v>
      </c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>
        <f>'[2]комплекты фурнитуры'!$C$25</f>
        <v>5100</v>
      </c>
      <c r="AK16" s="16">
        <f>'[2]комплекты фурнитуры'!$C$26</f>
        <v>6660</v>
      </c>
      <c r="AL16" s="16">
        <f>'[2]комплекты фурнитуры'!$C$32</f>
        <v>370</v>
      </c>
      <c r="AM16" s="16">
        <f>'[2]комплекты фурнитуры'!$C$31</f>
        <v>950</v>
      </c>
      <c r="AN16" s="16">
        <f>'[2]комплекты фурнитуры'!$C$33</f>
        <v>170</v>
      </c>
      <c r="AO16" s="16"/>
      <c r="AP16" s="16">
        <f>'[2]комплекты фурнитуры'!$C$34</f>
        <v>5040</v>
      </c>
      <c r="AQ16" s="16">
        <f>'[2]комплекты фурнитуры'!$C$36</f>
        <v>6440</v>
      </c>
      <c r="AR16" s="16">
        <f>'[2]комплекты фурнитуры'!$C$37</f>
        <v>7970</v>
      </c>
      <c r="AS16" s="16"/>
      <c r="AT16" s="16"/>
      <c r="AU16" s="16"/>
      <c r="AV16" s="16"/>
      <c r="AW16" s="16"/>
      <c r="AX16" s="17">
        <f>Прайс[[#This Row],[Комплект для ящика Hettich ATIRA Серый, NL-470, H-70]]*2+Прайс[[#This Row],[Комплект для ящика Hettich ATIRA Серый с реллингом, NL-470, H-176]]</f>
        <v>16860</v>
      </c>
      <c r="AY16" s="18">
        <f>Прайс[[#This Row],[KFN-SB-M86]]*2+Прайс[[#This Row],[KFN-SB-M15]]+Прайс[[#This Row],[KFN-SB-MD]]*3</f>
        <v>2200</v>
      </c>
      <c r="AZ16" s="18">
        <f>Прайс[[#This Row],[Комплект ящика INNOTECH ATIRA полного выдв. с  PUSH TO OPEN , Н70,NL470,цвет серебристый]]*2+Прайс[[#This Row],[Комплект короба INNOTECH ATIRA полного выдв. с Push to open, Н176,NL470,рейлинги, цвет серебристый]]</f>
        <v>20850</v>
      </c>
      <c r="BA16" s="19">
        <v>0</v>
      </c>
      <c r="BB16" s="19">
        <v>0</v>
      </c>
      <c r="BC16" s="19" t="s">
        <v>110</v>
      </c>
      <c r="BD16" s="18" t="s">
        <v>96</v>
      </c>
      <c r="BE16" s="19">
        <v>0</v>
      </c>
      <c r="BF16" s="19" t="s">
        <v>94</v>
      </c>
      <c r="BG16" s="19"/>
      <c r="BH16" s="19"/>
      <c r="BI16" s="19">
        <v>3</v>
      </c>
      <c r="BJ16" s="19">
        <v>0</v>
      </c>
      <c r="BK16" s="19">
        <v>0</v>
      </c>
      <c r="BL16" s="19"/>
      <c r="BM16" s="19"/>
      <c r="BN16" s="19"/>
      <c r="BO16" s="19"/>
      <c r="BP16" s="19" t="s">
        <v>94</v>
      </c>
      <c r="BQ16" s="19">
        <f>IF(Прайс[[#This Row],[Наличие подсветки на нижнем горизонте]]="Нет",0,'[2]комплекты фурнитуры'!$C$91)</f>
        <v>0</v>
      </c>
      <c r="BR16"/>
      <c r="BS16"/>
      <c r="BT16"/>
      <c r="BU16"/>
      <c r="BV16"/>
      <c r="BW16"/>
      <c r="BX16"/>
    </row>
    <row r="17" spans="1:76" ht="15" customHeight="1" x14ac:dyDescent="0.25">
      <c r="A17" s="13" t="s">
        <v>132</v>
      </c>
      <c r="B17" s="14" t="s">
        <v>91</v>
      </c>
      <c r="C17" s="14" t="s">
        <v>133</v>
      </c>
      <c r="D17" s="14" t="s">
        <v>99</v>
      </c>
      <c r="E17" s="14" t="s">
        <v>94</v>
      </c>
      <c r="F17" s="14" t="s">
        <v>124</v>
      </c>
      <c r="G17" s="15">
        <v>720</v>
      </c>
      <c r="H17" s="15">
        <v>720</v>
      </c>
      <c r="I17" s="15">
        <v>300</v>
      </c>
      <c r="J17" s="15">
        <v>950</v>
      </c>
      <c r="K17" s="15">
        <v>375</v>
      </c>
      <c r="L17" s="15">
        <v>560</v>
      </c>
      <c r="M17" s="38">
        <v>2960</v>
      </c>
      <c r="N17" s="18">
        <v>3630</v>
      </c>
      <c r="O17" s="43">
        <v>720</v>
      </c>
      <c r="P17" s="43">
        <v>300</v>
      </c>
      <c r="Q17" s="43" t="str">
        <f>IF(OR(Прайс[[#This Row],[Тип]]="Нижний",Прайс[[#This Row],[Тип]]="Пенал"),"560",IF(Прайс[[#This Row],[Тип]]="Верхний",315,0))</f>
        <v>560</v>
      </c>
      <c r="R17" s="20">
        <v>1.08</v>
      </c>
      <c r="S17" s="20">
        <v>1.0649999999999999</v>
      </c>
      <c r="T17" s="20">
        <v>0</v>
      </c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>
        <f>'[2]комплекты фурнитуры'!$C$26</f>
        <v>6660</v>
      </c>
      <c r="AL17" s="16"/>
      <c r="AM17" s="16">
        <f>'[2]комплекты фурнитуры'!$C$31</f>
        <v>950</v>
      </c>
      <c r="AN17" s="16">
        <f>'[2]комплекты фурнитуры'!$C$33</f>
        <v>170</v>
      </c>
      <c r="AO17" s="16"/>
      <c r="AP17" s="16">
        <f>'[2]комплекты фурнитуры'!$C$34</f>
        <v>5040</v>
      </c>
      <c r="AQ17" s="16"/>
      <c r="AR17" s="16">
        <f>'[2]комплекты фурнитуры'!$C$37</f>
        <v>7970</v>
      </c>
      <c r="AS17" s="16"/>
      <c r="AT17" s="16"/>
      <c r="AU17" s="16"/>
      <c r="AV17" s="16"/>
      <c r="AW17" s="16"/>
      <c r="AX17" s="17">
        <f>Прайс[[#This Row],[Комплект для ящика Hettich ATIRA Серый с реллингом, NL-470, H-176]]*2</f>
        <v>13320</v>
      </c>
      <c r="AY17" s="18">
        <f>Прайс[[#This Row],[KFN-SB-M15]]*2+Прайс[[#This Row],[KFN-SB-MD]]*2</f>
        <v>2240</v>
      </c>
      <c r="AZ17" s="18">
        <f>Прайс[[#This Row],[Комплект короба INNOTECH ATIRA полного выдв. с Push to open, Н176,NL470,рейлинги, цвет серебристый]]*2</f>
        <v>15940</v>
      </c>
      <c r="BA17" s="19">
        <v>0</v>
      </c>
      <c r="BB17" s="19">
        <v>0</v>
      </c>
      <c r="BC17" s="19" t="s">
        <v>110</v>
      </c>
      <c r="BD17" s="18" t="s">
        <v>96</v>
      </c>
      <c r="BE17" s="19">
        <v>0</v>
      </c>
      <c r="BF17" s="19" t="s">
        <v>94</v>
      </c>
      <c r="BG17" s="19"/>
      <c r="BH17" s="19"/>
      <c r="BI17" s="19">
        <v>2</v>
      </c>
      <c r="BJ17" s="19">
        <v>0</v>
      </c>
      <c r="BK17" s="19">
        <v>0</v>
      </c>
      <c r="BL17" s="19"/>
      <c r="BM17" s="19"/>
      <c r="BN17" s="19"/>
      <c r="BO17" s="19"/>
      <c r="BP17" s="19" t="s">
        <v>94</v>
      </c>
      <c r="BQ17" s="19">
        <f>IF(Прайс[[#This Row],[Наличие подсветки на нижнем горизонте]]="Нет",0,'[2]комплекты фурнитуры'!$C$91)</f>
        <v>0</v>
      </c>
      <c r="BR17"/>
      <c r="BS17"/>
      <c r="BT17"/>
      <c r="BU17"/>
      <c r="BV17"/>
      <c r="BW17"/>
      <c r="BX17"/>
    </row>
    <row r="18" spans="1:76" ht="15" customHeight="1" x14ac:dyDescent="0.25">
      <c r="A18" s="22" t="s">
        <v>134</v>
      </c>
      <c r="B18" s="14" t="s">
        <v>91</v>
      </c>
      <c r="C18" s="14" t="s">
        <v>135</v>
      </c>
      <c r="D18" s="14" t="s">
        <v>99</v>
      </c>
      <c r="E18" s="14" t="s">
        <v>94</v>
      </c>
      <c r="F18" s="14" t="s">
        <v>136</v>
      </c>
      <c r="G18" s="15">
        <v>720</v>
      </c>
      <c r="H18" s="15">
        <v>720</v>
      </c>
      <c r="I18" s="15">
        <v>600</v>
      </c>
      <c r="J18" s="15">
        <v>600</v>
      </c>
      <c r="K18" s="15">
        <v>525</v>
      </c>
      <c r="L18" s="15">
        <v>560</v>
      </c>
      <c r="M18" s="38">
        <v>3620</v>
      </c>
      <c r="N18" s="18">
        <v>4510</v>
      </c>
      <c r="O18" s="43">
        <v>720</v>
      </c>
      <c r="P18" s="43">
        <v>600</v>
      </c>
      <c r="Q18" s="43">
        <v>560</v>
      </c>
      <c r="R18" s="20">
        <v>0</v>
      </c>
      <c r="S18" s="20">
        <v>0</v>
      </c>
      <c r="T18" s="20">
        <v>0</v>
      </c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>
        <f>'[2]комплекты фурнитуры'!$C$26</f>
        <v>6660</v>
      </c>
      <c r="AL18" s="16"/>
      <c r="AM18" s="16"/>
      <c r="AN18" s="16"/>
      <c r="AO18" s="16"/>
      <c r="AP18" s="23"/>
      <c r="AQ18" s="16"/>
      <c r="AR18" s="16"/>
      <c r="AS18" s="16"/>
      <c r="AT18" s="16"/>
      <c r="AU18" s="16"/>
      <c r="AV18" s="16"/>
      <c r="AW18" s="16"/>
      <c r="AX18" s="17">
        <f>Прайс[[#This Row],[Корзина выдв.посудосуш.600 мм + напр. L450 Hettich (ХРОМ)]]+Прайс[[#This Row],[Комплект для ящика Hettich ATIRA Серый с реллингом, NL-470, H-176]]</f>
        <v>15450</v>
      </c>
      <c r="AY18" s="17">
        <f>Прайс[[#This Row],[Корзина выдв.посудосуш.600 мм + напр. L450 Hettich (ХРОМ)]]+Прайс[[#This Row],[Комплект для ящика Hettich ATIRA Серый с реллингом, NL-470, H-176]]</f>
        <v>15450</v>
      </c>
      <c r="AZ18" s="17">
        <f>Прайс[[#This Row],[Корзина выдв.посудосуш.600 мм + напр. L450 Hettich (ХРОМ)]]+Прайс[[#This Row],[Комплект для ящика Hettich ATIRA Серый с реллингом, NL-470, H-176]]</f>
        <v>15450</v>
      </c>
      <c r="BA18" s="19">
        <v>0</v>
      </c>
      <c r="BB18" s="19">
        <v>0</v>
      </c>
      <c r="BC18" s="19" t="s">
        <v>94</v>
      </c>
      <c r="BD18" s="18" t="s">
        <v>137</v>
      </c>
      <c r="BE18" s="19">
        <v>0</v>
      </c>
      <c r="BF18" s="19" t="s">
        <v>94</v>
      </c>
      <c r="BG18" s="19">
        <f>'[2]комплекты фурнитуры'!$C$19</f>
        <v>540</v>
      </c>
      <c r="BH18" s="24">
        <f>'[2]комплекты фурнитуры'!$C$45</f>
        <v>8790</v>
      </c>
      <c r="BI18" s="19">
        <v>2</v>
      </c>
      <c r="BJ18" s="19">
        <v>0</v>
      </c>
      <c r="BK18" s="19">
        <v>0</v>
      </c>
      <c r="BL18" s="19"/>
      <c r="BM18" s="19"/>
      <c r="BN18" s="19"/>
      <c r="BO18" s="19"/>
      <c r="BP18" s="19" t="s">
        <v>94</v>
      </c>
      <c r="BQ18" s="19">
        <f>IF(Прайс[[#This Row],[Наличие подсветки на нижнем горизонте]]="Нет",0,'[2]комплекты фурнитуры'!$C$91)</f>
        <v>0</v>
      </c>
      <c r="BR18"/>
      <c r="BS18"/>
      <c r="BT18"/>
      <c r="BU18"/>
      <c r="BV18"/>
      <c r="BW18"/>
      <c r="BX18"/>
    </row>
    <row r="19" spans="1:76" ht="15" customHeight="1" x14ac:dyDescent="0.25">
      <c r="A19" s="13" t="s">
        <v>138</v>
      </c>
      <c r="B19" s="14" t="s">
        <v>91</v>
      </c>
      <c r="C19" s="14" t="s">
        <v>139</v>
      </c>
      <c r="D19" s="14" t="s">
        <v>99</v>
      </c>
      <c r="E19" s="14" t="s">
        <v>94</v>
      </c>
      <c r="F19" s="14" t="s">
        <v>140</v>
      </c>
      <c r="G19" s="15">
        <v>720</v>
      </c>
      <c r="H19" s="15">
        <v>720</v>
      </c>
      <c r="I19" s="15">
        <v>450</v>
      </c>
      <c r="J19" s="15">
        <v>600</v>
      </c>
      <c r="K19" s="15">
        <v>525</v>
      </c>
      <c r="L19" s="15">
        <v>600</v>
      </c>
      <c r="M19" s="38">
        <v>2760</v>
      </c>
      <c r="N19" s="18">
        <v>3570</v>
      </c>
      <c r="O19" s="43">
        <v>720</v>
      </c>
      <c r="P19" s="43">
        <v>450</v>
      </c>
      <c r="Q19" s="43" t="str">
        <f>IF(OR(Прайс[[#This Row],[Тип]]="Нижний",Прайс[[#This Row],[Тип]]="Пенал"),"560",IF(Прайс[[#This Row],[Тип]]="Верхний",315,0))</f>
        <v>560</v>
      </c>
      <c r="R19" s="20">
        <v>1.08</v>
      </c>
      <c r="S19" s="20">
        <v>1.0649999999999999</v>
      </c>
      <c r="T19" s="20">
        <v>0</v>
      </c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>
        <f>'[2]комплекты фурнитуры'!$C$30</f>
        <v>480</v>
      </c>
      <c r="AJ19" s="16"/>
      <c r="AK19" s="16"/>
      <c r="AL19" s="16"/>
      <c r="AM19" s="16"/>
      <c r="AN19" s="16">
        <f>'[2]комплекты фурнитуры'!$C$33</f>
        <v>170</v>
      </c>
      <c r="AO19" s="16"/>
      <c r="AP19" s="16"/>
      <c r="AQ19" s="16"/>
      <c r="AR19" s="16"/>
      <c r="AS19" s="16"/>
      <c r="AT19" s="16"/>
      <c r="AU19" s="16"/>
      <c r="AV19" s="16"/>
      <c r="AW19" s="16"/>
      <c r="AX19" s="18">
        <f>Прайс[[#This Row],[KFN-SB-M54]]+Прайс[[#This Row],[KFN-SB-MD]]</f>
        <v>650</v>
      </c>
      <c r="AY19" s="18">
        <f>Прайс[[#This Row],[KFN-SB-M54]]+Прайс[[#This Row],[KFN-SB-MD]]</f>
        <v>650</v>
      </c>
      <c r="AZ19" s="18">
        <f>Прайс[[#This Row],[KFN-SB-M54]]+Прайс[[#This Row],[KFN-SB-MD]]</f>
        <v>650</v>
      </c>
      <c r="BA19" s="19">
        <v>0</v>
      </c>
      <c r="BB19" s="19">
        <v>0</v>
      </c>
      <c r="BC19" s="19" t="s">
        <v>94</v>
      </c>
      <c r="BD19" s="18" t="s">
        <v>141</v>
      </c>
      <c r="BE19" s="19">
        <v>0</v>
      </c>
      <c r="BF19" s="19" t="s">
        <v>94</v>
      </c>
      <c r="BG19" s="19"/>
      <c r="BH19" s="19"/>
      <c r="BI19" s="19">
        <v>1</v>
      </c>
      <c r="BJ19" s="19">
        <v>0</v>
      </c>
      <c r="BK19" s="19">
        <v>0</v>
      </c>
      <c r="BL19" s="19"/>
      <c r="BM19" s="19"/>
      <c r="BN19" s="19"/>
      <c r="BO19" s="19"/>
      <c r="BP19" s="19" t="s">
        <v>94</v>
      </c>
      <c r="BQ19" s="19">
        <f>IF(Прайс[[#This Row],[Наличие подсветки на нижнем горизонте]]="Нет",0,'[2]комплекты фурнитуры'!$C$91)</f>
        <v>0</v>
      </c>
      <c r="BR19"/>
      <c r="BS19"/>
      <c r="BT19"/>
      <c r="BU19"/>
      <c r="BV19"/>
      <c r="BW19"/>
      <c r="BX19"/>
    </row>
    <row r="20" spans="1:76" ht="15" customHeight="1" x14ac:dyDescent="0.25">
      <c r="A20" s="13" t="s">
        <v>142</v>
      </c>
      <c r="B20" s="14" t="s">
        <v>91</v>
      </c>
      <c r="C20" s="14" t="s">
        <v>143</v>
      </c>
      <c r="D20" s="14" t="s">
        <v>144</v>
      </c>
      <c r="E20" s="14" t="s">
        <v>94</v>
      </c>
      <c r="F20" s="14" t="s">
        <v>95</v>
      </c>
      <c r="G20" s="15">
        <v>720</v>
      </c>
      <c r="H20" s="15">
        <v>720</v>
      </c>
      <c r="I20" s="15">
        <v>230</v>
      </c>
      <c r="J20" s="15">
        <v>230</v>
      </c>
      <c r="K20" s="15">
        <v>330</v>
      </c>
      <c r="L20" s="15">
        <v>600</v>
      </c>
      <c r="M20" s="38">
        <v>2870</v>
      </c>
      <c r="N20" s="18">
        <v>3480</v>
      </c>
      <c r="O20" s="43">
        <v>720</v>
      </c>
      <c r="P20" s="43">
        <v>230</v>
      </c>
      <c r="Q20" s="43">
        <v>540</v>
      </c>
      <c r="R20" s="20">
        <v>1.08</v>
      </c>
      <c r="S20" s="20">
        <v>1.0649999999999999</v>
      </c>
      <c r="T20" s="20">
        <v>1.3</v>
      </c>
      <c r="U20" s="16"/>
      <c r="V20" s="16"/>
      <c r="W20" s="16"/>
      <c r="X20" s="16"/>
      <c r="Y20" s="16">
        <f>'[2]комплекты фурнитуры'!$C$54</f>
        <v>1560</v>
      </c>
      <c r="Z20" s="16">
        <f>'[2]комплекты фурнитуры'!$C$55</f>
        <v>190</v>
      </c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7">
        <f>Прайс[[#This Row],[КKFP-SB-GT45]]*2</f>
        <v>3120</v>
      </c>
      <c r="AY20" s="18">
        <f>Прайс[[#This Row],[KFP-SB-N45]]*2</f>
        <v>380</v>
      </c>
      <c r="AZ20" s="18">
        <f>Прайс[[#This Row],[KFP-SB-N45]]*2</f>
        <v>380</v>
      </c>
      <c r="BA20" s="19">
        <v>0</v>
      </c>
      <c r="BB20" s="19">
        <v>0</v>
      </c>
      <c r="BC20" s="19" t="s">
        <v>110</v>
      </c>
      <c r="BD20" s="18" t="s">
        <v>96</v>
      </c>
      <c r="BE20" s="19">
        <v>0</v>
      </c>
      <c r="BF20" s="19" t="s">
        <v>94</v>
      </c>
      <c r="BG20" s="19"/>
      <c r="BH20" s="19"/>
      <c r="BI20" s="19">
        <v>1</v>
      </c>
      <c r="BJ20" s="19">
        <v>0</v>
      </c>
      <c r="BK20" s="19">
        <v>0</v>
      </c>
      <c r="BL20" s="19"/>
      <c r="BM20" s="19"/>
      <c r="BN20" s="19"/>
      <c r="BO20" s="19"/>
      <c r="BP20" s="19" t="s">
        <v>94</v>
      </c>
      <c r="BQ20" s="19">
        <f>IF(Прайс[[#This Row],[Наличие подсветки на нижнем горизонте]]="Нет",0,'[2]комплекты фурнитуры'!$C$91)</f>
        <v>0</v>
      </c>
      <c r="BR20"/>
      <c r="BS20"/>
      <c r="BT20"/>
      <c r="BU20"/>
      <c r="BV20"/>
      <c r="BW20"/>
      <c r="BX20"/>
    </row>
    <row r="21" spans="1:76" ht="15" customHeight="1" x14ac:dyDescent="0.25">
      <c r="A21" s="21" t="s">
        <v>145</v>
      </c>
      <c r="B21" s="14" t="s">
        <v>91</v>
      </c>
      <c r="C21" s="14" t="s">
        <v>146</v>
      </c>
      <c r="D21" s="14" t="s">
        <v>147</v>
      </c>
      <c r="E21" s="14" t="s">
        <v>94</v>
      </c>
      <c r="F21" s="14" t="s">
        <v>95</v>
      </c>
      <c r="G21" s="15">
        <v>720</v>
      </c>
      <c r="H21" s="15">
        <v>720</v>
      </c>
      <c r="I21" s="15">
        <v>315</v>
      </c>
      <c r="J21" s="15">
        <v>315</v>
      </c>
      <c r="K21" s="15">
        <v>315</v>
      </c>
      <c r="L21" s="15">
        <v>600</v>
      </c>
      <c r="M21" s="38">
        <v>2270</v>
      </c>
      <c r="N21" s="18">
        <v>2840</v>
      </c>
      <c r="O21" s="43">
        <v>720</v>
      </c>
      <c r="P21" s="43">
        <v>315</v>
      </c>
      <c r="Q21" s="43" t="str">
        <f>IF(OR(Прайс[[#This Row],[Тип]]="Нижний",Прайс[[#This Row],[Тип]]="Пенал"),"560",IF(Прайс[[#This Row],[Тип]]="Верхний",315,0))</f>
        <v>560</v>
      </c>
      <c r="R21" s="20">
        <v>1.08</v>
      </c>
      <c r="S21" s="20">
        <v>1.0649999999999999</v>
      </c>
      <c r="T21" s="20">
        <v>1.3</v>
      </c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7">
        <v>0</v>
      </c>
      <c r="AY21" s="18">
        <v>0</v>
      </c>
      <c r="AZ21" s="18">
        <v>0</v>
      </c>
      <c r="BA21" s="19">
        <v>1</v>
      </c>
      <c r="BB21" s="19">
        <v>1</v>
      </c>
      <c r="BC21" s="19" t="s">
        <v>94</v>
      </c>
      <c r="BD21" s="18" t="s">
        <v>96</v>
      </c>
      <c r="BE21" s="19">
        <v>1</v>
      </c>
      <c r="BF21" s="19" t="s">
        <v>94</v>
      </c>
      <c r="BG21" s="19"/>
      <c r="BH21" s="19"/>
      <c r="BI21" s="19">
        <v>0</v>
      </c>
      <c r="BJ21" s="19">
        <v>0</v>
      </c>
      <c r="BK21" s="19">
        <v>0</v>
      </c>
      <c r="BL21" s="19"/>
      <c r="BM21" s="19"/>
      <c r="BN21" s="19"/>
      <c r="BO21" s="19"/>
      <c r="BP21" s="19" t="s">
        <v>94</v>
      </c>
      <c r="BQ21" s="19">
        <f>IF(Прайс[[#This Row],[Наличие подсветки на нижнем горизонте]]="Нет",0,'[2]комплекты фурнитуры'!$C$91)</f>
        <v>0</v>
      </c>
      <c r="BR21"/>
      <c r="BS21"/>
      <c r="BT21"/>
      <c r="BU21"/>
      <c r="BV21"/>
      <c r="BW21"/>
      <c r="BX21"/>
    </row>
    <row r="22" spans="1:76" s="6" customFormat="1" ht="15" customHeight="1" x14ac:dyDescent="0.25">
      <c r="A22" s="25" t="s">
        <v>148</v>
      </c>
      <c r="B22" s="14" t="s">
        <v>91</v>
      </c>
      <c r="C22" s="14" t="s">
        <v>149</v>
      </c>
      <c r="D22" s="14" t="s">
        <v>147</v>
      </c>
      <c r="E22" s="14" t="s">
        <v>94</v>
      </c>
      <c r="F22" s="14" t="s">
        <v>95</v>
      </c>
      <c r="G22" s="15">
        <v>720</v>
      </c>
      <c r="H22" s="15">
        <v>720</v>
      </c>
      <c r="I22" s="15">
        <v>315</v>
      </c>
      <c r="J22" s="15">
        <v>315</v>
      </c>
      <c r="K22" s="15">
        <v>415</v>
      </c>
      <c r="L22" s="15">
        <v>600</v>
      </c>
      <c r="M22" s="38">
        <v>2270</v>
      </c>
      <c r="N22" s="18">
        <v>2840</v>
      </c>
      <c r="O22" s="43">
        <v>720</v>
      </c>
      <c r="P22" s="43">
        <v>315</v>
      </c>
      <c r="Q22" s="43" t="str">
        <f>IF(OR(Прайс[[#This Row],[Тип]]="Нижний",Прайс[[#This Row],[Тип]]="Пенал"),"560",IF(Прайс[[#This Row],[Тип]]="Верхний",315,0))</f>
        <v>560</v>
      </c>
      <c r="R22" s="20">
        <v>1.08</v>
      </c>
      <c r="S22" s="20">
        <v>1.0649999999999999</v>
      </c>
      <c r="T22" s="20">
        <v>1.3</v>
      </c>
      <c r="U22" s="16"/>
      <c r="V22" s="16"/>
      <c r="W22" s="16">
        <f>'[2]комплекты фурнитуры'!$C$56</f>
        <v>1300</v>
      </c>
      <c r="X22" s="16">
        <f>'[2]комплекты фурнитуры'!$C$58</f>
        <v>480</v>
      </c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7">
        <f>Прайс[[#This Row],[КФ петли вклад. 95 гр. с крестообр. планкой]]*2</f>
        <v>2600</v>
      </c>
      <c r="AY22" s="17">
        <f>Прайс[[#This Row],[KFP-SB-PY94]]*2</f>
        <v>960</v>
      </c>
      <c r="AZ22" s="18">
        <v>0</v>
      </c>
      <c r="BA22" s="19">
        <v>1</v>
      </c>
      <c r="BB22" s="19">
        <v>1</v>
      </c>
      <c r="BC22" s="19" t="s">
        <v>94</v>
      </c>
      <c r="BD22" s="18" t="s">
        <v>96</v>
      </c>
      <c r="BE22" s="19">
        <v>1</v>
      </c>
      <c r="BF22" s="19" t="s">
        <v>94</v>
      </c>
      <c r="BG22" s="19"/>
      <c r="BH22" s="19"/>
      <c r="BI22" s="19">
        <v>1</v>
      </c>
      <c r="BJ22" s="19">
        <v>0</v>
      </c>
      <c r="BK22" s="19">
        <v>0</v>
      </c>
      <c r="BL22" s="19"/>
      <c r="BM22" s="19"/>
      <c r="BN22" s="19"/>
      <c r="BO22" s="19"/>
      <c r="BP22" s="19" t="s">
        <v>94</v>
      </c>
      <c r="BQ22" s="19">
        <f>IF(Прайс[[#This Row],[Наличие подсветки на нижнем горизонте]]="Нет",0,'[2]комплекты фурнитуры'!$C$91)</f>
        <v>0</v>
      </c>
    </row>
    <row r="23" spans="1:76" ht="15" customHeight="1" x14ac:dyDescent="0.25">
      <c r="A23" s="25" t="s">
        <v>150</v>
      </c>
      <c r="B23" s="14" t="s">
        <v>91</v>
      </c>
      <c r="C23" s="14" t="s">
        <v>151</v>
      </c>
      <c r="D23" s="14" t="s">
        <v>99</v>
      </c>
      <c r="E23" s="14" t="s">
        <v>110</v>
      </c>
      <c r="F23" s="14" t="s">
        <v>95</v>
      </c>
      <c r="G23" s="15">
        <v>720</v>
      </c>
      <c r="H23" s="15">
        <v>720</v>
      </c>
      <c r="I23" s="15">
        <v>150</v>
      </c>
      <c r="J23" s="15">
        <v>600</v>
      </c>
      <c r="K23" s="15">
        <v>300</v>
      </c>
      <c r="L23" s="15">
        <v>640</v>
      </c>
      <c r="M23" s="38">
        <v>2538</v>
      </c>
      <c r="N23" s="18">
        <v>3482</v>
      </c>
      <c r="O23" s="43">
        <v>720</v>
      </c>
      <c r="P23" s="44">
        <v>300</v>
      </c>
      <c r="Q23" s="43" t="str">
        <f>IF(OR(Прайс[[#This Row],[Тип]]="Нижний",Прайс[[#This Row],[Тип]]="Пенал"),"560",IF(Прайс[[#This Row],[Тип]]="Верхний",315,0))</f>
        <v>560</v>
      </c>
      <c r="R23" s="20">
        <v>1.08</v>
      </c>
      <c r="S23" s="20">
        <v>1.0649999999999999</v>
      </c>
      <c r="T23" s="20">
        <v>1.3</v>
      </c>
      <c r="U23" s="16">
        <f>'[2]комплекты фурнитуры'!$C$62</f>
        <v>620</v>
      </c>
      <c r="V23" s="16">
        <f>'[2]комплекты фурнитуры'!$C$63</f>
        <v>130</v>
      </c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>
        <f>'[2]комплекты фурнитуры'!$C$80</f>
        <v>390</v>
      </c>
      <c r="AW23" s="16"/>
      <c r="AX23" s="17">
        <f>Прайс[[#This Row],[КФ петли SENS накл.110 гр. с крестообр. Планкой]]*2+Прайс[[#This Row],[КФ  крепления профиля Gola]]</f>
        <v>1630</v>
      </c>
      <c r="AY23" s="18">
        <f>Прайс[[#This Row],[КФ  крепления профиля Gola]]+Прайс[[#This Row],[KFP-SB-N110]]*2</f>
        <v>650</v>
      </c>
      <c r="AZ23" s="18">
        <f>Прайс[[#This Row],[КФ  крепления профиля Gola]]+Прайс[[#This Row],[KFP-SB-N110]]*2</f>
        <v>650</v>
      </c>
      <c r="BA23" s="19">
        <v>0</v>
      </c>
      <c r="BB23" s="19">
        <v>2</v>
      </c>
      <c r="BC23" s="19" t="s">
        <v>94</v>
      </c>
      <c r="BD23" s="18" t="s">
        <v>137</v>
      </c>
      <c r="BE23" s="19">
        <v>1</v>
      </c>
      <c r="BF23" s="19" t="s">
        <v>94</v>
      </c>
      <c r="BG23" s="19"/>
      <c r="BH23" s="19"/>
      <c r="BI23" s="19">
        <v>1</v>
      </c>
      <c r="BJ23" s="19">
        <v>0</v>
      </c>
      <c r="BK23" s="19">
        <v>0</v>
      </c>
      <c r="BL23" s="19"/>
      <c r="BM23" s="19"/>
      <c r="BN23" s="19"/>
      <c r="BO23" s="19"/>
      <c r="BP23" s="19" t="s">
        <v>94</v>
      </c>
      <c r="BQ23" s="19">
        <f>IF(Прайс[[#This Row],[Наличие подсветки на нижнем горизонте]]="Нет",0,'[2]комплекты фурнитуры'!$C$91)</f>
        <v>0</v>
      </c>
      <c r="BR23"/>
      <c r="BS23"/>
      <c r="BT23"/>
      <c r="BU23"/>
      <c r="BV23"/>
      <c r="BW23"/>
      <c r="BX23"/>
    </row>
    <row r="24" spans="1:76" ht="15" customHeight="1" x14ac:dyDescent="0.25">
      <c r="A24" s="25" t="s">
        <v>152</v>
      </c>
      <c r="B24" s="14" t="s">
        <v>91</v>
      </c>
      <c r="C24" s="14" t="s">
        <v>153</v>
      </c>
      <c r="D24" s="14" t="s">
        <v>99</v>
      </c>
      <c r="E24" s="14" t="s">
        <v>110</v>
      </c>
      <c r="F24" s="14" t="s">
        <v>95</v>
      </c>
      <c r="G24" s="15">
        <v>720</v>
      </c>
      <c r="H24" s="15">
        <v>720</v>
      </c>
      <c r="I24" s="15">
        <v>600</v>
      </c>
      <c r="J24" s="15">
        <v>900</v>
      </c>
      <c r="K24" s="15">
        <v>300</v>
      </c>
      <c r="L24" s="15">
        <v>640</v>
      </c>
      <c r="M24" s="38">
        <v>2538</v>
      </c>
      <c r="N24" s="18">
        <v>3132</v>
      </c>
      <c r="O24" s="43">
        <v>720</v>
      </c>
      <c r="P24" s="44">
        <v>300</v>
      </c>
      <c r="Q24" s="43" t="str">
        <f>IF(OR(Прайс[[#This Row],[Тип]]="Нижний",Прайс[[#This Row],[Тип]]="Пенал"),"560",IF(Прайс[[#This Row],[Тип]]="Верхний",315,0))</f>
        <v>560</v>
      </c>
      <c r="R24" s="20">
        <v>1.08</v>
      </c>
      <c r="S24" s="20">
        <v>1.0649999999999999</v>
      </c>
      <c r="T24" s="20">
        <v>1.3</v>
      </c>
      <c r="U24" s="16">
        <f>'[2]комплекты фурнитуры'!$C$62</f>
        <v>620</v>
      </c>
      <c r="V24" s="16">
        <f>'[2]комплекты фурнитуры'!$C$63</f>
        <v>130</v>
      </c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>
        <f>'[2]комплекты фурнитуры'!$C$80</f>
        <v>390</v>
      </c>
      <c r="AW24" s="16"/>
      <c r="AX24" s="17">
        <f>Прайс[[#This Row],[КФ петли SENS накл.110 гр. с крестообр. Планкой]]*4+Прайс[[#This Row],[КФ  крепления профиля Gola]]</f>
        <v>2870</v>
      </c>
      <c r="AY24" s="18">
        <f>Прайс[[#This Row],[КФ  крепления профиля Gola]]+Прайс[[#This Row],[KFP-SB-N110]]*2</f>
        <v>650</v>
      </c>
      <c r="AZ24" s="18">
        <f>Прайс[[#This Row],[КФ  крепления профиля Gola]]+Прайс[[#This Row],[KFP-SB-N110]]*2</f>
        <v>650</v>
      </c>
      <c r="BA24" s="19">
        <v>0</v>
      </c>
      <c r="BB24" s="19">
        <v>2</v>
      </c>
      <c r="BC24" s="19" t="s">
        <v>94</v>
      </c>
      <c r="BD24" s="18" t="s">
        <v>137</v>
      </c>
      <c r="BE24" s="19">
        <v>1</v>
      </c>
      <c r="BF24" s="19" t="s">
        <v>94</v>
      </c>
      <c r="BG24" s="19"/>
      <c r="BH24" s="19"/>
      <c r="BI24" s="19">
        <v>2</v>
      </c>
      <c r="BJ24" s="19">
        <v>0</v>
      </c>
      <c r="BK24" s="19">
        <v>0</v>
      </c>
      <c r="BL24" s="19"/>
      <c r="BM24" s="19"/>
      <c r="BN24" s="19"/>
      <c r="BO24" s="19"/>
      <c r="BP24" s="19" t="s">
        <v>94</v>
      </c>
      <c r="BQ24" s="19">
        <f>IF(Прайс[[#This Row],[Наличие подсветки на нижнем горизонте]]="Нет",0,'[2]комплекты фурнитуры'!$C$91)</f>
        <v>0</v>
      </c>
      <c r="BR24"/>
      <c r="BS24"/>
      <c r="BT24"/>
      <c r="BU24"/>
      <c r="BV24"/>
      <c r="BW24"/>
      <c r="BX24"/>
    </row>
    <row r="25" spans="1:76" ht="15" customHeight="1" x14ac:dyDescent="0.25">
      <c r="A25" s="25" t="s">
        <v>154</v>
      </c>
      <c r="B25" s="14" t="s">
        <v>91</v>
      </c>
      <c r="C25" s="14" t="s">
        <v>155</v>
      </c>
      <c r="D25" s="14" t="s">
        <v>99</v>
      </c>
      <c r="E25" s="14" t="s">
        <v>110</v>
      </c>
      <c r="F25" s="14" t="s">
        <v>124</v>
      </c>
      <c r="G25" s="15">
        <v>720</v>
      </c>
      <c r="H25" s="15">
        <v>720</v>
      </c>
      <c r="I25" s="15">
        <v>300</v>
      </c>
      <c r="J25" s="15">
        <v>900</v>
      </c>
      <c r="K25" s="15">
        <v>525</v>
      </c>
      <c r="L25" s="15">
        <v>560</v>
      </c>
      <c r="M25" s="38">
        <v>3196.8</v>
      </c>
      <c r="N25" s="18">
        <v>4770.3999999999996</v>
      </c>
      <c r="O25" s="43">
        <v>720</v>
      </c>
      <c r="P25" s="44">
        <v>300</v>
      </c>
      <c r="Q25" s="43" t="str">
        <f>IF(OR(Прайс[[#This Row],[Тип]]="Нижний",Прайс[[#This Row],[Тип]]="Пенал"),"560",IF(Прайс[[#This Row],[Тип]]="Верхний",315,0))</f>
        <v>560</v>
      </c>
      <c r="R25" s="20">
        <v>1.08</v>
      </c>
      <c r="S25" s="20">
        <v>1.0649999999999999</v>
      </c>
      <c r="T25" s="20">
        <v>0</v>
      </c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>
        <f>'[2]комплекты фурнитуры'!$C$26</f>
        <v>6660</v>
      </c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>
        <f>'[2]комплекты фурнитуры'!$C$80</f>
        <v>390</v>
      </c>
      <c r="AW25" s="16"/>
      <c r="AX25" s="17">
        <f>Прайс[[#This Row],[Комплект для ящика Hettich ATIRA Серый с реллингом, NL-470, H-176]]*2+Прайс[[#This Row],[КФ  крепления профиля Gola]]*2</f>
        <v>14100</v>
      </c>
      <c r="AY25" s="17">
        <f>Прайс[[#This Row],[Комплект для ящика Hettich ATIRA Серый с реллингом, NL-470, H-176]]*2+Прайс[[#This Row],[КФ  крепления профиля Gola]]*2</f>
        <v>14100</v>
      </c>
      <c r="AZ25" s="17">
        <f>Прайс[[#This Row],[Комплект для ящика Hettich ATIRA Серый с реллингом, NL-470, H-176]]*2+Прайс[[#This Row],[КФ  крепления профиля Gola]]*2</f>
        <v>14100</v>
      </c>
      <c r="BA25" s="19">
        <v>0</v>
      </c>
      <c r="BB25" s="19">
        <v>0</v>
      </c>
      <c r="BC25" s="19" t="s">
        <v>94</v>
      </c>
      <c r="BD25" s="18" t="s">
        <v>137</v>
      </c>
      <c r="BE25" s="19">
        <v>0</v>
      </c>
      <c r="BF25" s="19" t="s">
        <v>94</v>
      </c>
      <c r="BG25" s="19"/>
      <c r="BH25" s="19"/>
      <c r="BI25" s="19">
        <v>2</v>
      </c>
      <c r="BJ25" s="19">
        <v>0</v>
      </c>
      <c r="BK25" s="19">
        <v>0</v>
      </c>
      <c r="BL25" s="19"/>
      <c r="BM25" s="19"/>
      <c r="BN25" s="19"/>
      <c r="BO25" s="19"/>
      <c r="BP25" s="19" t="s">
        <v>94</v>
      </c>
      <c r="BQ25" s="19">
        <f>IF(Прайс[[#This Row],[Наличие подсветки на нижнем горизонте]]="Нет",0,'[2]комплекты фурнитуры'!$C$91)</f>
        <v>0</v>
      </c>
      <c r="BR25"/>
      <c r="BS25"/>
      <c r="BT25"/>
      <c r="BU25"/>
      <c r="BV25"/>
      <c r="BW25"/>
      <c r="BX25"/>
    </row>
    <row r="26" spans="1:76" ht="15" customHeight="1" x14ac:dyDescent="0.25">
      <c r="A26" s="25" t="s">
        <v>156</v>
      </c>
      <c r="B26" s="14" t="s">
        <v>91</v>
      </c>
      <c r="C26" s="14" t="s">
        <v>157</v>
      </c>
      <c r="D26" s="14" t="s">
        <v>99</v>
      </c>
      <c r="E26" s="14" t="s">
        <v>110</v>
      </c>
      <c r="F26" s="14" t="s">
        <v>124</v>
      </c>
      <c r="G26" s="15">
        <v>720</v>
      </c>
      <c r="H26" s="15">
        <v>720</v>
      </c>
      <c r="I26" s="15">
        <v>300</v>
      </c>
      <c r="J26" s="15">
        <v>900</v>
      </c>
      <c r="K26" s="15">
        <v>525</v>
      </c>
      <c r="L26" s="15">
        <v>560</v>
      </c>
      <c r="M26" s="38">
        <v>3304.8</v>
      </c>
      <c r="N26" s="18">
        <v>4071.6</v>
      </c>
      <c r="O26" s="43">
        <v>720</v>
      </c>
      <c r="P26" s="44">
        <v>300</v>
      </c>
      <c r="Q26" s="43" t="str">
        <f>IF(OR(Прайс[[#This Row],[Тип]]="Нижний",Прайс[[#This Row],[Тип]]="Пенал"),"560",IF(Прайс[[#This Row],[Тип]]="Верхний",315,0))</f>
        <v>560</v>
      </c>
      <c r="R26" s="20">
        <v>1.08</v>
      </c>
      <c r="S26" s="20">
        <v>1.0649999999999999</v>
      </c>
      <c r="T26" s="20">
        <v>0</v>
      </c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>
        <f>'[2]комплекты фурнитуры'!$C$25</f>
        <v>5100</v>
      </c>
      <c r="AK26" s="16">
        <f>'[2]комплекты фурнитуры'!$C$26</f>
        <v>6660</v>
      </c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>
        <f>'[2]комплекты фурнитуры'!$C$80</f>
        <v>390</v>
      </c>
      <c r="AW26" s="16"/>
      <c r="AX26" s="17">
        <f>Прайс[[#This Row],[Комплект для ящика Hettich ATIRA Серый, NL-470, H-70]]*2+Прайс[[#This Row],[Комплект для ящика Hettich ATIRA Серый с реллингом, NL-470, H-176]]+Прайс[[#This Row],[КФ  крепления профиля Gola]]*2</f>
        <v>17640</v>
      </c>
      <c r="AY26" s="17">
        <f>Прайс[[#This Row],[Комплект для ящика Hettich ATIRA Серый, NL-470, H-70]]*2+Прайс[[#This Row],[Комплект для ящика Hettich ATIRA Серый с реллингом, NL-470, H-176]]+Прайс[[#This Row],[КФ  крепления профиля Gola]]*2</f>
        <v>17640</v>
      </c>
      <c r="AZ26" s="17">
        <f>Прайс[[#This Row],[Комплект для ящика Hettich ATIRA Серый, NL-470, H-70]]*2+Прайс[[#This Row],[Комплект для ящика Hettich ATIRA Серый с реллингом, NL-470, H-176]]+Прайс[[#This Row],[КФ  крепления профиля Gola]]*2</f>
        <v>17640</v>
      </c>
      <c r="BA26" s="19">
        <v>0</v>
      </c>
      <c r="BB26" s="19">
        <v>0</v>
      </c>
      <c r="BC26" s="19" t="s">
        <v>94</v>
      </c>
      <c r="BD26" s="18" t="s">
        <v>137</v>
      </c>
      <c r="BE26" s="19">
        <v>0</v>
      </c>
      <c r="BF26" s="19" t="s">
        <v>94</v>
      </c>
      <c r="BG26" s="19"/>
      <c r="BH26" s="19"/>
      <c r="BI26" s="19">
        <v>3</v>
      </c>
      <c r="BJ26" s="19">
        <v>0</v>
      </c>
      <c r="BK26" s="19">
        <v>0</v>
      </c>
      <c r="BL26" s="19"/>
      <c r="BM26" s="19"/>
      <c r="BN26" s="19"/>
      <c r="BO26" s="19"/>
      <c r="BP26" s="19" t="s">
        <v>94</v>
      </c>
      <c r="BQ26" s="19">
        <f>IF(Прайс[[#This Row],[Наличие подсветки на нижнем горизонте]]="Нет",0,'[2]комплекты фурнитуры'!$C$91)</f>
        <v>0</v>
      </c>
      <c r="BR26"/>
      <c r="BS26"/>
      <c r="BT26"/>
      <c r="BU26"/>
      <c r="BV26"/>
      <c r="BW26"/>
      <c r="BX26"/>
    </row>
    <row r="27" spans="1:76" ht="15" customHeight="1" x14ac:dyDescent="0.25">
      <c r="A27" s="25" t="s">
        <v>158</v>
      </c>
      <c r="B27" s="14" t="s">
        <v>91</v>
      </c>
      <c r="C27" s="14" t="s">
        <v>159</v>
      </c>
      <c r="D27" s="14" t="s">
        <v>99</v>
      </c>
      <c r="E27" s="14" t="s">
        <v>110</v>
      </c>
      <c r="F27" s="14" t="s">
        <v>104</v>
      </c>
      <c r="G27" s="15">
        <v>720</v>
      </c>
      <c r="H27" s="15">
        <v>880</v>
      </c>
      <c r="I27" s="15">
        <v>150</v>
      </c>
      <c r="J27" s="15">
        <v>150</v>
      </c>
      <c r="K27" s="15">
        <v>515</v>
      </c>
      <c r="L27" s="15">
        <v>640</v>
      </c>
      <c r="M27" s="38">
        <v>2538</v>
      </c>
      <c r="N27" s="18">
        <v>3132</v>
      </c>
      <c r="O27" s="43">
        <v>720</v>
      </c>
      <c r="P27" s="44">
        <v>300</v>
      </c>
      <c r="Q27" s="43" t="str">
        <f>IF(OR(Прайс[[#This Row],[Тип]]="Нижний",Прайс[[#This Row],[Тип]]="Пенал"),"560",IF(Прайс[[#This Row],[Тип]]="Верхний",315,0))</f>
        <v>560</v>
      </c>
      <c r="R27" s="20">
        <v>1.08</v>
      </c>
      <c r="S27" s="20">
        <v>1.0649999999999999</v>
      </c>
      <c r="T27" s="20">
        <v>1.3</v>
      </c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>
        <f>'[2]комплекты фурнитуры'!$C$46</f>
        <v>11560</v>
      </c>
      <c r="AT27" s="16"/>
      <c r="AU27" s="16"/>
      <c r="AV27" s="16">
        <f>'[2]комплекты фурнитуры'!$C$80</f>
        <v>390</v>
      </c>
      <c r="AW27" s="16"/>
      <c r="AX27" s="17">
        <f>Прайс[[#This Row],[KFS-SB-BYT]]+Прайс[[#This Row],[КФ евровинт]]*2+Прайс[[#This Row],[КФ  крепления профиля Gola]]</f>
        <v>11950</v>
      </c>
      <c r="AY27" s="17">
        <f>Прайс[[#This Row],[KFS-SB-BYT]]+Прайс[[#This Row],[КФ евровинт]]*2+Прайс[[#This Row],[КФ  крепления профиля Gola]]</f>
        <v>11950</v>
      </c>
      <c r="AZ27" s="17">
        <f>Прайс[[#This Row],[KFS-SB-BYT]]+Прайс[[#This Row],[КФ евровинт]]*2+Прайс[[#This Row],[КФ  крепления профиля Gola]]</f>
        <v>11950</v>
      </c>
      <c r="BA27" s="19">
        <v>0</v>
      </c>
      <c r="BB27" s="19">
        <v>0</v>
      </c>
      <c r="BC27" s="19" t="s">
        <v>94</v>
      </c>
      <c r="BD27" s="18" t="s">
        <v>137</v>
      </c>
      <c r="BE27" s="19">
        <v>0</v>
      </c>
      <c r="BF27" s="19" t="s">
        <v>94</v>
      </c>
      <c r="BG27" s="19"/>
      <c r="BH27" s="19"/>
      <c r="BI27" s="19">
        <v>1</v>
      </c>
      <c r="BJ27" s="19">
        <v>0</v>
      </c>
      <c r="BK27" s="19">
        <v>0</v>
      </c>
      <c r="BL27" s="19"/>
      <c r="BM27" s="19"/>
      <c r="BN27" s="19"/>
      <c r="BO27" s="19"/>
      <c r="BP27" s="19" t="s">
        <v>94</v>
      </c>
      <c r="BQ27" s="19">
        <f>IF(Прайс[[#This Row],[Наличие подсветки на нижнем горизонте]]="Нет",0,'[2]комплекты фурнитуры'!$C$91)</f>
        <v>0</v>
      </c>
      <c r="BR27"/>
      <c r="BS27"/>
      <c r="BT27"/>
      <c r="BU27"/>
      <c r="BV27"/>
      <c r="BW27"/>
      <c r="BX27"/>
    </row>
    <row r="28" spans="1:76" ht="15" customHeight="1" x14ac:dyDescent="0.25">
      <c r="A28" s="21" t="s">
        <v>160</v>
      </c>
      <c r="B28" s="14" t="s">
        <v>91</v>
      </c>
      <c r="C28" s="14" t="s">
        <v>161</v>
      </c>
      <c r="D28" s="14" t="s">
        <v>99</v>
      </c>
      <c r="E28" s="14" t="s">
        <v>110</v>
      </c>
      <c r="F28" s="14" t="s">
        <v>104</v>
      </c>
      <c r="G28" s="15">
        <v>720</v>
      </c>
      <c r="H28" s="15">
        <v>880</v>
      </c>
      <c r="I28" s="15">
        <v>450</v>
      </c>
      <c r="J28" s="15">
        <v>450</v>
      </c>
      <c r="K28" s="15">
        <v>515</v>
      </c>
      <c r="L28" s="15">
        <v>640</v>
      </c>
      <c r="M28" s="38">
        <v>2538</v>
      </c>
      <c r="N28" s="18">
        <v>3132</v>
      </c>
      <c r="O28" s="43">
        <v>720</v>
      </c>
      <c r="P28" s="44">
        <v>300</v>
      </c>
      <c r="Q28" s="43" t="str">
        <f>IF(OR(Прайс[[#This Row],[Тип]]="Нижний",Прайс[[#This Row],[Тип]]="Пенал"),"560",IF(Прайс[[#This Row],[Тип]]="Верхний",315,0))</f>
        <v>560</v>
      </c>
      <c r="R28" s="20">
        <v>1.08</v>
      </c>
      <c r="S28" s="20">
        <v>1.0649999999999999</v>
      </c>
      <c r="T28" s="20">
        <v>1.3</v>
      </c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>
        <f>'[2]комплекты фурнитуры'!$C$48</f>
        <v>10520</v>
      </c>
      <c r="AU28" s="16">
        <f>'[2]комплекты фурнитуры'!$C$84</f>
        <v>10</v>
      </c>
      <c r="AV28" s="16">
        <f>'[2]комплекты фурнитуры'!$C$80</f>
        <v>390</v>
      </c>
      <c r="AW28" s="16"/>
      <c r="AX28" s="17">
        <f>Прайс[[#This Row],[Корзина с держателем для бутылок 414*500*520 мм]]+Прайс[[#This Row],[КФ евровинт]]*2+Прайс[[#This Row],[КФ  крепления профиля Gola]]</f>
        <v>10930</v>
      </c>
      <c r="AY28" s="17">
        <f>Прайс[[#This Row],[Корзина с держателем для бутылок 414*500*520 мм]]+Прайс[[#This Row],[КФ евровинт]]*2+Прайс[[#This Row],[КФ  крепления профиля Gola]]</f>
        <v>10930</v>
      </c>
      <c r="AZ28" s="17">
        <f>Прайс[[#This Row],[Корзина с держателем для бутылок 414*500*520 мм]]+Прайс[[#This Row],[КФ евровинт]]*2+Прайс[[#This Row],[КФ  крепления профиля Gola]]</f>
        <v>10930</v>
      </c>
      <c r="BA28" s="19">
        <v>0</v>
      </c>
      <c r="BB28" s="19">
        <v>0</v>
      </c>
      <c r="BC28" s="19" t="s">
        <v>94</v>
      </c>
      <c r="BD28" s="18" t="s">
        <v>137</v>
      </c>
      <c r="BE28" s="19">
        <v>0</v>
      </c>
      <c r="BF28" s="19" t="s">
        <v>94</v>
      </c>
      <c r="BG28" s="19"/>
      <c r="BH28" s="19"/>
      <c r="BI28" s="19">
        <v>1</v>
      </c>
      <c r="BJ28" s="19">
        <v>0</v>
      </c>
      <c r="BK28" s="19">
        <v>0</v>
      </c>
      <c r="BL28" s="19"/>
      <c r="BM28" s="19"/>
      <c r="BN28" s="19"/>
      <c r="BO28" s="19"/>
      <c r="BP28" s="19" t="s">
        <v>94</v>
      </c>
      <c r="BQ28" s="19">
        <f>IF(Прайс[[#This Row],[Наличие подсветки на нижнем горизонте]]="Нет",0,'[2]комплекты фурнитуры'!$C$91)</f>
        <v>0</v>
      </c>
      <c r="BR28"/>
      <c r="BS28"/>
      <c r="BT28"/>
      <c r="BU28"/>
      <c r="BV28"/>
      <c r="BW28"/>
      <c r="BX28"/>
    </row>
    <row r="29" spans="1:76" ht="15" customHeight="1" x14ac:dyDescent="0.25">
      <c r="A29" s="26" t="s">
        <v>162</v>
      </c>
      <c r="B29" s="14" t="s">
        <v>91</v>
      </c>
      <c r="C29" s="14" t="s">
        <v>163</v>
      </c>
      <c r="D29" s="14" t="s">
        <v>99</v>
      </c>
      <c r="E29" s="14" t="s">
        <v>110</v>
      </c>
      <c r="F29" s="14" t="s">
        <v>109</v>
      </c>
      <c r="G29" s="15">
        <v>720</v>
      </c>
      <c r="H29" s="15">
        <v>720</v>
      </c>
      <c r="I29" s="15">
        <v>300</v>
      </c>
      <c r="J29" s="15">
        <v>600</v>
      </c>
      <c r="K29" s="15">
        <v>300</v>
      </c>
      <c r="L29" s="15">
        <v>640</v>
      </c>
      <c r="M29" s="38">
        <v>2538</v>
      </c>
      <c r="N29" s="18">
        <v>3132</v>
      </c>
      <c r="O29" s="43">
        <v>720</v>
      </c>
      <c r="P29" s="44">
        <v>300</v>
      </c>
      <c r="Q29" s="43" t="str">
        <f>IF(OR(Прайс[[#This Row],[Тип]]="Нижний",Прайс[[#This Row],[Тип]]="Пенал"),"560",IF(Прайс[[#This Row],[Тип]]="Верхний",315,0))</f>
        <v>560</v>
      </c>
      <c r="R29" s="20">
        <v>1.08</v>
      </c>
      <c r="S29" s="20">
        <v>1.0649999999999999</v>
      </c>
      <c r="T29" s="20">
        <v>1.3</v>
      </c>
      <c r="U29" s="16">
        <f>'[2]комплекты фурнитуры'!$C$62</f>
        <v>620</v>
      </c>
      <c r="V29" s="16">
        <f>'[2]комплекты фурнитуры'!$C$63</f>
        <v>130</v>
      </c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>
        <f>'[2]комплекты фурнитуры'!$C$80</f>
        <v>390</v>
      </c>
      <c r="AW29" s="16"/>
      <c r="AX29" s="17">
        <f>Прайс[[#This Row],[КФ петли SENS накл.110 гр. с крестообр. Планкой]]*2+Прайс[[#This Row],[КФ  крепления профиля Gola]]</f>
        <v>1630</v>
      </c>
      <c r="AY29" s="17">
        <f>Прайс[[#This Row],[КФ петли SENS накл.110 гр. с крестообр. Планкой]]*2+Прайс[[#This Row],[КФ  крепления профиля Gola]]</f>
        <v>1630</v>
      </c>
      <c r="AZ29" s="17">
        <f>Прайс[[#This Row],[КФ петли SENS накл.110 гр. с крестообр. Планкой]]*2+Прайс[[#This Row],[КФ  крепления профиля Gola]]</f>
        <v>1630</v>
      </c>
      <c r="BA29" s="19">
        <v>0</v>
      </c>
      <c r="BB29" s="19">
        <v>0</v>
      </c>
      <c r="BC29" s="19" t="s">
        <v>94</v>
      </c>
      <c r="BD29" s="18" t="s">
        <v>137</v>
      </c>
      <c r="BE29" s="19">
        <v>0</v>
      </c>
      <c r="BF29" s="19" t="s">
        <v>94</v>
      </c>
      <c r="BG29" s="19"/>
      <c r="BH29" s="19"/>
      <c r="BI29" s="19">
        <v>1</v>
      </c>
      <c r="BJ29" s="19">
        <v>0</v>
      </c>
      <c r="BK29" s="19">
        <v>0</v>
      </c>
      <c r="BL29" s="19"/>
      <c r="BM29" s="19"/>
      <c r="BN29" s="19"/>
      <c r="BO29" s="19"/>
      <c r="BP29" s="19" t="s">
        <v>94</v>
      </c>
      <c r="BQ29" s="19">
        <f>IF(Прайс[[#This Row],[Наличие подсветки на нижнем горизонте]]="Нет",0,'[2]комплекты фурнитуры'!$C$91)</f>
        <v>0</v>
      </c>
      <c r="BR29"/>
      <c r="BS29"/>
      <c r="BT29"/>
      <c r="BU29"/>
      <c r="BV29"/>
      <c r="BW29"/>
      <c r="BX29"/>
    </row>
    <row r="30" spans="1:76" ht="15" customHeight="1" x14ac:dyDescent="0.25">
      <c r="A30" s="26" t="s">
        <v>164</v>
      </c>
      <c r="B30" s="14" t="s">
        <v>91</v>
      </c>
      <c r="C30" s="14" t="s">
        <v>165</v>
      </c>
      <c r="D30" s="14" t="s">
        <v>99</v>
      </c>
      <c r="E30" s="14" t="s">
        <v>110</v>
      </c>
      <c r="F30" s="14" t="s">
        <v>109</v>
      </c>
      <c r="G30" s="15">
        <v>720</v>
      </c>
      <c r="H30" s="15">
        <v>720</v>
      </c>
      <c r="I30" s="15">
        <v>600</v>
      </c>
      <c r="J30" s="15">
        <v>900</v>
      </c>
      <c r="K30" s="15">
        <v>300</v>
      </c>
      <c r="L30" s="15">
        <v>640</v>
      </c>
      <c r="M30" s="38">
        <v>2538</v>
      </c>
      <c r="N30" s="18">
        <v>3132</v>
      </c>
      <c r="O30" s="43">
        <v>720</v>
      </c>
      <c r="P30" s="44">
        <v>300</v>
      </c>
      <c r="Q30" s="43" t="str">
        <f>IF(OR(Прайс[[#This Row],[Тип]]="Нижний",Прайс[[#This Row],[Тип]]="Пенал"),"560",IF(Прайс[[#This Row],[Тип]]="Верхний",315,0))</f>
        <v>560</v>
      </c>
      <c r="R30" s="20">
        <v>1.08</v>
      </c>
      <c r="S30" s="20">
        <v>1.0649999999999999</v>
      </c>
      <c r="T30" s="20">
        <v>1.3</v>
      </c>
      <c r="U30" s="16">
        <f>'[2]комплекты фурнитуры'!$C$62</f>
        <v>620</v>
      </c>
      <c r="V30" s="16">
        <f>'[2]комплекты фурнитуры'!$C$63</f>
        <v>130</v>
      </c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>
        <f>'[2]комплекты фурнитуры'!$C$80</f>
        <v>390</v>
      </c>
      <c r="AW30" s="16"/>
      <c r="AX30" s="17">
        <f>Прайс[[#This Row],[КФ петли SENS накл.110 гр. с крестообр. Планкой]]*4+Прайс[[#This Row],[КФ  крепления профиля Gola]]</f>
        <v>2870</v>
      </c>
      <c r="AY30" s="17">
        <f>Прайс[[#This Row],[КФ петли SENS накл.110 гр. с крестообр. Планкой]]*4+Прайс[[#This Row],[КФ  крепления профиля Gola]]</f>
        <v>2870</v>
      </c>
      <c r="AZ30" s="17">
        <f>Прайс[[#This Row],[КФ петли SENS накл.110 гр. с крестообр. Планкой]]*4+Прайс[[#This Row],[КФ  крепления профиля Gola]]</f>
        <v>2870</v>
      </c>
      <c r="BA30" s="19">
        <v>0</v>
      </c>
      <c r="BB30" s="19">
        <v>0</v>
      </c>
      <c r="BC30" s="19" t="s">
        <v>94</v>
      </c>
      <c r="BD30" s="18" t="s">
        <v>137</v>
      </c>
      <c r="BE30" s="19">
        <v>0</v>
      </c>
      <c r="BF30" s="19" t="s">
        <v>94</v>
      </c>
      <c r="BG30" s="19"/>
      <c r="BH30" s="19"/>
      <c r="BI30" s="19">
        <v>2</v>
      </c>
      <c r="BJ30" s="19">
        <v>0</v>
      </c>
      <c r="BK30" s="19">
        <v>0</v>
      </c>
      <c r="BL30" s="19"/>
      <c r="BM30" s="19"/>
      <c r="BN30" s="19"/>
      <c r="BO30" s="19"/>
      <c r="BP30" s="19" t="s">
        <v>94</v>
      </c>
      <c r="BQ30" s="19">
        <f>IF(Прайс[[#This Row],[Наличие подсветки на нижнем горизонте]]="Нет",0,'[2]комплекты фурнитуры'!$C$91)</f>
        <v>0</v>
      </c>
      <c r="BR30"/>
      <c r="BS30"/>
      <c r="BT30"/>
      <c r="BU30"/>
      <c r="BV30"/>
      <c r="BW30"/>
      <c r="BX30"/>
    </row>
    <row r="31" spans="1:76" ht="15" customHeight="1" x14ac:dyDescent="0.25">
      <c r="A31" s="26" t="s">
        <v>166</v>
      </c>
      <c r="B31" s="14" t="s">
        <v>91</v>
      </c>
      <c r="C31" s="14" t="s">
        <v>167</v>
      </c>
      <c r="D31" s="14" t="s">
        <v>115</v>
      </c>
      <c r="E31" s="14" t="s">
        <v>110</v>
      </c>
      <c r="F31" s="14" t="s">
        <v>95</v>
      </c>
      <c r="G31" s="15">
        <v>720</v>
      </c>
      <c r="H31" s="15">
        <v>720</v>
      </c>
      <c r="I31" s="15">
        <v>710</v>
      </c>
      <c r="J31" s="15">
        <v>950</v>
      </c>
      <c r="K31" s="15">
        <v>360</v>
      </c>
      <c r="L31" s="15">
        <v>560</v>
      </c>
      <c r="M31" s="38">
        <v>3456</v>
      </c>
      <c r="N31" s="18">
        <v>4352.3999999999996</v>
      </c>
      <c r="O31" s="43">
        <v>720</v>
      </c>
      <c r="P31" s="43">
        <v>300</v>
      </c>
      <c r="Q31" s="43">
        <v>315</v>
      </c>
      <c r="R31" s="20">
        <v>1.08</v>
      </c>
      <c r="S31" s="20">
        <v>1.0649999999999999</v>
      </c>
      <c r="T31" s="20">
        <v>1.3</v>
      </c>
      <c r="U31" s="16"/>
      <c r="V31" s="16"/>
      <c r="W31" s="16">
        <f>'[2]комплекты фурнитуры'!$C$56</f>
        <v>1300</v>
      </c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>
        <f>'[2]комплекты фурнитуры'!$C$80</f>
        <v>390</v>
      </c>
      <c r="AW31" s="16"/>
      <c r="AX31" s="17" t="e">
        <f>Прайс[[#This Row],[КФ  крепления профиля Gola]]+Прайс[[#This Row],[КФ петли вклад. 95 гр. с крестообр. планкой]]*2+#REF!</f>
        <v>#REF!</v>
      </c>
      <c r="AY31" s="17" t="e">
        <f>Прайс[[#This Row],[КФ  крепления профиля Gola]]+Прайс[[#This Row],[КФ петли вклад. 95 гр. с крестообр. планкой]]*2+#REF!</f>
        <v>#REF!</v>
      </c>
      <c r="AZ31" s="17" t="e">
        <f>Прайс[[#This Row],[КФ  крепления профиля Gola]]+Прайс[[#This Row],[КФ петли вклад. 95 гр. с крестообр. планкой]]*2+#REF!</f>
        <v>#REF!</v>
      </c>
      <c r="BA31" s="19">
        <v>0</v>
      </c>
      <c r="BB31" s="19">
        <v>2</v>
      </c>
      <c r="BC31" s="19" t="s">
        <v>94</v>
      </c>
      <c r="BD31" s="18" t="s">
        <v>137</v>
      </c>
      <c r="BE31" s="19">
        <v>1</v>
      </c>
      <c r="BF31" s="19" t="s">
        <v>94</v>
      </c>
      <c r="BG31" s="19"/>
      <c r="BH31" s="19"/>
      <c r="BI31" s="19">
        <v>1</v>
      </c>
      <c r="BJ31" s="19">
        <v>0</v>
      </c>
      <c r="BK31" s="19">
        <v>0</v>
      </c>
      <c r="BL31" s="19"/>
      <c r="BM31" s="19"/>
      <c r="BN31" s="19"/>
      <c r="BO31" s="19"/>
      <c r="BP31" s="19" t="s">
        <v>94</v>
      </c>
      <c r="BQ31" s="19">
        <f>IF(Прайс[[#This Row],[Наличие подсветки на нижнем горизонте]]="Нет",0,'[2]комплекты фурнитуры'!$C$91)</f>
        <v>0</v>
      </c>
      <c r="BR31"/>
      <c r="BS31"/>
      <c r="BT31"/>
      <c r="BU31"/>
      <c r="BV31"/>
      <c r="BW31"/>
      <c r="BX31"/>
    </row>
    <row r="32" spans="1:76" ht="15" customHeight="1" x14ac:dyDescent="0.25">
      <c r="A32" s="26" t="s">
        <v>168</v>
      </c>
      <c r="B32" s="14" t="s">
        <v>91</v>
      </c>
      <c r="C32" s="14" t="s">
        <v>169</v>
      </c>
      <c r="D32" s="14" t="s">
        <v>115</v>
      </c>
      <c r="E32" s="14" t="s">
        <v>110</v>
      </c>
      <c r="F32" s="14" t="s">
        <v>95</v>
      </c>
      <c r="G32" s="15">
        <v>720</v>
      </c>
      <c r="H32" s="15">
        <v>720</v>
      </c>
      <c r="I32" s="15">
        <v>810</v>
      </c>
      <c r="J32" s="15">
        <v>1050</v>
      </c>
      <c r="K32" s="15">
        <v>360</v>
      </c>
      <c r="L32" s="15">
        <v>560</v>
      </c>
      <c r="M32" s="38">
        <v>3456</v>
      </c>
      <c r="N32" s="18">
        <v>4352.3999999999996</v>
      </c>
      <c r="O32" s="43">
        <v>720</v>
      </c>
      <c r="P32" s="43">
        <v>300</v>
      </c>
      <c r="Q32" s="43">
        <v>315</v>
      </c>
      <c r="R32" s="20">
        <v>1.08</v>
      </c>
      <c r="S32" s="20">
        <v>1.0649999999999999</v>
      </c>
      <c r="T32" s="20">
        <v>1.3</v>
      </c>
      <c r="U32" s="16"/>
      <c r="V32" s="16"/>
      <c r="W32" s="16">
        <f>'[2]комплекты фурнитуры'!$C$56</f>
        <v>1300</v>
      </c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>
        <f>'[2]комплекты фурнитуры'!$C$80</f>
        <v>390</v>
      </c>
      <c r="AW32" s="16"/>
      <c r="AX32" s="17" t="e">
        <f>Прайс[[#This Row],[КФ  крепления профиля Gola]]+Прайс[[#This Row],[КФ петли вклад. 95 гр. с крестообр. планкой]]*2+#REF!</f>
        <v>#REF!</v>
      </c>
      <c r="AY32" s="17" t="e">
        <f>Прайс[[#This Row],[КФ  крепления профиля Gola]]+Прайс[[#This Row],[КФ петли вклад. 95 гр. с крестообр. планкой]]*2+#REF!</f>
        <v>#REF!</v>
      </c>
      <c r="AZ32" s="17" t="e">
        <f>Прайс[[#This Row],[КФ  крепления профиля Gola]]+Прайс[[#This Row],[КФ петли вклад. 95 гр. с крестообр. планкой]]*2+#REF!</f>
        <v>#REF!</v>
      </c>
      <c r="BA32" s="19">
        <v>0</v>
      </c>
      <c r="BB32" s="19">
        <v>2</v>
      </c>
      <c r="BC32" s="19" t="s">
        <v>94</v>
      </c>
      <c r="BD32" s="18" t="s">
        <v>137</v>
      </c>
      <c r="BE32" s="19">
        <v>0</v>
      </c>
      <c r="BF32" s="19" t="s">
        <v>94</v>
      </c>
      <c r="BG32" s="19"/>
      <c r="BH32" s="19"/>
      <c r="BI32" s="19">
        <v>1</v>
      </c>
      <c r="BJ32" s="19">
        <v>0</v>
      </c>
      <c r="BK32" s="19">
        <v>0</v>
      </c>
      <c r="BL32" s="19"/>
      <c r="BM32" s="19"/>
      <c r="BN32" s="19"/>
      <c r="BO32" s="19"/>
      <c r="BP32" s="19" t="s">
        <v>94</v>
      </c>
      <c r="BQ32" s="19">
        <f>IF(Прайс[[#This Row],[Наличие подсветки на нижнем горизонте]]="Нет",0,'[2]комплекты фурнитуры'!$C$91)</f>
        <v>0</v>
      </c>
      <c r="BR32"/>
      <c r="BS32"/>
      <c r="BT32"/>
      <c r="BU32"/>
      <c r="BV32"/>
      <c r="BW32"/>
      <c r="BX32"/>
    </row>
    <row r="33" spans="1:76" ht="15" customHeight="1" x14ac:dyDescent="0.25">
      <c r="A33" s="27" t="s">
        <v>170</v>
      </c>
      <c r="B33" s="14" t="s">
        <v>91</v>
      </c>
      <c r="C33" s="14" t="s">
        <v>171</v>
      </c>
      <c r="D33" s="14" t="s">
        <v>99</v>
      </c>
      <c r="E33" s="14" t="s">
        <v>94</v>
      </c>
      <c r="F33" s="14" t="s">
        <v>172</v>
      </c>
      <c r="G33" s="15">
        <v>240</v>
      </c>
      <c r="H33" s="15">
        <v>2400</v>
      </c>
      <c r="I33" s="15">
        <v>50</v>
      </c>
      <c r="J33" s="15">
        <v>100</v>
      </c>
      <c r="K33" s="15">
        <v>315</v>
      </c>
      <c r="L33" s="15">
        <v>700</v>
      </c>
      <c r="M33" s="38">
        <v>1940</v>
      </c>
      <c r="N33" s="18">
        <v>2360</v>
      </c>
      <c r="O33" s="43">
        <v>720</v>
      </c>
      <c r="P33" s="43">
        <v>100</v>
      </c>
      <c r="Q33" s="43">
        <v>560</v>
      </c>
      <c r="R33" s="20">
        <v>1.08</v>
      </c>
      <c r="S33" s="20">
        <v>1.0649999999999999</v>
      </c>
      <c r="T33" s="20">
        <v>1.3</v>
      </c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7">
        <v>0</v>
      </c>
      <c r="AY33" s="18">
        <v>0</v>
      </c>
      <c r="AZ33" s="18">
        <v>0</v>
      </c>
      <c r="BA33" s="19">
        <v>0</v>
      </c>
      <c r="BB33" s="19">
        <v>0</v>
      </c>
      <c r="BC33" s="19" t="s">
        <v>94</v>
      </c>
      <c r="BD33" s="18" t="s">
        <v>96</v>
      </c>
      <c r="BE33" s="19">
        <v>0</v>
      </c>
      <c r="BF33" s="19" t="s">
        <v>94</v>
      </c>
      <c r="BG33" s="19"/>
      <c r="BH33" s="19"/>
      <c r="BI33" s="19">
        <v>1</v>
      </c>
      <c r="BJ33" s="19">
        <v>0</v>
      </c>
      <c r="BK33" s="19">
        <v>0</v>
      </c>
      <c r="BL33" s="19"/>
      <c r="BM33" s="19"/>
      <c r="BN33" s="19"/>
      <c r="BO33" s="19"/>
      <c r="BP33" s="19" t="s">
        <v>94</v>
      </c>
      <c r="BQ33" s="19">
        <f>IF(Прайс[[#This Row],[Наличие подсветки на нижнем горизонте]]="Нет",0,'[2]комплекты фурнитуры'!$C$91)</f>
        <v>0</v>
      </c>
      <c r="BR33"/>
      <c r="BS33"/>
      <c r="BT33"/>
      <c r="BU33"/>
      <c r="BV33"/>
      <c r="BW33"/>
      <c r="BX33"/>
    </row>
    <row r="34" spans="1:76" ht="15" customHeight="1" x14ac:dyDescent="0.25">
      <c r="A34" s="27" t="s">
        <v>173</v>
      </c>
      <c r="B34" s="14" t="s">
        <v>174</v>
      </c>
      <c r="C34" s="14" t="s">
        <v>175</v>
      </c>
      <c r="D34" s="14" t="s">
        <v>93</v>
      </c>
      <c r="E34" s="14" t="s">
        <v>94</v>
      </c>
      <c r="F34" s="14" t="s">
        <v>95</v>
      </c>
      <c r="G34" s="15">
        <v>240</v>
      </c>
      <c r="H34" s="15">
        <v>1250</v>
      </c>
      <c r="I34" s="15">
        <v>150</v>
      </c>
      <c r="J34" s="15">
        <v>900</v>
      </c>
      <c r="K34" s="15">
        <v>250</v>
      </c>
      <c r="L34" s="15">
        <v>560</v>
      </c>
      <c r="M34" s="38">
        <v>1780</v>
      </c>
      <c r="N34" s="18">
        <v>2130</v>
      </c>
      <c r="O34" s="43">
        <v>720</v>
      </c>
      <c r="P34" s="43">
        <v>300</v>
      </c>
      <c r="Q34" s="43">
        <f>IF(OR(Прайс[[#This Row],[Тип]]="Нижний",Прайс[[#This Row],[Тип]]="Пенал"),"560",IF(Прайс[[#This Row],[Тип]]="Верхний",315,0))</f>
        <v>315</v>
      </c>
      <c r="R34" s="20">
        <v>1.08</v>
      </c>
      <c r="S34" s="20">
        <v>1.0649999999999999</v>
      </c>
      <c r="T34" s="20">
        <v>1.3</v>
      </c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7">
        <v>0</v>
      </c>
      <c r="AY34" s="18">
        <v>0</v>
      </c>
      <c r="AZ34" s="18">
        <v>0</v>
      </c>
      <c r="BA34" s="19">
        <v>0</v>
      </c>
      <c r="BB34" s="19">
        <v>3</v>
      </c>
      <c r="BC34" s="19" t="s">
        <v>94</v>
      </c>
      <c r="BD34" s="18" t="s">
        <v>96</v>
      </c>
      <c r="BE34" s="19">
        <v>1</v>
      </c>
      <c r="BF34" s="19" t="s">
        <v>110</v>
      </c>
      <c r="BG34" s="19"/>
      <c r="BH34" s="19"/>
      <c r="BI34" s="19">
        <v>0</v>
      </c>
      <c r="BJ34" s="19">
        <v>0</v>
      </c>
      <c r="BK34" s="19">
        <v>0</v>
      </c>
      <c r="BL34" s="19"/>
      <c r="BM34" s="19"/>
      <c r="BN34" s="19"/>
      <c r="BO34" s="19"/>
      <c r="BP34" s="19" t="s">
        <v>110</v>
      </c>
      <c r="BQ34" s="19">
        <f>IF(Прайс[[#This Row],[Наличие подсветки на нижнем горизонте]]="Нет",0,'[2]комплекты фурнитуры'!$C$91)</f>
        <v>400</v>
      </c>
      <c r="BR34"/>
      <c r="BS34"/>
      <c r="BT34"/>
      <c r="BU34"/>
      <c r="BV34"/>
      <c r="BW34"/>
      <c r="BX34"/>
    </row>
    <row r="35" spans="1:76" ht="15" customHeight="1" x14ac:dyDescent="0.25">
      <c r="A35" s="27" t="s">
        <v>176</v>
      </c>
      <c r="B35" s="14" t="s">
        <v>174</v>
      </c>
      <c r="C35" s="14" t="s">
        <v>177</v>
      </c>
      <c r="D35" s="14" t="s">
        <v>99</v>
      </c>
      <c r="E35" s="14" t="s">
        <v>94</v>
      </c>
      <c r="F35" s="14" t="s">
        <v>95</v>
      </c>
      <c r="G35" s="15">
        <v>360</v>
      </c>
      <c r="H35" s="15">
        <v>1250</v>
      </c>
      <c r="I35" s="15">
        <v>150</v>
      </c>
      <c r="J35" s="15">
        <v>600</v>
      </c>
      <c r="K35" s="15">
        <v>250</v>
      </c>
      <c r="L35" s="15">
        <v>560</v>
      </c>
      <c r="M35" s="38">
        <v>1780</v>
      </c>
      <c r="N35" s="18">
        <v>2130</v>
      </c>
      <c r="O35" s="43">
        <v>720</v>
      </c>
      <c r="P35" s="43">
        <v>300</v>
      </c>
      <c r="Q35" s="43">
        <f>IF(OR(Прайс[[#This Row],[Тип]]="Нижний",Прайс[[#This Row],[Тип]]="Пенал"),"560",IF(Прайс[[#This Row],[Тип]]="Верхний",315,0))</f>
        <v>315</v>
      </c>
      <c r="R35" s="20">
        <v>1.08</v>
      </c>
      <c r="S35" s="20">
        <v>1.0649999999999999</v>
      </c>
      <c r="T35" s="20">
        <v>1.3</v>
      </c>
      <c r="U35" s="16">
        <f>'[2]комплекты фурнитуры'!$C$62</f>
        <v>620</v>
      </c>
      <c r="V35" s="16">
        <f>'[2]комплекты фурнитуры'!$C$63</f>
        <v>130</v>
      </c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7">
        <f>Прайс[[#This Row],[КФ петли SENS накл.110 гр. с крестообр. Планкой]]*2</f>
        <v>1240</v>
      </c>
      <c r="AY35" s="18">
        <f>Прайс[[#This Row],[KFP-SB-N110]]*2</f>
        <v>260</v>
      </c>
      <c r="AZ35" s="18">
        <f>Прайс[[#This Row],[KFP-SB-N110]]*2</f>
        <v>260</v>
      </c>
      <c r="BA35" s="19">
        <v>0</v>
      </c>
      <c r="BB35" s="19">
        <v>3</v>
      </c>
      <c r="BC35" s="19" t="s">
        <v>110</v>
      </c>
      <c r="BD35" s="18" t="s">
        <v>96</v>
      </c>
      <c r="BE35" s="19">
        <v>1</v>
      </c>
      <c r="BF35" s="19" t="s">
        <v>110</v>
      </c>
      <c r="BG35" s="19"/>
      <c r="BH35" s="19"/>
      <c r="BI35" s="19">
        <v>1</v>
      </c>
      <c r="BJ35" s="19">
        <v>0</v>
      </c>
      <c r="BK35" s="19">
        <v>0</v>
      </c>
      <c r="BL35" s="19"/>
      <c r="BM35" s="19"/>
      <c r="BN35" s="19"/>
      <c r="BO35" s="19"/>
      <c r="BP35" s="19" t="s">
        <v>110</v>
      </c>
      <c r="BQ35" s="19">
        <f>IF(Прайс[[#This Row],[Наличие подсветки на нижнем горизонте]]="Нет",0,'[2]комплекты фурнитуры'!$C$91)</f>
        <v>400</v>
      </c>
      <c r="BR35"/>
      <c r="BS35"/>
      <c r="BT35"/>
      <c r="BU35"/>
      <c r="BV35"/>
      <c r="BW35"/>
      <c r="BX35"/>
    </row>
    <row r="36" spans="1:76" ht="15" customHeight="1" x14ac:dyDescent="0.25">
      <c r="A36" s="27" t="s">
        <v>178</v>
      </c>
      <c r="B36" s="14" t="s">
        <v>174</v>
      </c>
      <c r="C36" s="14" t="s">
        <v>179</v>
      </c>
      <c r="D36" s="14" t="s">
        <v>99</v>
      </c>
      <c r="E36" s="14" t="s">
        <v>94</v>
      </c>
      <c r="F36" s="14" t="s">
        <v>180</v>
      </c>
      <c r="G36" s="15">
        <v>800</v>
      </c>
      <c r="H36" s="15">
        <v>960</v>
      </c>
      <c r="I36" s="15">
        <v>450</v>
      </c>
      <c r="J36" s="15">
        <v>600</v>
      </c>
      <c r="K36" s="15">
        <v>350</v>
      </c>
      <c r="L36" s="15">
        <v>500</v>
      </c>
      <c r="M36" s="38">
        <v>1780</v>
      </c>
      <c r="N36" s="18">
        <v>2130</v>
      </c>
      <c r="O36" s="43">
        <v>720</v>
      </c>
      <c r="P36" s="43">
        <v>300</v>
      </c>
      <c r="Q36" s="43">
        <f>IF(OR(Прайс[[#This Row],[Тип]]="Нижний",Прайс[[#This Row],[Тип]]="Пенал"),"560",IF(Прайс[[#This Row],[Тип]]="Верхний",315,0))</f>
        <v>315</v>
      </c>
      <c r="R36" s="20">
        <v>1.08</v>
      </c>
      <c r="S36" s="20">
        <v>1.0649999999999999</v>
      </c>
      <c r="T36" s="20">
        <v>1.03</v>
      </c>
      <c r="U36" s="16">
        <f>'[2]комплекты фурнитуры'!$C$62</f>
        <v>620</v>
      </c>
      <c r="V36" s="16">
        <f>'[2]комплекты фурнитуры'!$C$63</f>
        <v>130</v>
      </c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7">
        <f>Прайс[[#This Row],[КФ петли SENS накл.110 гр. с крестообр. Планкой]]*2</f>
        <v>1240</v>
      </c>
      <c r="AY36" s="18">
        <f>Прайс[[#This Row],[KFP-SB-N110]]*2</f>
        <v>260</v>
      </c>
      <c r="AZ36" s="18">
        <f>Прайс[[#This Row],[KFP-SB-N110]]*2</f>
        <v>260</v>
      </c>
      <c r="BA36" s="19">
        <v>1</v>
      </c>
      <c r="BB36" s="19">
        <v>1</v>
      </c>
      <c r="BC36" s="19" t="s">
        <v>110</v>
      </c>
      <c r="BD36" s="18" t="s">
        <v>96</v>
      </c>
      <c r="BE36" s="19">
        <v>1</v>
      </c>
      <c r="BF36" s="19" t="s">
        <v>110</v>
      </c>
      <c r="BG36" s="19"/>
      <c r="BH36" s="19"/>
      <c r="BI36" s="19">
        <v>1</v>
      </c>
      <c r="BJ36" s="19">
        <v>0</v>
      </c>
      <c r="BK36" s="19">
        <v>0</v>
      </c>
      <c r="BL36" s="19"/>
      <c r="BM36" s="19"/>
      <c r="BN36" s="19"/>
      <c r="BO36" s="19"/>
      <c r="BP36" s="19" t="s">
        <v>94</v>
      </c>
      <c r="BQ36" s="19">
        <f>IF(Прайс[[#This Row],[Наличие подсветки на нижнем горизонте]]="Нет",0,'[2]комплекты фурнитуры'!$C$91)</f>
        <v>0</v>
      </c>
      <c r="BR36"/>
      <c r="BS36"/>
      <c r="BT36"/>
      <c r="BU36"/>
      <c r="BV36"/>
      <c r="BW36"/>
      <c r="BX36"/>
    </row>
    <row r="37" spans="1:76" ht="15" customHeight="1" x14ac:dyDescent="0.25">
      <c r="A37" s="27" t="s">
        <v>181</v>
      </c>
      <c r="B37" s="14" t="s">
        <v>174</v>
      </c>
      <c r="C37" s="14" t="s">
        <v>182</v>
      </c>
      <c r="D37" s="14" t="s">
        <v>99</v>
      </c>
      <c r="E37" s="14" t="s">
        <v>94</v>
      </c>
      <c r="F37" s="14" t="s">
        <v>183</v>
      </c>
      <c r="G37" s="15">
        <v>240</v>
      </c>
      <c r="H37" s="15">
        <v>600</v>
      </c>
      <c r="I37" s="15">
        <v>350</v>
      </c>
      <c r="J37" s="15">
        <v>900</v>
      </c>
      <c r="K37" s="15">
        <v>250</v>
      </c>
      <c r="L37" s="15">
        <v>560</v>
      </c>
      <c r="M37" s="38">
        <v>1780</v>
      </c>
      <c r="N37" s="18">
        <v>2130</v>
      </c>
      <c r="O37" s="43">
        <v>720</v>
      </c>
      <c r="P37" s="43">
        <v>300</v>
      </c>
      <c r="Q37" s="43">
        <f>IF(OR(Прайс[[#This Row],[Тип]]="Нижний",Прайс[[#This Row],[Тип]]="Пенал"),"560",IF(Прайс[[#This Row],[Тип]]="Верхний",315,0))</f>
        <v>315</v>
      </c>
      <c r="R37" s="20">
        <v>1.08</v>
      </c>
      <c r="S37" s="20">
        <v>1.0649999999999999</v>
      </c>
      <c r="T37" s="20">
        <v>1.3</v>
      </c>
      <c r="U37" s="16"/>
      <c r="V37" s="16">
        <f>'[2]комплекты фурнитуры'!$C$63</f>
        <v>130</v>
      </c>
      <c r="W37" s="16"/>
      <c r="X37" s="16"/>
      <c r="Y37" s="16"/>
      <c r="Z37" s="16"/>
      <c r="AA37" s="16"/>
      <c r="AB37" s="16"/>
      <c r="AC37" s="16"/>
      <c r="AD37" s="16"/>
      <c r="AE37" s="16">
        <f>'[2]комплекты фурнитуры'!$C$67</f>
        <v>6080</v>
      </c>
      <c r="AF37" s="16">
        <f>'[2]комплекты фурнитуры'!$C$68</f>
        <v>6940</v>
      </c>
      <c r="AG37" s="16">
        <f>'[2]комплекты фурнитуры'!$C$70</f>
        <v>2290</v>
      </c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7">
        <f>Прайс[[#This Row],[KFP-SP-PPGK]]</f>
        <v>6080</v>
      </c>
      <c r="AY37" s="18">
        <f>Прайс[[#This Row],[KFP-SP-PPA]]+Прайс[[#This Row],[KFP-SB-N110]]*2</f>
        <v>2550</v>
      </c>
      <c r="AZ37" s="18">
        <f>Прайс[[#This Row],[KFP-SP-PPA]]+Прайс[[#This Row],[KFP-SB-N110]]*2</f>
        <v>2550</v>
      </c>
      <c r="BA37" s="19">
        <v>0</v>
      </c>
      <c r="BB37" s="19">
        <v>0</v>
      </c>
      <c r="BC37" s="19" t="s">
        <v>110</v>
      </c>
      <c r="BD37" s="18" t="s">
        <v>96</v>
      </c>
      <c r="BE37" s="19">
        <v>0</v>
      </c>
      <c r="BF37" s="19" t="s">
        <v>94</v>
      </c>
      <c r="BG37" s="19"/>
      <c r="BH37" s="19"/>
      <c r="BI37" s="19">
        <v>1</v>
      </c>
      <c r="BJ37" s="19">
        <v>0</v>
      </c>
      <c r="BK37" s="19">
        <v>0</v>
      </c>
      <c r="BL37" s="19"/>
      <c r="BM37" s="19"/>
      <c r="BN37" s="19"/>
      <c r="BO37" s="19"/>
      <c r="BP37" s="19" t="s">
        <v>110</v>
      </c>
      <c r="BQ37" s="19">
        <f>IF(Прайс[[#This Row],[Наличие подсветки на нижнем горизонте]]="Нет",0,'[2]комплекты фурнитуры'!$C$91)</f>
        <v>400</v>
      </c>
      <c r="BR37"/>
      <c r="BS37"/>
      <c r="BT37"/>
      <c r="BU37"/>
      <c r="BV37"/>
      <c r="BW37"/>
      <c r="BX37"/>
    </row>
    <row r="38" spans="1:76" ht="15" customHeight="1" x14ac:dyDescent="0.25">
      <c r="A38" s="27" t="s">
        <v>184</v>
      </c>
      <c r="B38" s="14" t="s">
        <v>174</v>
      </c>
      <c r="C38" s="14" t="s">
        <v>185</v>
      </c>
      <c r="D38" s="14" t="s">
        <v>99</v>
      </c>
      <c r="E38" s="14" t="s">
        <v>94</v>
      </c>
      <c r="F38" s="14" t="s">
        <v>180</v>
      </c>
      <c r="G38" s="15">
        <v>600</v>
      </c>
      <c r="H38" s="15">
        <v>800</v>
      </c>
      <c r="I38" s="15">
        <v>450</v>
      </c>
      <c r="J38" s="15">
        <v>600</v>
      </c>
      <c r="K38" s="15">
        <v>350</v>
      </c>
      <c r="L38" s="15">
        <v>500</v>
      </c>
      <c r="M38" s="38">
        <v>2340</v>
      </c>
      <c r="N38" s="18">
        <v>2960</v>
      </c>
      <c r="O38" s="43">
        <v>720</v>
      </c>
      <c r="P38" s="43">
        <v>600</v>
      </c>
      <c r="Q38" s="43">
        <v>350</v>
      </c>
      <c r="R38" s="20">
        <v>1.08</v>
      </c>
      <c r="S38" s="20">
        <v>1.0649999999999999</v>
      </c>
      <c r="T38" s="20">
        <v>1.03</v>
      </c>
      <c r="U38" s="16"/>
      <c r="V38" s="16">
        <f>'[2]комплекты фурнитуры'!$C$63</f>
        <v>130</v>
      </c>
      <c r="W38" s="16"/>
      <c r="X38" s="16"/>
      <c r="Y38" s="16"/>
      <c r="Z38" s="16"/>
      <c r="AA38" s="16"/>
      <c r="AB38" s="16"/>
      <c r="AC38" s="16"/>
      <c r="AD38" s="16"/>
      <c r="AE38" s="16">
        <f>'[2]комплекты фурнитуры'!$C$67</f>
        <v>6080</v>
      </c>
      <c r="AF38" s="16"/>
      <c r="AG38" s="16">
        <f>'[2]комплекты фурнитуры'!$C$70</f>
        <v>2290</v>
      </c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7">
        <f>Прайс[[#This Row],[KFP-SP-PPGK]]</f>
        <v>6080</v>
      </c>
      <c r="AY38" s="18">
        <f>Прайс[[#This Row],[KFP-SP-PPA]]+Прайс[[#This Row],[KFP-SB-N110]]*2</f>
        <v>2550</v>
      </c>
      <c r="AZ38" s="18">
        <v>0</v>
      </c>
      <c r="BA38" s="19">
        <v>0</v>
      </c>
      <c r="BB38" s="19">
        <v>0</v>
      </c>
      <c r="BC38" s="19" t="s">
        <v>94</v>
      </c>
      <c r="BD38" s="18" t="s">
        <v>125</v>
      </c>
      <c r="BE38" s="19">
        <v>0</v>
      </c>
      <c r="BF38" s="19" t="s">
        <v>94</v>
      </c>
      <c r="BG38" s="19"/>
      <c r="BH38" s="19"/>
      <c r="BI38" s="19">
        <v>1</v>
      </c>
      <c r="BJ38" s="19">
        <v>0</v>
      </c>
      <c r="BK38" s="19">
        <v>0</v>
      </c>
      <c r="BL38" s="19"/>
      <c r="BM38" s="19"/>
      <c r="BN38" s="19"/>
      <c r="BO38" s="19"/>
      <c r="BP38" s="19" t="s">
        <v>94</v>
      </c>
      <c r="BQ38" s="19">
        <f>IF(Прайс[[#This Row],[Наличие подсветки на нижнем горизонте]]="Нет",0,'[2]комплекты фурнитуры'!$C$91)</f>
        <v>0</v>
      </c>
      <c r="BR38"/>
      <c r="BS38"/>
      <c r="BT38"/>
      <c r="BU38"/>
      <c r="BV38"/>
      <c r="BW38"/>
      <c r="BX38"/>
    </row>
    <row r="39" spans="1:76" ht="15" customHeight="1" x14ac:dyDescent="0.25">
      <c r="A39" s="27" t="s">
        <v>186</v>
      </c>
      <c r="B39" s="14" t="s">
        <v>174</v>
      </c>
      <c r="C39" s="14" t="s">
        <v>187</v>
      </c>
      <c r="D39" s="14" t="s">
        <v>99</v>
      </c>
      <c r="E39" s="14" t="s">
        <v>94</v>
      </c>
      <c r="F39" s="14" t="s">
        <v>95</v>
      </c>
      <c r="G39" s="15">
        <v>360</v>
      </c>
      <c r="H39" s="15">
        <v>1250</v>
      </c>
      <c r="I39" s="15">
        <v>400</v>
      </c>
      <c r="J39" s="15">
        <v>900</v>
      </c>
      <c r="K39" s="15">
        <v>250</v>
      </c>
      <c r="L39" s="15">
        <v>560</v>
      </c>
      <c r="M39" s="38">
        <v>1780</v>
      </c>
      <c r="N39" s="18">
        <v>2130</v>
      </c>
      <c r="O39" s="43">
        <v>720</v>
      </c>
      <c r="P39" s="43">
        <v>300</v>
      </c>
      <c r="Q39" s="43">
        <f>IF(OR(Прайс[[#This Row],[Тип]]="Нижний",Прайс[[#This Row],[Тип]]="Пенал"),"560",IF(Прайс[[#This Row],[Тип]]="Верхний",315,0))</f>
        <v>315</v>
      </c>
      <c r="R39" s="20">
        <v>1.08</v>
      </c>
      <c r="S39" s="20">
        <v>1.0649999999999999</v>
      </c>
      <c r="T39" s="20">
        <v>1.3</v>
      </c>
      <c r="U39" s="16">
        <f>'[2]комплекты фурнитуры'!$C$62</f>
        <v>620</v>
      </c>
      <c r="V39" s="16">
        <f>'[2]комплекты фурнитуры'!$C$63</f>
        <v>130</v>
      </c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7">
        <f>Прайс[[#This Row],[КФ петли SENS накл.110 гр. с крестообр. Планкой]]*4</f>
        <v>2480</v>
      </c>
      <c r="AY39" s="18">
        <f>Прайс[[#This Row],[KFP-SB-N110]]*4</f>
        <v>520</v>
      </c>
      <c r="AZ39" s="18">
        <f>Прайс[[#This Row],[KFP-SB-N110]]*4</f>
        <v>520</v>
      </c>
      <c r="BA39" s="19">
        <v>0</v>
      </c>
      <c r="BB39" s="19">
        <v>3</v>
      </c>
      <c r="BC39" s="19" t="s">
        <v>110</v>
      </c>
      <c r="BD39" s="18" t="s">
        <v>96</v>
      </c>
      <c r="BE39" s="19">
        <v>0</v>
      </c>
      <c r="BF39" s="19" t="s">
        <v>110</v>
      </c>
      <c r="BG39" s="19"/>
      <c r="BH39" s="19"/>
      <c r="BI39" s="19">
        <v>2</v>
      </c>
      <c r="BJ39" s="19">
        <v>0</v>
      </c>
      <c r="BK39" s="19">
        <v>0</v>
      </c>
      <c r="BL39" s="19"/>
      <c r="BM39" s="19"/>
      <c r="BN39" s="19"/>
      <c r="BO39" s="19"/>
      <c r="BP39" s="19" t="s">
        <v>110</v>
      </c>
      <c r="BQ39" s="19">
        <f>IF(Прайс[[#This Row],[Наличие подсветки на нижнем горизонте]]="Нет",0,'[2]комплекты фурнитуры'!$C$91)</f>
        <v>400</v>
      </c>
      <c r="BR39"/>
      <c r="BS39"/>
      <c r="BT39"/>
      <c r="BU39"/>
      <c r="BV39"/>
      <c r="BW39"/>
      <c r="BX39"/>
    </row>
    <row r="40" spans="1:76" ht="15" customHeight="1" x14ac:dyDescent="0.25">
      <c r="A40" s="27" t="s">
        <v>188</v>
      </c>
      <c r="B40" s="14" t="s">
        <v>174</v>
      </c>
      <c r="C40" s="14" t="s">
        <v>189</v>
      </c>
      <c r="D40" s="14" t="s">
        <v>99</v>
      </c>
      <c r="E40" s="14" t="s">
        <v>94</v>
      </c>
      <c r="F40" s="14" t="s">
        <v>183</v>
      </c>
      <c r="G40" s="15">
        <v>720</v>
      </c>
      <c r="H40" s="15">
        <v>720</v>
      </c>
      <c r="I40" s="15">
        <v>400</v>
      </c>
      <c r="J40" s="15">
        <v>900</v>
      </c>
      <c r="K40" s="15">
        <v>300</v>
      </c>
      <c r="L40" s="15">
        <v>400</v>
      </c>
      <c r="M40" s="38">
        <v>1780</v>
      </c>
      <c r="N40" s="18">
        <v>2130</v>
      </c>
      <c r="O40" s="43">
        <v>720</v>
      </c>
      <c r="P40" s="43">
        <v>300</v>
      </c>
      <c r="Q40" s="43">
        <f>IF(OR(Прайс[[#This Row],[Тип]]="Нижний",Прайс[[#This Row],[Тип]]="Пенал"),"560",IF(Прайс[[#This Row],[Тип]]="Верхний",315,0))</f>
        <v>315</v>
      </c>
      <c r="R40" s="20">
        <v>1.08</v>
      </c>
      <c r="S40" s="20">
        <v>1.0649999999999999</v>
      </c>
      <c r="T40" s="20">
        <v>1.3</v>
      </c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>
        <f>'[2]комплекты фурнитуры'!$C$69</f>
        <v>13990</v>
      </c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7">
        <f>Прайс[[#This Row],[KFP-SB-PPHF_W]]</f>
        <v>13990</v>
      </c>
      <c r="AY40" s="17">
        <f>Прайс[[#This Row],[KFP-SB-PPHF_W]]</f>
        <v>13990</v>
      </c>
      <c r="AZ40" s="17">
        <f>Прайс[[#This Row],[KFP-SB-PPHF_W]]</f>
        <v>13990</v>
      </c>
      <c r="BA40" s="19">
        <v>1</v>
      </c>
      <c r="BB40" s="19">
        <v>1</v>
      </c>
      <c r="BC40" s="19" t="s">
        <v>94</v>
      </c>
      <c r="BD40" s="18" t="s">
        <v>137</v>
      </c>
      <c r="BE40" s="19">
        <v>1</v>
      </c>
      <c r="BF40" s="19" t="s">
        <v>110</v>
      </c>
      <c r="BG40" s="19"/>
      <c r="BH40" s="19"/>
      <c r="BI40" s="19">
        <v>2</v>
      </c>
      <c r="BJ40" s="19">
        <v>0</v>
      </c>
      <c r="BK40" s="19">
        <v>0</v>
      </c>
      <c r="BL40" s="19"/>
      <c r="BM40" s="19"/>
      <c r="BN40" s="19"/>
      <c r="BO40" s="19"/>
      <c r="BP40" s="19" t="s">
        <v>110</v>
      </c>
      <c r="BQ40" s="19">
        <f>IF(Прайс[[#This Row],[Наличие подсветки на нижнем горизонте]]="Нет",0,'[2]комплекты фурнитуры'!$C$91)</f>
        <v>400</v>
      </c>
      <c r="BR40"/>
      <c r="BS40"/>
      <c r="BT40"/>
      <c r="BU40"/>
      <c r="BV40"/>
      <c r="BW40"/>
      <c r="BX40"/>
    </row>
    <row r="41" spans="1:76" s="7" customFormat="1" ht="15" customHeight="1" x14ac:dyDescent="0.25">
      <c r="A41" s="27" t="s">
        <v>190</v>
      </c>
      <c r="B41" s="14" t="s">
        <v>174</v>
      </c>
      <c r="C41" s="14" t="s">
        <v>191</v>
      </c>
      <c r="D41" s="14" t="s">
        <v>115</v>
      </c>
      <c r="E41" s="14" t="s">
        <v>94</v>
      </c>
      <c r="F41" s="14" t="s">
        <v>95</v>
      </c>
      <c r="G41" s="15">
        <v>360</v>
      </c>
      <c r="H41" s="15">
        <v>1250</v>
      </c>
      <c r="I41" s="15">
        <v>595</v>
      </c>
      <c r="J41" s="15">
        <v>1000</v>
      </c>
      <c r="K41" s="15">
        <v>315</v>
      </c>
      <c r="L41" s="15">
        <v>560</v>
      </c>
      <c r="M41" s="38">
        <v>2580</v>
      </c>
      <c r="N41" s="18">
        <v>3560</v>
      </c>
      <c r="O41" s="43">
        <v>720</v>
      </c>
      <c r="P41" s="43">
        <v>600</v>
      </c>
      <c r="Q41" s="43">
        <v>560</v>
      </c>
      <c r="R41" s="20">
        <v>1.08</v>
      </c>
      <c r="S41" s="20">
        <v>1.0649999999999999</v>
      </c>
      <c r="T41" s="20">
        <v>0</v>
      </c>
      <c r="U41" s="16"/>
      <c r="V41" s="16"/>
      <c r="W41" s="16">
        <f>'[2]комплекты фурнитуры'!$C$56</f>
        <v>1300</v>
      </c>
      <c r="X41" s="16">
        <f>'[2]комплекты фурнитуры'!$C$58</f>
        <v>480</v>
      </c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7" t="e">
        <f>#REF!+#REF!+Прайс[[#This Row],[КФ петли вклад. 95 гр. с крестообр. планкой]]*2</f>
        <v>#REF!</v>
      </c>
      <c r="AY41" s="18" t="e">
        <f>#REF!+#REF!+Прайс[[#This Row],[KFP-SB-PY94]]*2</f>
        <v>#REF!</v>
      </c>
      <c r="AZ41" s="18" t="e">
        <f>#REF!+#REF!+Прайс[[#This Row],[KFP-SB-PY94]]*2</f>
        <v>#REF!</v>
      </c>
      <c r="BA41" s="19">
        <v>0</v>
      </c>
      <c r="BB41" s="19">
        <v>2</v>
      </c>
      <c r="BC41" s="19" t="s">
        <v>110</v>
      </c>
      <c r="BD41" s="18" t="s">
        <v>96</v>
      </c>
      <c r="BE41" s="19">
        <v>1</v>
      </c>
      <c r="BF41" s="19" t="s">
        <v>110</v>
      </c>
      <c r="BG41" s="19"/>
      <c r="BH41" s="19"/>
      <c r="BI41" s="19">
        <v>1</v>
      </c>
      <c r="BJ41" s="19">
        <v>0</v>
      </c>
      <c r="BK41" s="19">
        <v>0</v>
      </c>
      <c r="BL41" s="19"/>
      <c r="BM41" s="19"/>
      <c r="BN41" s="19"/>
      <c r="BO41" s="19"/>
      <c r="BP41" s="19" t="s">
        <v>110</v>
      </c>
      <c r="BQ41" s="19">
        <f>IF(Прайс[[#This Row],[Наличие подсветки на нижнем горизонте]]="Нет",0,'[2]комплекты фурнитуры'!$C$91)</f>
        <v>400</v>
      </c>
    </row>
    <row r="42" spans="1:76" ht="15" customHeight="1" x14ac:dyDescent="0.25">
      <c r="A42" s="28" t="s">
        <v>192</v>
      </c>
      <c r="B42" s="14" t="s">
        <v>174</v>
      </c>
      <c r="C42" s="14" t="s">
        <v>193</v>
      </c>
      <c r="D42" s="14" t="s">
        <v>99</v>
      </c>
      <c r="E42" s="14" t="s">
        <v>94</v>
      </c>
      <c r="F42" s="14" t="s">
        <v>194</v>
      </c>
      <c r="G42" s="15">
        <v>440</v>
      </c>
      <c r="H42" s="15">
        <v>1210</v>
      </c>
      <c r="I42" s="15">
        <v>500</v>
      </c>
      <c r="J42" s="15">
        <v>600</v>
      </c>
      <c r="K42" s="15">
        <v>300</v>
      </c>
      <c r="L42" s="15">
        <v>400</v>
      </c>
      <c r="M42" s="38">
        <v>2860</v>
      </c>
      <c r="N42" s="18">
        <v>3550</v>
      </c>
      <c r="O42" s="43">
        <v>680</v>
      </c>
      <c r="P42" s="43">
        <v>500</v>
      </c>
      <c r="Q42" s="43">
        <f>IF(OR(Прайс[[#This Row],[Тип]]="Нижний",Прайс[[#This Row],[Тип]]="Пенал"),"560",IF(Прайс[[#This Row],[Тип]]="Верхний",315,0))</f>
        <v>315</v>
      </c>
      <c r="R42" s="20">
        <v>1.095</v>
      </c>
      <c r="S42" s="20">
        <v>1.0649999999999999</v>
      </c>
      <c r="T42" s="20">
        <v>1.3</v>
      </c>
      <c r="U42" s="16">
        <f>'[2]комплекты фурнитуры'!$C$62</f>
        <v>620</v>
      </c>
      <c r="V42" s="16">
        <f>'[2]комплекты фурнитуры'!$C$63</f>
        <v>130</v>
      </c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7">
        <f>Прайс[[#This Row],[КФ петли SENS накл.110 гр. с крестообр. Планкой]]*2</f>
        <v>1240</v>
      </c>
      <c r="AY42" s="18">
        <f>Прайс[[#This Row],[KFP-SB-N110]]*2</f>
        <v>260</v>
      </c>
      <c r="AZ42" s="18">
        <f>Прайс[[#This Row],[KFP-SB-N110]]*2</f>
        <v>260</v>
      </c>
      <c r="BA42" s="19">
        <v>1</v>
      </c>
      <c r="BB42" s="19">
        <v>2</v>
      </c>
      <c r="BC42" s="19" t="s">
        <v>110</v>
      </c>
      <c r="BD42" s="18" t="s">
        <v>96</v>
      </c>
      <c r="BE42" s="19">
        <v>1</v>
      </c>
      <c r="BF42" s="19" t="s">
        <v>94</v>
      </c>
      <c r="BG42" s="19"/>
      <c r="BH42" s="19"/>
      <c r="BI42" s="19">
        <v>1</v>
      </c>
      <c r="BJ42" s="19">
        <v>0</v>
      </c>
      <c r="BK42" s="19">
        <v>0</v>
      </c>
      <c r="BL42" s="19"/>
      <c r="BM42" s="19"/>
      <c r="BN42" s="19"/>
      <c r="BO42" s="19"/>
      <c r="BP42" s="19" t="s">
        <v>94</v>
      </c>
      <c r="BQ42" s="19">
        <f>IF(Прайс[[#This Row],[Наличие подсветки на нижнем горизонте]]="Нет",0,'[2]комплекты фурнитуры'!$C$91)</f>
        <v>0</v>
      </c>
      <c r="BR42"/>
      <c r="BS42"/>
      <c r="BT42"/>
      <c r="BU42"/>
      <c r="BV42"/>
      <c r="BW42"/>
      <c r="BX42"/>
    </row>
    <row r="43" spans="1:76" ht="15" customHeight="1" x14ac:dyDescent="0.25">
      <c r="A43" s="28" t="s">
        <v>195</v>
      </c>
      <c r="B43" s="14" t="s">
        <v>174</v>
      </c>
      <c r="C43" s="14" t="s">
        <v>196</v>
      </c>
      <c r="D43" s="14" t="s">
        <v>99</v>
      </c>
      <c r="E43" s="14" t="s">
        <v>94</v>
      </c>
      <c r="F43" s="14" t="s">
        <v>194</v>
      </c>
      <c r="G43" s="15">
        <v>440</v>
      </c>
      <c r="H43" s="15">
        <v>1210</v>
      </c>
      <c r="I43" s="15">
        <v>600</v>
      </c>
      <c r="J43" s="15">
        <v>900</v>
      </c>
      <c r="K43" s="15">
        <v>300</v>
      </c>
      <c r="L43" s="15">
        <v>400</v>
      </c>
      <c r="M43" s="38">
        <v>2860</v>
      </c>
      <c r="N43" s="18">
        <v>3550</v>
      </c>
      <c r="O43" s="43">
        <v>680</v>
      </c>
      <c r="P43" s="43">
        <v>500</v>
      </c>
      <c r="Q43" s="43">
        <f>IF(OR(Прайс[[#This Row],[Тип]]="Нижний",Прайс[[#This Row],[Тип]]="Пенал"),"560",IF(Прайс[[#This Row],[Тип]]="Верхний",315,0))</f>
        <v>315</v>
      </c>
      <c r="R43" s="20">
        <v>1.095</v>
      </c>
      <c r="S43" s="20">
        <v>1.0649999999999999</v>
      </c>
      <c r="T43" s="20">
        <v>1.3</v>
      </c>
      <c r="U43" s="16">
        <f>'[2]комплекты фурнитуры'!$C$62</f>
        <v>620</v>
      </c>
      <c r="V43" s="16">
        <f>'[2]комплекты фурнитуры'!$C$63</f>
        <v>130</v>
      </c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7">
        <f>Прайс[[#This Row],[КФ петли SENS накл.110 гр. с крестообр. Планкой]]*4</f>
        <v>2480</v>
      </c>
      <c r="AY43" s="18">
        <f>Прайс[[#This Row],[KFP-SB-N110]]*4</f>
        <v>520</v>
      </c>
      <c r="AZ43" s="18">
        <f>Прайс[[#This Row],[KFP-SB-N110]]*4</f>
        <v>520</v>
      </c>
      <c r="BA43" s="19">
        <v>1</v>
      </c>
      <c r="BB43" s="19">
        <v>2</v>
      </c>
      <c r="BC43" s="19" t="s">
        <v>110</v>
      </c>
      <c r="BD43" s="18" t="s">
        <v>96</v>
      </c>
      <c r="BE43" s="19">
        <v>1</v>
      </c>
      <c r="BF43" s="19" t="s">
        <v>94</v>
      </c>
      <c r="BG43" s="19"/>
      <c r="BH43" s="19"/>
      <c r="BI43" s="19">
        <v>2</v>
      </c>
      <c r="BJ43" s="19">
        <v>0</v>
      </c>
      <c r="BK43" s="19">
        <v>0</v>
      </c>
      <c r="BL43" s="19"/>
      <c r="BM43" s="19"/>
      <c r="BN43" s="19"/>
      <c r="BO43" s="19"/>
      <c r="BP43" s="19" t="s">
        <v>94</v>
      </c>
      <c r="BQ43" s="19">
        <f>IF(Прайс[[#This Row],[Наличие подсветки на нижнем горизонте]]="Нет",0,'[2]комплекты фурнитуры'!$C$91)</f>
        <v>0</v>
      </c>
      <c r="BR43"/>
      <c r="BS43"/>
      <c r="BT43"/>
      <c r="BU43"/>
      <c r="BV43"/>
      <c r="BW43"/>
      <c r="BX43"/>
    </row>
    <row r="44" spans="1:76" ht="15" customHeight="1" x14ac:dyDescent="0.25">
      <c r="A44" s="27" t="s">
        <v>197</v>
      </c>
      <c r="B44" s="14" t="s">
        <v>174</v>
      </c>
      <c r="C44" s="14" t="s">
        <v>198</v>
      </c>
      <c r="D44" s="14" t="s">
        <v>199</v>
      </c>
      <c r="E44" s="14" t="s">
        <v>94</v>
      </c>
      <c r="F44" s="14" t="s">
        <v>95</v>
      </c>
      <c r="G44" s="15">
        <v>360</v>
      </c>
      <c r="H44" s="15">
        <v>1250</v>
      </c>
      <c r="I44" s="15">
        <v>600</v>
      </c>
      <c r="J44" s="15">
        <v>600</v>
      </c>
      <c r="K44" s="15">
        <v>600</v>
      </c>
      <c r="L44" s="15">
        <v>600</v>
      </c>
      <c r="M44" s="38">
        <v>2820</v>
      </c>
      <c r="N44" s="18">
        <v>3430</v>
      </c>
      <c r="O44" s="43">
        <v>720</v>
      </c>
      <c r="P44" s="43">
        <v>600</v>
      </c>
      <c r="Q44" s="43">
        <v>600</v>
      </c>
      <c r="R44" s="20">
        <v>1.08</v>
      </c>
      <c r="S44" s="20">
        <v>1.0649999999999999</v>
      </c>
      <c r="T44" s="20">
        <v>0</v>
      </c>
      <c r="U44" s="16"/>
      <c r="V44" s="16"/>
      <c r="W44" s="16"/>
      <c r="X44" s="16"/>
      <c r="Y44" s="16">
        <f>'[2]комплекты фурнитуры'!$C$54</f>
        <v>1560</v>
      </c>
      <c r="Z44" s="16">
        <f>'[2]комплекты фурнитуры'!$C$55</f>
        <v>190</v>
      </c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7">
        <f>Прайс[[#This Row],[КKFP-SB-GT45]]*2</f>
        <v>3120</v>
      </c>
      <c r="AY44" s="18">
        <f>Прайс[[#This Row],[KFP-SB-N45]]*2</f>
        <v>380</v>
      </c>
      <c r="AZ44" s="18">
        <f>Прайс[[#This Row],[KFP-SB-N45]]*2</f>
        <v>380</v>
      </c>
      <c r="BA44" s="19">
        <v>0</v>
      </c>
      <c r="BB44" s="19">
        <v>3</v>
      </c>
      <c r="BC44" s="19" t="s">
        <v>110</v>
      </c>
      <c r="BD44" s="18" t="s">
        <v>96</v>
      </c>
      <c r="BE44" s="19">
        <v>1</v>
      </c>
      <c r="BF44" s="19" t="s">
        <v>94</v>
      </c>
      <c r="BG44" s="19"/>
      <c r="BH44" s="19"/>
      <c r="BI44" s="19">
        <v>1</v>
      </c>
      <c r="BJ44" s="19">
        <v>0</v>
      </c>
      <c r="BK44" s="19">
        <v>0</v>
      </c>
      <c r="BL44" s="19"/>
      <c r="BM44" s="19"/>
      <c r="BN44" s="19"/>
      <c r="BO44" s="19"/>
      <c r="BP44" s="19" t="s">
        <v>94</v>
      </c>
      <c r="BQ44" s="19">
        <f>IF(Прайс[[#This Row],[Наличие подсветки на нижнем горизонте]]="Нет",0,'[2]комплекты фурнитуры'!$C$91)</f>
        <v>0</v>
      </c>
      <c r="BR44"/>
      <c r="BS44"/>
      <c r="BT44"/>
      <c r="BU44"/>
      <c r="BV44"/>
      <c r="BW44"/>
      <c r="BX44"/>
    </row>
    <row r="45" spans="1:76" ht="15" customHeight="1" x14ac:dyDescent="0.25">
      <c r="A45" s="27" t="s">
        <v>200</v>
      </c>
      <c r="B45" s="14" t="s">
        <v>174</v>
      </c>
      <c r="C45" s="14" t="s">
        <v>201</v>
      </c>
      <c r="D45" s="14" t="s">
        <v>99</v>
      </c>
      <c r="E45" s="14" t="s">
        <v>94</v>
      </c>
      <c r="F45" s="14" t="s">
        <v>136</v>
      </c>
      <c r="G45" s="15">
        <v>601</v>
      </c>
      <c r="H45" s="15">
        <v>1250</v>
      </c>
      <c r="I45" s="15">
        <v>450</v>
      </c>
      <c r="J45" s="15">
        <v>450</v>
      </c>
      <c r="K45" s="15">
        <v>315</v>
      </c>
      <c r="L45" s="15">
        <v>350</v>
      </c>
      <c r="M45" s="38">
        <v>1710</v>
      </c>
      <c r="N45" s="18">
        <v>2040</v>
      </c>
      <c r="O45" s="43">
        <v>720</v>
      </c>
      <c r="P45" s="43">
        <v>450</v>
      </c>
      <c r="Q45" s="43">
        <f>IF(OR(Прайс[[#This Row],[Тип]]="Нижний",Прайс[[#This Row],[Тип]]="Пенал"),"560",IF(Прайс[[#This Row],[Тип]]="Верхний",315,0))</f>
        <v>315</v>
      </c>
      <c r="R45" s="20">
        <v>1.095</v>
      </c>
      <c r="S45" s="20">
        <v>1.0649999999999999</v>
      </c>
      <c r="T45" s="20">
        <v>1.3</v>
      </c>
      <c r="U45" s="16">
        <f>'[2]комплекты фурнитуры'!$C$62</f>
        <v>620</v>
      </c>
      <c r="V45" s="16">
        <f>'[2]комплекты фурнитуры'!$C$63</f>
        <v>130</v>
      </c>
      <c r="W45" s="16"/>
      <c r="X45" s="16"/>
      <c r="Y45" s="16"/>
      <c r="Z45" s="16"/>
      <c r="AA45" s="16">
        <f>'[2]комплекты фурнитуры'!$C$41</f>
        <v>1600</v>
      </c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7">
        <f>Прайс[[#This Row],[КФ петли SENS накл.110 гр. с крестообр. Планкой]]*2+Прайс[[#This Row],[KFS-SB-45 (посудосушители)]]</f>
        <v>2840</v>
      </c>
      <c r="AY45" s="18">
        <f>Прайс[[#This Row],[KFP-SB-N110]]*2+Прайс[[#This Row],[KFS-SB-45 (посудосушители)]]</f>
        <v>1860</v>
      </c>
      <c r="AZ45" s="18">
        <f>Прайс[[#This Row],[KFP-SB-N110]]*2+Прайс[[#This Row],[KFS-SB-45 (посудосушители)]]</f>
        <v>1860</v>
      </c>
      <c r="BA45" s="19">
        <v>0</v>
      </c>
      <c r="BB45" s="19">
        <v>2</v>
      </c>
      <c r="BC45" s="19" t="s">
        <v>110</v>
      </c>
      <c r="BD45" s="18" t="s">
        <v>96</v>
      </c>
      <c r="BE45" s="19">
        <v>1</v>
      </c>
      <c r="BF45" s="19" t="s">
        <v>110</v>
      </c>
      <c r="BG45" s="19"/>
      <c r="BH45" s="19"/>
      <c r="BI45" s="19">
        <v>1</v>
      </c>
      <c r="BJ45" s="19">
        <v>0</v>
      </c>
      <c r="BK45" s="19">
        <v>0</v>
      </c>
      <c r="BL45" s="19"/>
      <c r="BM45" s="19"/>
      <c r="BN45" s="19"/>
      <c r="BO45" s="19"/>
      <c r="BP45" s="19" t="s">
        <v>94</v>
      </c>
      <c r="BQ45" s="19">
        <f>IF(Прайс[[#This Row],[Наличие подсветки на нижнем горизонте]]="Нет",0,'[2]комплекты фурнитуры'!$C$91)</f>
        <v>0</v>
      </c>
      <c r="BR45"/>
      <c r="BS45"/>
      <c r="BT45"/>
      <c r="BU45"/>
      <c r="BV45"/>
      <c r="BW45"/>
      <c r="BX45"/>
    </row>
    <row r="46" spans="1:76" ht="15" customHeight="1" x14ac:dyDescent="0.25">
      <c r="A46" s="27" t="s">
        <v>202</v>
      </c>
      <c r="B46" s="14" t="s">
        <v>174</v>
      </c>
      <c r="C46" s="14" t="s">
        <v>203</v>
      </c>
      <c r="D46" s="14" t="s">
        <v>99</v>
      </c>
      <c r="E46" s="14" t="s">
        <v>94</v>
      </c>
      <c r="F46" s="14" t="s">
        <v>136</v>
      </c>
      <c r="G46" s="15">
        <v>601</v>
      </c>
      <c r="H46" s="15">
        <v>1250</v>
      </c>
      <c r="I46" s="15">
        <v>600</v>
      </c>
      <c r="J46" s="15">
        <v>600</v>
      </c>
      <c r="K46" s="15">
        <v>315</v>
      </c>
      <c r="L46" s="15">
        <v>350</v>
      </c>
      <c r="M46" s="38">
        <v>1710</v>
      </c>
      <c r="N46" s="18">
        <v>2040</v>
      </c>
      <c r="O46" s="43">
        <v>720</v>
      </c>
      <c r="P46" s="43">
        <v>450</v>
      </c>
      <c r="Q46" s="43">
        <f>IF(OR(Прайс[[#This Row],[Тип]]="Нижний",Прайс[[#This Row],[Тип]]="Пенал"),"560",IF(Прайс[[#This Row],[Тип]]="Верхний",315,0))</f>
        <v>315</v>
      </c>
      <c r="R46" s="20">
        <v>1.095</v>
      </c>
      <c r="S46" s="20">
        <v>1.0649999999999999</v>
      </c>
      <c r="T46" s="20">
        <v>1.3</v>
      </c>
      <c r="U46" s="16">
        <f>'[2]комплекты фурнитуры'!$C$62</f>
        <v>620</v>
      </c>
      <c r="V46" s="16">
        <f>'[2]комплекты фурнитуры'!$C$63</f>
        <v>130</v>
      </c>
      <c r="W46" s="16"/>
      <c r="X46" s="16"/>
      <c r="Y46" s="16"/>
      <c r="Z46" s="16"/>
      <c r="AA46" s="16"/>
      <c r="AB46" s="16">
        <f>'[2]комплекты фурнитуры'!$C$38</f>
        <v>4920</v>
      </c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7">
        <f>Прайс[[#This Row],[КФ петли SENS накл.110 гр. с крестообр. Планкой]]*2+Прайс[[#This Row],[КФ Сушка AFF 600]]</f>
        <v>6160</v>
      </c>
      <c r="AY46" s="18">
        <f>Прайс[[#This Row],[KFP-SB-N110]]*2+Прайс[[#This Row],[КФ Сушка AFF 600]]</f>
        <v>5180</v>
      </c>
      <c r="AZ46" s="18">
        <f>Прайс[[#This Row],[KFP-SB-N110]]*2+Прайс[[#This Row],[КФ Сушка AFF 600]]</f>
        <v>5180</v>
      </c>
      <c r="BA46" s="19">
        <v>0</v>
      </c>
      <c r="BB46" s="19">
        <v>2</v>
      </c>
      <c r="BC46" s="19" t="s">
        <v>110</v>
      </c>
      <c r="BD46" s="18" t="s">
        <v>96</v>
      </c>
      <c r="BE46" s="19">
        <v>1</v>
      </c>
      <c r="BF46" s="19" t="s">
        <v>110</v>
      </c>
      <c r="BG46" s="19"/>
      <c r="BH46" s="19"/>
      <c r="BI46" s="19">
        <v>1</v>
      </c>
      <c r="BJ46" s="19">
        <v>0</v>
      </c>
      <c r="BK46" s="19">
        <v>0</v>
      </c>
      <c r="BL46" s="19"/>
      <c r="BM46" s="19"/>
      <c r="BN46" s="19"/>
      <c r="BO46" s="19"/>
      <c r="BP46" s="19" t="s">
        <v>94</v>
      </c>
      <c r="BQ46" s="19">
        <f>IF(Прайс[[#This Row],[Наличие подсветки на нижнем горизонте]]="Нет",0,'[2]комплекты фурнитуры'!$C$91)</f>
        <v>0</v>
      </c>
      <c r="BR46"/>
      <c r="BS46"/>
      <c r="BT46"/>
      <c r="BU46"/>
      <c r="BV46"/>
      <c r="BW46"/>
      <c r="BX46"/>
    </row>
    <row r="47" spans="1:76" ht="15" customHeight="1" x14ac:dyDescent="0.25">
      <c r="A47" s="27" t="s">
        <v>204</v>
      </c>
      <c r="B47" s="14" t="s">
        <v>174</v>
      </c>
      <c r="C47" s="14" t="s">
        <v>205</v>
      </c>
      <c r="D47" s="14" t="s">
        <v>99</v>
      </c>
      <c r="E47" s="14" t="s">
        <v>94</v>
      </c>
      <c r="F47" s="14" t="s">
        <v>136</v>
      </c>
      <c r="G47" s="15">
        <v>601</v>
      </c>
      <c r="H47" s="15">
        <v>1250</v>
      </c>
      <c r="I47" s="15">
        <v>600</v>
      </c>
      <c r="J47" s="15">
        <v>600</v>
      </c>
      <c r="K47" s="15">
        <v>315</v>
      </c>
      <c r="L47" s="15">
        <v>350</v>
      </c>
      <c r="M47" s="38">
        <v>1710</v>
      </c>
      <c r="N47" s="18">
        <v>2040</v>
      </c>
      <c r="O47" s="43">
        <v>720</v>
      </c>
      <c r="P47" s="43">
        <v>450</v>
      </c>
      <c r="Q47" s="43">
        <f>IF(OR(Прайс[[#This Row],[Тип]]="Нижний",Прайс[[#This Row],[Тип]]="Пенал"),"560",IF(Прайс[[#This Row],[Тип]]="Верхний",315,0))</f>
        <v>315</v>
      </c>
      <c r="R47" s="20">
        <v>1.095</v>
      </c>
      <c r="S47" s="20">
        <v>1.0649999999999999</v>
      </c>
      <c r="T47" s="20">
        <v>1.3</v>
      </c>
      <c r="U47" s="16">
        <f>'[2]комплекты фурнитуры'!$C$62</f>
        <v>620</v>
      </c>
      <c r="V47" s="16">
        <f>'[2]комплекты фурнитуры'!$C$63</f>
        <v>130</v>
      </c>
      <c r="W47" s="16"/>
      <c r="X47" s="16"/>
      <c r="Y47" s="16"/>
      <c r="Z47" s="16"/>
      <c r="AA47" s="16"/>
      <c r="AB47" s="16">
        <f>'[2]комплекты фурнитуры'!$C$38</f>
        <v>4920</v>
      </c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7">
        <f>Прайс[[#This Row],[КФ петли SENS накл.110 гр. с крестообр. Планкой]]*4+Прайс[[#This Row],[КФ Сушка AFF 600]]</f>
        <v>7400</v>
      </c>
      <c r="AY47" s="18">
        <f>Прайс[[#This Row],[KFP-SB-N110]]*4+Прайс[[#This Row],[КФ Сушка AFF 600]]</f>
        <v>5440</v>
      </c>
      <c r="AZ47" s="18">
        <f>Прайс[[#This Row],[KFP-SB-N110]]*4+Прайс[[#This Row],[КФ Сушка AFF 600]]</f>
        <v>5440</v>
      </c>
      <c r="BA47" s="19">
        <v>0</v>
      </c>
      <c r="BB47" s="19">
        <v>2</v>
      </c>
      <c r="BC47" s="19" t="s">
        <v>94</v>
      </c>
      <c r="BD47" s="18" t="s">
        <v>125</v>
      </c>
      <c r="BE47" s="19">
        <v>1</v>
      </c>
      <c r="BF47" s="19" t="s">
        <v>110</v>
      </c>
      <c r="BG47" s="19"/>
      <c r="BH47" s="19"/>
      <c r="BI47" s="19">
        <v>2</v>
      </c>
      <c r="BJ47" s="19">
        <v>0</v>
      </c>
      <c r="BK47" s="19">
        <v>0</v>
      </c>
      <c r="BL47" s="19"/>
      <c r="BM47" s="19"/>
      <c r="BN47" s="19"/>
      <c r="BO47" s="19"/>
      <c r="BP47" s="19" t="s">
        <v>94</v>
      </c>
      <c r="BQ47" s="19">
        <f>IF(Прайс[[#This Row],[Наличие подсветки на нижнем горизонте]]="Нет",0,'[2]комплекты фурнитуры'!$C$91)</f>
        <v>0</v>
      </c>
      <c r="BR47"/>
      <c r="BS47"/>
      <c r="BT47"/>
      <c r="BU47"/>
      <c r="BV47"/>
      <c r="BW47"/>
      <c r="BX47"/>
    </row>
    <row r="48" spans="1:76" ht="15" customHeight="1" x14ac:dyDescent="0.25">
      <c r="A48" s="27" t="s">
        <v>206</v>
      </c>
      <c r="B48" s="14" t="s">
        <v>174</v>
      </c>
      <c r="C48" s="14" t="s">
        <v>207</v>
      </c>
      <c r="D48" s="14" t="s">
        <v>99</v>
      </c>
      <c r="E48" s="14" t="s">
        <v>94</v>
      </c>
      <c r="F48" s="14" t="s">
        <v>136</v>
      </c>
      <c r="G48" s="15">
        <v>601</v>
      </c>
      <c r="H48" s="15">
        <v>1250</v>
      </c>
      <c r="I48" s="15">
        <v>796</v>
      </c>
      <c r="J48" s="15">
        <v>796</v>
      </c>
      <c r="K48" s="15">
        <v>315</v>
      </c>
      <c r="L48" s="15">
        <v>350</v>
      </c>
      <c r="M48" s="38">
        <v>1710</v>
      </c>
      <c r="N48" s="18">
        <v>2040</v>
      </c>
      <c r="O48" s="43">
        <v>720</v>
      </c>
      <c r="P48" s="43">
        <v>450</v>
      </c>
      <c r="Q48" s="43">
        <f>IF(OR(Прайс[[#This Row],[Тип]]="Нижний",Прайс[[#This Row],[Тип]]="Пенал"),"560",IF(Прайс[[#This Row],[Тип]]="Верхний",315,0))</f>
        <v>315</v>
      </c>
      <c r="R48" s="20">
        <v>1.095</v>
      </c>
      <c r="S48" s="20">
        <v>1.0649999999999999</v>
      </c>
      <c r="T48" s="20">
        <v>1.3</v>
      </c>
      <c r="U48" s="16">
        <f>'[2]комплекты фурнитуры'!$C$62</f>
        <v>620</v>
      </c>
      <c r="V48" s="16">
        <f>'[2]комплекты фурнитуры'!$C$63</f>
        <v>130</v>
      </c>
      <c r="W48" s="16"/>
      <c r="X48" s="16"/>
      <c r="Y48" s="16"/>
      <c r="Z48" s="16"/>
      <c r="AA48" s="16"/>
      <c r="AB48" s="16"/>
      <c r="AC48" s="16">
        <f>'[2]комплекты фурнитуры'!$C$39</f>
        <v>5530</v>
      </c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7">
        <f>Прайс[[#This Row],[КФ петли SENS накл.110 гр. с крестообр. Планкой]]*4+Прайс[[#This Row],[КФ Сушка AFF 800]]</f>
        <v>8010</v>
      </c>
      <c r="AY48" s="18">
        <f>Прайс[[#This Row],[KFP-SB-N110]]*4+Прайс[[#This Row],[КФ Сушка AFF 800]]</f>
        <v>6050</v>
      </c>
      <c r="AZ48" s="18">
        <f>Прайс[[#This Row],[KFP-SB-N110]]*4+Прайс[[#This Row],[КФ Сушка AFF 800]]</f>
        <v>6050</v>
      </c>
      <c r="BA48" s="19">
        <v>0</v>
      </c>
      <c r="BB48" s="19">
        <v>2</v>
      </c>
      <c r="BC48" s="19" t="s">
        <v>94</v>
      </c>
      <c r="BD48" s="18" t="s">
        <v>125</v>
      </c>
      <c r="BE48" s="19">
        <v>1</v>
      </c>
      <c r="BF48" s="19" t="s">
        <v>110</v>
      </c>
      <c r="BG48" s="19"/>
      <c r="BH48" s="19"/>
      <c r="BI48" s="19">
        <v>2</v>
      </c>
      <c r="BJ48" s="19">
        <v>0</v>
      </c>
      <c r="BK48" s="19">
        <v>0</v>
      </c>
      <c r="BL48" s="19"/>
      <c r="BM48" s="19"/>
      <c r="BN48" s="19"/>
      <c r="BO48" s="19"/>
      <c r="BP48" s="19" t="s">
        <v>94</v>
      </c>
      <c r="BQ48" s="19">
        <f>IF(Прайс[[#This Row],[Наличие подсветки на нижнем горизонте]]="Нет",0,'[2]комплекты фурнитуры'!$C$91)</f>
        <v>0</v>
      </c>
      <c r="BR48"/>
      <c r="BS48"/>
      <c r="BT48"/>
      <c r="BU48"/>
      <c r="BV48"/>
      <c r="BW48"/>
      <c r="BX48"/>
    </row>
    <row r="49" spans="1:76" ht="15" customHeight="1" x14ac:dyDescent="0.25">
      <c r="A49" s="27" t="s">
        <v>208</v>
      </c>
      <c r="B49" s="14" t="s">
        <v>174</v>
      </c>
      <c r="C49" s="14" t="s">
        <v>209</v>
      </c>
      <c r="D49" s="14" t="s">
        <v>99</v>
      </c>
      <c r="E49" s="14" t="s">
        <v>94</v>
      </c>
      <c r="F49" s="14" t="s">
        <v>136</v>
      </c>
      <c r="G49" s="15">
        <v>601</v>
      </c>
      <c r="H49" s="15">
        <v>1250</v>
      </c>
      <c r="I49" s="15">
        <v>896</v>
      </c>
      <c r="J49" s="15">
        <v>896</v>
      </c>
      <c r="K49" s="15">
        <v>315</v>
      </c>
      <c r="L49" s="15">
        <v>350</v>
      </c>
      <c r="M49" s="38">
        <v>1710</v>
      </c>
      <c r="N49" s="18">
        <v>2040</v>
      </c>
      <c r="O49" s="43">
        <v>720</v>
      </c>
      <c r="P49" s="43">
        <v>450</v>
      </c>
      <c r="Q49" s="43">
        <f>IF(OR(Прайс[[#This Row],[Тип]]="Нижний",Прайс[[#This Row],[Тип]]="Пенал"),"560",IF(Прайс[[#This Row],[Тип]]="Верхний",315,0))</f>
        <v>315</v>
      </c>
      <c r="R49" s="20">
        <v>1.095</v>
      </c>
      <c r="S49" s="20">
        <v>1.0649999999999999</v>
      </c>
      <c r="T49" s="20">
        <v>1.3</v>
      </c>
      <c r="U49" s="16">
        <f>'[2]комплекты фурнитуры'!$C$62</f>
        <v>620</v>
      </c>
      <c r="V49" s="16">
        <f>'[2]комплекты фурнитуры'!$C$63</f>
        <v>130</v>
      </c>
      <c r="W49" s="16"/>
      <c r="X49" s="16"/>
      <c r="Y49" s="16"/>
      <c r="Z49" s="16"/>
      <c r="AA49" s="16"/>
      <c r="AB49" s="16"/>
      <c r="AC49" s="16"/>
      <c r="AD49" s="16">
        <f>'[2]комплекты фурнитуры'!$C$40</f>
        <v>6130</v>
      </c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7">
        <f>Прайс[[#This Row],[КФ петли SENS накл.110 гр. с крестообр. Планкой]]*4+Прайс[[#This Row],[КФ Сушка AFF 900]]</f>
        <v>8610</v>
      </c>
      <c r="AY49" s="18">
        <f>Прайс[[#This Row],[KFP-SB-N110]]*4+Прайс[[#This Row],[КФ Сушка AFF 900]]</f>
        <v>6650</v>
      </c>
      <c r="AZ49" s="18">
        <f>Прайс[[#This Row],[KFP-SB-N110]]*4+Прайс[[#This Row],[КФ Сушка AFF 900]]</f>
        <v>6650</v>
      </c>
      <c r="BA49" s="19">
        <v>0</v>
      </c>
      <c r="BB49" s="19">
        <v>2</v>
      </c>
      <c r="BC49" s="19" t="s">
        <v>94</v>
      </c>
      <c r="BD49" s="18" t="s">
        <v>125</v>
      </c>
      <c r="BE49" s="19">
        <v>1</v>
      </c>
      <c r="BF49" s="19" t="s">
        <v>110</v>
      </c>
      <c r="BG49" s="19"/>
      <c r="BH49" s="19"/>
      <c r="BI49" s="19">
        <v>2</v>
      </c>
      <c r="BJ49" s="19">
        <v>0</v>
      </c>
      <c r="BK49" s="19">
        <v>0</v>
      </c>
      <c r="BL49" s="19"/>
      <c r="BM49" s="19"/>
      <c r="BN49" s="19"/>
      <c r="BO49" s="19"/>
      <c r="BP49" s="19" t="s">
        <v>94</v>
      </c>
      <c r="BQ49" s="19">
        <f>IF(Прайс[[#This Row],[Наличие подсветки на нижнем горизонте]]="Нет",0,'[2]комплекты фурнитуры'!$C$91)</f>
        <v>0</v>
      </c>
      <c r="BR49"/>
      <c r="BS49"/>
      <c r="BT49"/>
      <c r="BU49"/>
      <c r="BV49"/>
      <c r="BW49"/>
      <c r="BX49"/>
    </row>
    <row r="50" spans="1:76" ht="15" customHeight="1" x14ac:dyDescent="0.25">
      <c r="A50" s="27" t="s">
        <v>210</v>
      </c>
      <c r="B50" s="14" t="s">
        <v>174</v>
      </c>
      <c r="C50" s="14" t="s">
        <v>211</v>
      </c>
      <c r="D50" s="14" t="s">
        <v>99</v>
      </c>
      <c r="E50" s="14" t="s">
        <v>94</v>
      </c>
      <c r="F50" s="14" t="s">
        <v>136</v>
      </c>
      <c r="G50" s="15">
        <v>720</v>
      </c>
      <c r="H50" s="15">
        <v>720</v>
      </c>
      <c r="I50" s="15">
        <v>450</v>
      </c>
      <c r="J50" s="15">
        <v>450</v>
      </c>
      <c r="K50" s="15">
        <v>315</v>
      </c>
      <c r="L50" s="15">
        <v>315</v>
      </c>
      <c r="M50" s="38">
        <v>1710</v>
      </c>
      <c r="N50" s="18">
        <v>2040</v>
      </c>
      <c r="O50" s="43">
        <v>720</v>
      </c>
      <c r="P50" s="43">
        <v>450</v>
      </c>
      <c r="Q50" s="43">
        <f>IF(OR(Прайс[[#This Row],[Тип]]="Нижний",Прайс[[#This Row],[Тип]]="Пенал"),"560",IF(Прайс[[#This Row],[Тип]]="Верхний",315,0))</f>
        <v>315</v>
      </c>
      <c r="R50" s="20">
        <v>1.08</v>
      </c>
      <c r="S50" s="20">
        <v>1.0649999999999999</v>
      </c>
      <c r="T50" s="20">
        <v>1.3</v>
      </c>
      <c r="U50" s="16"/>
      <c r="V50" s="16"/>
      <c r="W50" s="16"/>
      <c r="X50" s="16"/>
      <c r="Y50" s="16"/>
      <c r="Z50" s="16"/>
      <c r="AA50" s="16">
        <f>'[2]комплекты фурнитуры'!$C$41</f>
        <v>1600</v>
      </c>
      <c r="AB50" s="16"/>
      <c r="AC50" s="16"/>
      <c r="AD50" s="16"/>
      <c r="AE50" s="16"/>
      <c r="AF50" s="16"/>
      <c r="AG50" s="16"/>
      <c r="AH50" s="16">
        <f>'[2]комплекты фурнитуры'!$C$69</f>
        <v>13990</v>
      </c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7">
        <f>Прайс[[#This Row],[KFS-SB-45 (посудосушители)]]+Прайс[[#This Row],[KFP-SB-PPHF_W]]</f>
        <v>15590</v>
      </c>
      <c r="AY50" s="17">
        <f>Прайс[[#This Row],[KFS-SB-45 (посудосушители)]]+Прайс[[#This Row],[KFP-SB-PPHF_W]]</f>
        <v>15590</v>
      </c>
      <c r="AZ50" s="17">
        <f>Прайс[[#This Row],[KFS-SB-45 (посудосушители)]]+Прайс[[#This Row],[KFP-SB-PPHF_W]]</f>
        <v>15590</v>
      </c>
      <c r="BA50" s="19">
        <v>0</v>
      </c>
      <c r="BB50" s="19">
        <v>0</v>
      </c>
      <c r="BC50" s="19" t="s">
        <v>94</v>
      </c>
      <c r="BD50" s="18" t="s">
        <v>137</v>
      </c>
      <c r="BE50" s="19">
        <v>0</v>
      </c>
      <c r="BF50" s="19" t="s">
        <v>94</v>
      </c>
      <c r="BG50" s="19"/>
      <c r="BH50" s="19"/>
      <c r="BI50" s="19">
        <v>2</v>
      </c>
      <c r="BJ50" s="19">
        <v>0</v>
      </c>
      <c r="BK50" s="19">
        <v>0</v>
      </c>
      <c r="BL50" s="19"/>
      <c r="BM50" s="19"/>
      <c r="BN50" s="19"/>
      <c r="BO50" s="19"/>
      <c r="BP50" s="19" t="s">
        <v>94</v>
      </c>
      <c r="BQ50" s="19">
        <f>IF(Прайс[[#This Row],[Наличие подсветки на нижнем горизонте]]="Нет",0,'[2]комплекты фурнитуры'!$C$91)</f>
        <v>0</v>
      </c>
      <c r="BR50"/>
      <c r="BS50"/>
      <c r="BT50"/>
      <c r="BU50"/>
      <c r="BV50"/>
      <c r="BW50"/>
      <c r="BX50"/>
    </row>
    <row r="51" spans="1:76" ht="15" customHeight="1" x14ac:dyDescent="0.25">
      <c r="A51" s="29" t="s">
        <v>212</v>
      </c>
      <c r="B51" s="14" t="s">
        <v>174</v>
      </c>
      <c r="C51" s="14" t="s">
        <v>213</v>
      </c>
      <c r="D51" s="14" t="s">
        <v>99</v>
      </c>
      <c r="E51" s="14" t="s">
        <v>94</v>
      </c>
      <c r="F51" s="14" t="s">
        <v>136</v>
      </c>
      <c r="G51" s="15">
        <v>240</v>
      </c>
      <c r="H51" s="15">
        <v>600</v>
      </c>
      <c r="I51" s="15">
        <v>446</v>
      </c>
      <c r="J51" s="15">
        <v>446</v>
      </c>
      <c r="K51" s="15">
        <v>315</v>
      </c>
      <c r="L51" s="15">
        <v>360</v>
      </c>
      <c r="M51" s="38">
        <v>1710</v>
      </c>
      <c r="N51" s="18">
        <v>2130</v>
      </c>
      <c r="O51" s="43">
        <v>720</v>
      </c>
      <c r="P51" s="43">
        <v>300</v>
      </c>
      <c r="Q51" s="43">
        <f>IF(OR(Прайс[[#This Row],[Тип]]="Нижний",Прайс[[#This Row],[Тип]]="Пенал"),"560",IF(Прайс[[#This Row],[Тип]]="Верхний",315,0))</f>
        <v>315</v>
      </c>
      <c r="R51" s="20">
        <v>1.08</v>
      </c>
      <c r="S51" s="20">
        <v>1.0649999999999999</v>
      </c>
      <c r="T51" s="20">
        <v>1.3</v>
      </c>
      <c r="U51" s="16"/>
      <c r="V51" s="16"/>
      <c r="W51" s="16"/>
      <c r="X51" s="16"/>
      <c r="Y51" s="16"/>
      <c r="Z51" s="16"/>
      <c r="AA51" s="16">
        <f>'[2]комплекты фурнитуры'!D49</f>
        <v>1000</v>
      </c>
      <c r="AB51" s="16"/>
      <c r="AC51" s="16"/>
      <c r="AD51" s="16"/>
      <c r="AE51" s="16">
        <f>'[2]комплекты фурнитуры'!$C$67</f>
        <v>6080</v>
      </c>
      <c r="AF51" s="16">
        <f>'[2]комплекты фурнитуры'!$C$68</f>
        <v>6940</v>
      </c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7">
        <f>Прайс[[#This Row],[KFP-SP-PPGK]]+Прайс[[#This Row],[KFS-SB-45 (посудосушители)]]</f>
        <v>7080</v>
      </c>
      <c r="AY51" s="17">
        <f>Прайс[[#This Row],[KFP-SP-PPGK]]+Прайс[[#This Row],[KFS-SB-45 (посудосушители)]]</f>
        <v>7080</v>
      </c>
      <c r="AZ51" s="17">
        <f>Прайс[[#This Row],[KFP-SP-PPGK]]+Прайс[[#This Row],[KFS-SB-45 (посудосушители)]]</f>
        <v>7080</v>
      </c>
      <c r="BA51" s="19">
        <v>0</v>
      </c>
      <c r="BB51" s="19">
        <v>0</v>
      </c>
      <c r="BC51" s="19" t="s">
        <v>94</v>
      </c>
      <c r="BD51" s="18" t="s">
        <v>137</v>
      </c>
      <c r="BE51" s="19">
        <v>0</v>
      </c>
      <c r="BF51" s="19" t="s">
        <v>94</v>
      </c>
      <c r="BG51" s="19"/>
      <c r="BH51" s="19"/>
      <c r="BI51" s="19">
        <v>1</v>
      </c>
      <c r="BJ51" s="19">
        <v>0</v>
      </c>
      <c r="BK51" s="19">
        <v>0</v>
      </c>
      <c r="BL51" s="19"/>
      <c r="BM51" s="19"/>
      <c r="BN51" s="19"/>
      <c r="BO51" s="19"/>
      <c r="BP51" s="19" t="s">
        <v>94</v>
      </c>
      <c r="BQ51" s="19">
        <f>IF(Прайс[[#This Row],[Наличие подсветки на нижнем горизонте]]="Нет",0,'[2]комплекты фурнитуры'!$C$91)</f>
        <v>0</v>
      </c>
      <c r="BR51"/>
      <c r="BS51"/>
      <c r="BT51"/>
      <c r="BU51"/>
      <c r="BV51"/>
      <c r="BW51"/>
      <c r="BX51"/>
    </row>
    <row r="52" spans="1:76" ht="15" customHeight="1" x14ac:dyDescent="0.25">
      <c r="A52" s="29" t="s">
        <v>214</v>
      </c>
      <c r="B52" s="14" t="s">
        <v>174</v>
      </c>
      <c r="C52" s="14" t="s">
        <v>215</v>
      </c>
      <c r="D52" s="14" t="s">
        <v>99</v>
      </c>
      <c r="E52" s="14" t="s">
        <v>94</v>
      </c>
      <c r="F52" s="14" t="s">
        <v>136</v>
      </c>
      <c r="G52" s="15">
        <v>240</v>
      </c>
      <c r="H52" s="15">
        <v>600</v>
      </c>
      <c r="I52" s="15">
        <v>596</v>
      </c>
      <c r="J52" s="15">
        <v>596</v>
      </c>
      <c r="K52" s="15">
        <v>315</v>
      </c>
      <c r="L52" s="15">
        <v>360</v>
      </c>
      <c r="M52" s="38">
        <v>1710</v>
      </c>
      <c r="N52" s="18">
        <v>2130</v>
      </c>
      <c r="O52" s="43">
        <v>720</v>
      </c>
      <c r="P52" s="43">
        <v>300</v>
      </c>
      <c r="Q52" s="43">
        <f>IF(OR(Прайс[[#This Row],[Тип]]="Нижний",Прайс[[#This Row],[Тип]]="Пенал"),"560",IF(Прайс[[#This Row],[Тип]]="Верхний",315,0))</f>
        <v>315</v>
      </c>
      <c r="R52" s="20">
        <v>1.08</v>
      </c>
      <c r="S52" s="20">
        <v>1.0649999999999999</v>
      </c>
      <c r="T52" s="20">
        <v>1.3</v>
      </c>
      <c r="U52" s="16"/>
      <c r="V52" s="16"/>
      <c r="W52" s="16"/>
      <c r="X52" s="16"/>
      <c r="Y52" s="16"/>
      <c r="Z52" s="16"/>
      <c r="AA52" s="16"/>
      <c r="AB52" s="16">
        <f>'[2]комплекты фурнитуры'!D50</f>
        <v>1000</v>
      </c>
      <c r="AC52" s="16"/>
      <c r="AD52" s="16"/>
      <c r="AE52" s="16">
        <f>'[2]комплекты фурнитуры'!$C$67</f>
        <v>6080</v>
      </c>
      <c r="AF52" s="16">
        <f>'[2]комплекты фурнитуры'!$C$68</f>
        <v>6940</v>
      </c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7">
        <f>Прайс[[#This Row],[KFP-SP-PPGK]]+Прайс[[#This Row],[КФ Сушка AFF 600]]</f>
        <v>7080</v>
      </c>
      <c r="AY52" s="17">
        <f>Прайс[[#This Row],[KFP-SP-PPGK]]+Прайс[[#This Row],[КФ Сушка AFF 600]]</f>
        <v>7080</v>
      </c>
      <c r="AZ52" s="17">
        <f>Прайс[[#This Row],[KFP-SP-PPGK]]+Прайс[[#This Row],[КФ Сушка AFF 600]]</f>
        <v>7080</v>
      </c>
      <c r="BA52" s="19">
        <v>0</v>
      </c>
      <c r="BB52" s="19">
        <v>0</v>
      </c>
      <c r="BC52" s="19" t="s">
        <v>94</v>
      </c>
      <c r="BD52" s="18" t="s">
        <v>137</v>
      </c>
      <c r="BE52" s="19">
        <v>0</v>
      </c>
      <c r="BF52" s="19" t="s">
        <v>94</v>
      </c>
      <c r="BG52" s="19"/>
      <c r="BH52" s="19"/>
      <c r="BI52" s="19">
        <v>1</v>
      </c>
      <c r="BJ52" s="19">
        <v>0</v>
      </c>
      <c r="BK52" s="19">
        <v>0</v>
      </c>
      <c r="BL52" s="19"/>
      <c r="BM52" s="19"/>
      <c r="BN52" s="19"/>
      <c r="BO52" s="19"/>
      <c r="BP52" s="19" t="s">
        <v>94</v>
      </c>
      <c r="BQ52" s="19">
        <f>IF(Прайс[[#This Row],[Наличие подсветки на нижнем горизонте]]="Нет",0,'[2]комплекты фурнитуры'!$C$91)</f>
        <v>0</v>
      </c>
      <c r="BR52"/>
      <c r="BS52"/>
      <c r="BT52"/>
      <c r="BU52"/>
      <c r="BV52"/>
      <c r="BW52"/>
      <c r="BX52"/>
    </row>
    <row r="53" spans="1:76" ht="15" customHeight="1" x14ac:dyDescent="0.25">
      <c r="A53" s="29" t="s">
        <v>216</v>
      </c>
      <c r="B53" s="14" t="s">
        <v>174</v>
      </c>
      <c r="C53" s="14" t="s">
        <v>217</v>
      </c>
      <c r="D53" s="14" t="s">
        <v>99</v>
      </c>
      <c r="E53" s="14" t="s">
        <v>94</v>
      </c>
      <c r="F53" s="14" t="s">
        <v>136</v>
      </c>
      <c r="G53" s="15">
        <v>240</v>
      </c>
      <c r="H53" s="15">
        <v>600</v>
      </c>
      <c r="I53" s="15">
        <v>896</v>
      </c>
      <c r="J53" s="15">
        <v>896</v>
      </c>
      <c r="K53" s="15">
        <v>315</v>
      </c>
      <c r="L53" s="15">
        <v>360</v>
      </c>
      <c r="M53" s="38">
        <v>1710</v>
      </c>
      <c r="N53" s="18">
        <v>2130</v>
      </c>
      <c r="O53" s="43">
        <v>720</v>
      </c>
      <c r="P53" s="43">
        <v>300</v>
      </c>
      <c r="Q53" s="43">
        <f>IF(OR(Прайс[[#This Row],[Тип]]="Нижний",Прайс[[#This Row],[Тип]]="Пенал"),"560",IF(Прайс[[#This Row],[Тип]]="Верхний",315,0))</f>
        <v>315</v>
      </c>
      <c r="R53" s="20">
        <v>1.08</v>
      </c>
      <c r="S53" s="20">
        <v>1.0649999999999999</v>
      </c>
      <c r="T53" s="20">
        <v>1.3</v>
      </c>
      <c r="U53" s="16"/>
      <c r="V53" s="16"/>
      <c r="W53" s="16"/>
      <c r="X53" s="16"/>
      <c r="Y53" s="16"/>
      <c r="Z53" s="16"/>
      <c r="AA53" s="16"/>
      <c r="AB53" s="16">
        <f>'[2]комплекты фурнитуры'!D51</f>
        <v>1000</v>
      </c>
      <c r="AC53" s="16"/>
      <c r="AD53" s="16"/>
      <c r="AE53" s="16">
        <f>'[2]комплекты фурнитуры'!$C$67</f>
        <v>6080</v>
      </c>
      <c r="AF53" s="16">
        <f>'[2]комплекты фурнитуры'!$C$68</f>
        <v>6940</v>
      </c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7">
        <f>Прайс[[#This Row],[KFP-SP-PPGK]]+Прайс[[#This Row],[КФ Сушка AFF 600]]</f>
        <v>7080</v>
      </c>
      <c r="AY53" s="17">
        <f>Прайс[[#This Row],[KFP-SP-PPGK]]+Прайс[[#This Row],[КФ Сушка AFF 600]]</f>
        <v>7080</v>
      </c>
      <c r="AZ53" s="17">
        <f>Прайс[[#This Row],[KFP-SP-PPGK]]+Прайс[[#This Row],[КФ Сушка AFF 600]]</f>
        <v>7080</v>
      </c>
      <c r="BA53" s="19">
        <v>0</v>
      </c>
      <c r="BB53" s="19">
        <v>0</v>
      </c>
      <c r="BC53" s="19" t="s">
        <v>94</v>
      </c>
      <c r="BD53" s="18" t="s">
        <v>137</v>
      </c>
      <c r="BE53" s="19">
        <v>0</v>
      </c>
      <c r="BF53" s="19" t="s">
        <v>94</v>
      </c>
      <c r="BG53" s="19"/>
      <c r="BH53" s="19"/>
      <c r="BI53" s="19">
        <v>1</v>
      </c>
      <c r="BJ53" s="19">
        <v>0</v>
      </c>
      <c r="BK53" s="19">
        <v>0</v>
      </c>
      <c r="BL53" s="19"/>
      <c r="BM53" s="19"/>
      <c r="BN53" s="19"/>
      <c r="BO53" s="19"/>
      <c r="BP53" s="19" t="s">
        <v>94</v>
      </c>
      <c r="BQ53" s="19">
        <f>IF(Прайс[[#This Row],[Наличие подсветки на нижнем горизонте]]="Нет",0,'[2]комплекты фурнитуры'!$C$91)</f>
        <v>0</v>
      </c>
      <c r="BR53"/>
      <c r="BS53"/>
      <c r="BT53"/>
      <c r="BU53"/>
      <c r="BV53"/>
      <c r="BW53"/>
      <c r="BX53"/>
    </row>
    <row r="54" spans="1:76" ht="15" customHeight="1" x14ac:dyDescent="0.25">
      <c r="A54" s="27" t="s">
        <v>218</v>
      </c>
      <c r="B54" s="14" t="s">
        <v>174</v>
      </c>
      <c r="C54" s="14" t="s">
        <v>219</v>
      </c>
      <c r="D54" s="14" t="s">
        <v>147</v>
      </c>
      <c r="E54" s="14" t="s">
        <v>94</v>
      </c>
      <c r="F54" s="14" t="s">
        <v>95</v>
      </c>
      <c r="G54" s="15">
        <v>480</v>
      </c>
      <c r="H54" s="15">
        <v>960</v>
      </c>
      <c r="I54" s="15">
        <v>315</v>
      </c>
      <c r="J54" s="15">
        <v>315</v>
      </c>
      <c r="K54" s="15">
        <v>315</v>
      </c>
      <c r="L54" s="15">
        <v>315</v>
      </c>
      <c r="M54" s="38">
        <v>2120</v>
      </c>
      <c r="N54" s="18">
        <v>2530</v>
      </c>
      <c r="O54" s="43">
        <v>720</v>
      </c>
      <c r="P54" s="43">
        <v>315</v>
      </c>
      <c r="Q54" s="43">
        <f>IF(OR(Прайс[[#This Row],[Тип]]="Нижний",Прайс[[#This Row],[Тип]]="Пенал"),"560",IF(Прайс[[#This Row],[Тип]]="Верхний",315,0))</f>
        <v>315</v>
      </c>
      <c r="R54" s="20">
        <v>1.08</v>
      </c>
      <c r="S54" s="20">
        <v>1.0649999999999999</v>
      </c>
      <c r="T54" s="20">
        <v>0</v>
      </c>
      <c r="U54" s="16">
        <f>'[2]комплекты фурнитуры'!$C$62</f>
        <v>620</v>
      </c>
      <c r="V54" s="16">
        <f>'[2]комплекты фурнитуры'!$C$63</f>
        <v>130</v>
      </c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7" t="e">
        <f>#REF!*2+Прайс[[#This Row],[КФ петли SENS накл.110 гр. с крестообр. Планкой]]*2</f>
        <v>#REF!</v>
      </c>
      <c r="AY54" s="18" t="e">
        <f>#REF!*2+Прайс[[#This Row],[KFP-SB-N110]]*2</f>
        <v>#REF!</v>
      </c>
      <c r="AZ54" s="18" t="e">
        <f>#REF!*2+Прайс[[#This Row],[KFP-SB-N110]]*2</f>
        <v>#REF!</v>
      </c>
      <c r="BA54" s="19">
        <v>0</v>
      </c>
      <c r="BB54" s="19">
        <v>0</v>
      </c>
      <c r="BC54" s="19" t="s">
        <v>94</v>
      </c>
      <c r="BD54" s="18" t="s">
        <v>96</v>
      </c>
      <c r="BE54" s="19">
        <v>0</v>
      </c>
      <c r="BF54" s="19" t="s">
        <v>94</v>
      </c>
      <c r="BG54" s="19"/>
      <c r="BH54" s="19"/>
      <c r="BI54" s="19">
        <v>1</v>
      </c>
      <c r="BJ54" s="19">
        <v>0</v>
      </c>
      <c r="BK54" s="19">
        <v>0</v>
      </c>
      <c r="BL54" s="19"/>
      <c r="BM54" s="19"/>
      <c r="BN54" s="19"/>
      <c r="BO54" s="19"/>
      <c r="BP54" s="19" t="s">
        <v>94</v>
      </c>
      <c r="BQ54" s="19">
        <f>IF(Прайс[[#This Row],[Наличие подсветки на нижнем горизонте]]="Нет",0,'[2]комплекты фурнитуры'!$C$91)</f>
        <v>0</v>
      </c>
      <c r="BR54"/>
      <c r="BS54"/>
      <c r="BT54"/>
      <c r="BU54"/>
      <c r="BV54"/>
      <c r="BW54"/>
      <c r="BX54"/>
    </row>
    <row r="55" spans="1:76" ht="15" customHeight="1" x14ac:dyDescent="0.25">
      <c r="A55" s="27" t="s">
        <v>220</v>
      </c>
      <c r="B55" s="14" t="s">
        <v>174</v>
      </c>
      <c r="C55" s="14" t="s">
        <v>221</v>
      </c>
      <c r="D55" s="14" t="s">
        <v>99</v>
      </c>
      <c r="E55" s="14" t="s">
        <v>110</v>
      </c>
      <c r="F55" s="14" t="s">
        <v>95</v>
      </c>
      <c r="G55" s="15">
        <v>360</v>
      </c>
      <c r="H55" s="15">
        <v>1250</v>
      </c>
      <c r="I55" s="15">
        <v>150</v>
      </c>
      <c r="J55" s="15">
        <v>600</v>
      </c>
      <c r="K55" s="15">
        <v>250</v>
      </c>
      <c r="L55" s="15">
        <v>560</v>
      </c>
      <c r="M55" s="38">
        <v>1780</v>
      </c>
      <c r="N55" s="18">
        <v>2130</v>
      </c>
      <c r="O55" s="43">
        <v>720</v>
      </c>
      <c r="P55" s="43">
        <v>300</v>
      </c>
      <c r="Q55" s="43">
        <f>IF(OR(Прайс[[#This Row],[Тип]]="Нижний",Прайс[[#This Row],[Тип]]="Пенал"),"560",IF(Прайс[[#This Row],[Тип]]="Верхний",315,0))</f>
        <v>315</v>
      </c>
      <c r="R55" s="20">
        <v>1.08</v>
      </c>
      <c r="S55" s="20">
        <v>1.0649999999999999</v>
      </c>
      <c r="T55" s="20">
        <v>1.3</v>
      </c>
      <c r="U55" s="16">
        <f>'[2]комплекты фурнитуры'!$C$62</f>
        <v>620</v>
      </c>
      <c r="V55" s="16">
        <f>'[2]комплекты фурнитуры'!$C$63</f>
        <v>130</v>
      </c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>
        <f>'[2]комплекты фурнитуры'!$C$81</f>
        <v>1110</v>
      </c>
      <c r="AX55" s="17" t="e">
        <f>#REF!*2+Прайс[[#This Row],[КФ петли SENS накл.110 гр. с крестообр. Планкой]]*2</f>
        <v>#REF!</v>
      </c>
      <c r="AY55" s="18" t="e">
        <f>#REF!*2+Прайс[[#This Row],[KFP-SB-N110]]*2</f>
        <v>#REF!</v>
      </c>
      <c r="AZ55" s="18" t="e">
        <f>#REF!*2+Прайс[[#This Row],[KFP-SB-N110]]*2</f>
        <v>#REF!</v>
      </c>
      <c r="BA55" s="19">
        <v>0</v>
      </c>
      <c r="BB55" s="19">
        <v>3</v>
      </c>
      <c r="BC55" s="19" t="s">
        <v>94</v>
      </c>
      <c r="BD55" s="18" t="s">
        <v>125</v>
      </c>
      <c r="BE55" s="19">
        <v>1</v>
      </c>
      <c r="BF55" s="19" t="s">
        <v>110</v>
      </c>
      <c r="BG55" s="19"/>
      <c r="BH55" s="19"/>
      <c r="BI55" s="19">
        <v>1</v>
      </c>
      <c r="BJ55" s="19">
        <v>0</v>
      </c>
      <c r="BK55" s="19">
        <v>0</v>
      </c>
      <c r="BL55" s="19"/>
      <c r="BM55" s="19"/>
      <c r="BN55" s="19"/>
      <c r="BO55" s="19"/>
      <c r="BP55" s="19" t="s">
        <v>110</v>
      </c>
      <c r="BQ55" s="19">
        <f>IF(Прайс[[#This Row],[Наличие подсветки на нижнем горизонте]]="Нет",0,'[2]комплекты фурнитуры'!$C$91)</f>
        <v>400</v>
      </c>
      <c r="BR55"/>
      <c r="BS55"/>
      <c r="BT55"/>
      <c r="BU55"/>
      <c r="BV55"/>
      <c r="BW55"/>
      <c r="BX55"/>
    </row>
    <row r="56" spans="1:76" ht="15" customHeight="1" x14ac:dyDescent="0.25">
      <c r="A56" s="27" t="s">
        <v>222</v>
      </c>
      <c r="B56" s="14" t="s">
        <v>174</v>
      </c>
      <c r="C56" s="14" t="s">
        <v>223</v>
      </c>
      <c r="D56" s="14" t="s">
        <v>99</v>
      </c>
      <c r="E56" s="14" t="s">
        <v>110</v>
      </c>
      <c r="F56" s="14" t="s">
        <v>95</v>
      </c>
      <c r="G56" s="15">
        <v>360</v>
      </c>
      <c r="H56" s="15">
        <v>1250</v>
      </c>
      <c r="I56" s="15">
        <v>400</v>
      </c>
      <c r="J56" s="15">
        <v>900</v>
      </c>
      <c r="K56" s="15">
        <v>250</v>
      </c>
      <c r="L56" s="15">
        <v>560</v>
      </c>
      <c r="M56" s="38">
        <v>1780</v>
      </c>
      <c r="N56" s="18">
        <v>2130</v>
      </c>
      <c r="O56" s="43">
        <v>720</v>
      </c>
      <c r="P56" s="43">
        <v>300</v>
      </c>
      <c r="Q56" s="43">
        <f>IF(OR(Прайс[[#This Row],[Тип]]="Нижний",Прайс[[#This Row],[Тип]]="Пенал"),"560",IF(Прайс[[#This Row],[Тип]]="Верхний",315,0))</f>
        <v>315</v>
      </c>
      <c r="R56" s="20">
        <v>1.08</v>
      </c>
      <c r="S56" s="20">
        <v>1.0649999999999999</v>
      </c>
      <c r="T56" s="20">
        <v>1.3</v>
      </c>
      <c r="U56" s="16">
        <f>'[2]комплекты фурнитуры'!$C$62</f>
        <v>620</v>
      </c>
      <c r="V56" s="16">
        <f>'[2]комплекты фурнитуры'!$C$63</f>
        <v>130</v>
      </c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>
        <f>'[2]комплекты фурнитуры'!$C$81</f>
        <v>1110</v>
      </c>
      <c r="AX56" s="17" t="e">
        <f>#REF!*2+Прайс[[#This Row],[КФ петли SENS накл.110 гр. с крестообр. Планкой]]*4</f>
        <v>#REF!</v>
      </c>
      <c r="AY56" s="18" t="e">
        <f>#REF!*2+Прайс[[#This Row],[KFP-SB-N110]]*4</f>
        <v>#REF!</v>
      </c>
      <c r="AZ56" s="18" t="e">
        <f>#REF!*2+Прайс[[#This Row],[KFP-SB-N110]]*4</f>
        <v>#REF!</v>
      </c>
      <c r="BA56" s="19">
        <v>0</v>
      </c>
      <c r="BB56" s="19">
        <v>3</v>
      </c>
      <c r="BC56" s="19" t="s">
        <v>94</v>
      </c>
      <c r="BD56" s="18" t="s">
        <v>125</v>
      </c>
      <c r="BE56" s="19">
        <v>1</v>
      </c>
      <c r="BF56" s="19" t="s">
        <v>110</v>
      </c>
      <c r="BG56" s="19"/>
      <c r="BH56" s="19"/>
      <c r="BI56" s="19">
        <v>2</v>
      </c>
      <c r="BJ56" s="19">
        <v>0</v>
      </c>
      <c r="BK56" s="19">
        <v>0</v>
      </c>
      <c r="BL56" s="19"/>
      <c r="BM56" s="19"/>
      <c r="BN56" s="19"/>
      <c r="BO56" s="19"/>
      <c r="BP56" s="19" t="s">
        <v>110</v>
      </c>
      <c r="BQ56" s="19">
        <f>IF(Прайс[[#This Row],[Наличие подсветки на нижнем горизонте]]="Нет",0,'[2]комплекты фурнитуры'!$C$91)</f>
        <v>400</v>
      </c>
      <c r="BR56"/>
      <c r="BS56"/>
      <c r="BT56"/>
      <c r="BU56"/>
      <c r="BV56"/>
      <c r="BW56"/>
      <c r="BX56"/>
    </row>
    <row r="57" spans="1:76" ht="15" customHeight="1" x14ac:dyDescent="0.25">
      <c r="A57" s="27" t="s">
        <v>224</v>
      </c>
      <c r="B57" s="14" t="s">
        <v>174</v>
      </c>
      <c r="C57" s="14" t="s">
        <v>225</v>
      </c>
      <c r="D57" s="14" t="s">
        <v>99</v>
      </c>
      <c r="E57" s="14" t="s">
        <v>110</v>
      </c>
      <c r="F57" s="14" t="s">
        <v>183</v>
      </c>
      <c r="G57" s="15">
        <v>720</v>
      </c>
      <c r="H57" s="15">
        <v>720</v>
      </c>
      <c r="I57" s="15">
        <v>400</v>
      </c>
      <c r="J57" s="15">
        <v>900</v>
      </c>
      <c r="K57" s="15">
        <v>300</v>
      </c>
      <c r="L57" s="15">
        <v>400</v>
      </c>
      <c r="M57" s="38">
        <v>1780</v>
      </c>
      <c r="N57" s="18">
        <v>2130</v>
      </c>
      <c r="O57" s="43">
        <v>720</v>
      </c>
      <c r="P57" s="43">
        <v>300</v>
      </c>
      <c r="Q57" s="43">
        <f>IF(OR(Прайс[[#This Row],[Тип]]="Нижний",Прайс[[#This Row],[Тип]]="Пенал"),"560",IF(Прайс[[#This Row],[Тип]]="Верхний",315,0))</f>
        <v>315</v>
      </c>
      <c r="R57" s="20">
        <v>1.08</v>
      </c>
      <c r="S57" s="20">
        <v>1.0649999999999999</v>
      </c>
      <c r="T57" s="20">
        <v>1.3</v>
      </c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>
        <f>'[2]комплекты фурнитуры'!$C$69</f>
        <v>13990</v>
      </c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>
        <f>'[2]комплекты фурнитуры'!$C$81</f>
        <v>1110</v>
      </c>
      <c r="AX57" s="17">
        <f>Прайс[[#This Row],[KFP-SB-PPHF_W]]</f>
        <v>13990</v>
      </c>
      <c r="AY57" s="17">
        <f>Прайс[[#This Row],[KFP-SB-PPHF_W]]</f>
        <v>13990</v>
      </c>
      <c r="AZ57" s="17">
        <f>Прайс[[#This Row],[KFP-SB-PPHF_W]]</f>
        <v>13990</v>
      </c>
      <c r="BA57" s="19">
        <v>1</v>
      </c>
      <c r="BB57" s="19">
        <v>1</v>
      </c>
      <c r="BC57" s="19" t="s">
        <v>94</v>
      </c>
      <c r="BD57" s="18" t="s">
        <v>137</v>
      </c>
      <c r="BE57" s="19">
        <v>1</v>
      </c>
      <c r="BF57" s="19" t="s">
        <v>110</v>
      </c>
      <c r="BG57" s="19"/>
      <c r="BH57" s="19"/>
      <c r="BI57" s="19">
        <v>2</v>
      </c>
      <c r="BJ57" s="19">
        <v>0</v>
      </c>
      <c r="BK57" s="19">
        <v>0</v>
      </c>
      <c r="BL57" s="19"/>
      <c r="BM57" s="19"/>
      <c r="BN57" s="19"/>
      <c r="BO57" s="19"/>
      <c r="BP57" s="19" t="s">
        <v>110</v>
      </c>
      <c r="BQ57" s="19">
        <f>IF(Прайс[[#This Row],[Наличие подсветки на нижнем горизонте]]="Нет",0,'[2]комплекты фурнитуры'!$C$91)</f>
        <v>400</v>
      </c>
      <c r="BR57"/>
      <c r="BS57"/>
      <c r="BT57"/>
      <c r="BU57"/>
      <c r="BV57"/>
      <c r="BW57"/>
      <c r="BX57"/>
    </row>
    <row r="58" spans="1:76" s="5" customFormat="1" ht="15" customHeight="1" x14ac:dyDescent="0.25">
      <c r="A58" s="27" t="s">
        <v>226</v>
      </c>
      <c r="B58" s="14" t="s">
        <v>174</v>
      </c>
      <c r="C58" s="14" t="s">
        <v>227</v>
      </c>
      <c r="D58" s="14" t="s">
        <v>115</v>
      </c>
      <c r="E58" s="14" t="s">
        <v>110</v>
      </c>
      <c r="F58" s="14" t="s">
        <v>95</v>
      </c>
      <c r="G58" s="15">
        <v>360</v>
      </c>
      <c r="H58" s="15">
        <v>1250</v>
      </c>
      <c r="I58" s="15">
        <v>595</v>
      </c>
      <c r="J58" s="15">
        <v>1000</v>
      </c>
      <c r="K58" s="15">
        <v>315</v>
      </c>
      <c r="L58" s="15">
        <v>560</v>
      </c>
      <c r="M58" s="38">
        <v>2960</v>
      </c>
      <c r="N58" s="18">
        <v>3560</v>
      </c>
      <c r="O58" s="43">
        <v>720</v>
      </c>
      <c r="P58" s="43">
        <v>600</v>
      </c>
      <c r="Q58" s="43">
        <f>IF(OR(Прайс[[#This Row],[Тип]]="Нижний",Прайс[[#This Row],[Тип]]="Пенал"),"560",IF(Прайс[[#This Row],[Тип]]="Верхний",315,0))</f>
        <v>315</v>
      </c>
      <c r="R58" s="20">
        <v>1.08</v>
      </c>
      <c r="S58" s="20">
        <v>1.0649999999999999</v>
      </c>
      <c r="T58" s="20">
        <v>0</v>
      </c>
      <c r="U58" s="16"/>
      <c r="V58" s="16"/>
      <c r="W58" s="16">
        <f>'[2]комплекты фурнитуры'!$C$56</f>
        <v>1300</v>
      </c>
      <c r="X58" s="16">
        <f>'[2]комплекты фурнитуры'!$C$58</f>
        <v>480</v>
      </c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>
        <f>'[2]комплекты фурнитуры'!$C$81</f>
        <v>1110</v>
      </c>
      <c r="AX58" s="17" t="e">
        <f>#REF!+Прайс[[#This Row],[КФ петли вклад. 95 гр. с крестообр. планкой]]*2</f>
        <v>#REF!</v>
      </c>
      <c r="AY58" s="18">
        <f>Прайс[[#This Row],[KFP-SB-PY94]]*2</f>
        <v>960</v>
      </c>
      <c r="AZ58" s="18">
        <f>Прайс[[#This Row],[KFP-SB-PY94]]*2</f>
        <v>960</v>
      </c>
      <c r="BA58" s="19">
        <v>1</v>
      </c>
      <c r="BB58" s="19">
        <v>3</v>
      </c>
      <c r="BC58" s="19" t="s">
        <v>94</v>
      </c>
      <c r="BD58" s="18" t="s">
        <v>125</v>
      </c>
      <c r="BE58" s="19">
        <v>1</v>
      </c>
      <c r="BF58" s="19" t="s">
        <v>94</v>
      </c>
      <c r="BG58" s="19"/>
      <c r="BH58" s="19"/>
      <c r="BI58" s="19">
        <v>1</v>
      </c>
      <c r="BJ58" s="19">
        <v>0</v>
      </c>
      <c r="BK58" s="19">
        <v>0</v>
      </c>
      <c r="BL58" s="19"/>
      <c r="BM58" s="19"/>
      <c r="BN58" s="19"/>
      <c r="BO58" s="19"/>
      <c r="BP58" s="19" t="s">
        <v>110</v>
      </c>
      <c r="BQ58" s="19">
        <f>IF(Прайс[[#This Row],[Наличие подсветки на нижнем горизонте]]="Нет",0,'[2]комплекты фурнитуры'!$C$91)</f>
        <v>400</v>
      </c>
    </row>
    <row r="59" spans="1:76" ht="15" customHeight="1" x14ac:dyDescent="0.25">
      <c r="A59" s="27" t="s">
        <v>170</v>
      </c>
      <c r="B59" s="14" t="s">
        <v>174</v>
      </c>
      <c r="C59" s="14" t="s">
        <v>228</v>
      </c>
      <c r="D59" s="14" t="s">
        <v>99</v>
      </c>
      <c r="E59" s="14" t="s">
        <v>94</v>
      </c>
      <c r="F59" s="14" t="s">
        <v>172</v>
      </c>
      <c r="G59" s="15">
        <v>240</v>
      </c>
      <c r="H59" s="15">
        <v>2400</v>
      </c>
      <c r="I59" s="15">
        <v>50</v>
      </c>
      <c r="J59" s="15">
        <v>100</v>
      </c>
      <c r="K59" s="15">
        <v>315</v>
      </c>
      <c r="L59" s="15">
        <v>700</v>
      </c>
      <c r="M59" s="38">
        <v>1940</v>
      </c>
      <c r="N59" s="18">
        <v>2360</v>
      </c>
      <c r="O59" s="43">
        <v>720</v>
      </c>
      <c r="P59" s="43">
        <v>100</v>
      </c>
      <c r="Q59" s="43">
        <v>560</v>
      </c>
      <c r="R59" s="20">
        <v>1.08</v>
      </c>
      <c r="S59" s="20">
        <v>1.0649999999999999</v>
      </c>
      <c r="T59" s="20">
        <v>1.3</v>
      </c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7">
        <v>0</v>
      </c>
      <c r="AY59" s="18">
        <v>0</v>
      </c>
      <c r="AZ59" s="18">
        <v>0</v>
      </c>
      <c r="BA59" s="19">
        <v>0</v>
      </c>
      <c r="BB59" s="19">
        <v>0</v>
      </c>
      <c r="BC59" s="19" t="s">
        <v>94</v>
      </c>
      <c r="BD59" s="18" t="s">
        <v>96</v>
      </c>
      <c r="BE59" s="19">
        <v>0</v>
      </c>
      <c r="BF59" s="19" t="s">
        <v>94</v>
      </c>
      <c r="BG59" s="19"/>
      <c r="BH59" s="19"/>
      <c r="BI59" s="19">
        <v>1</v>
      </c>
      <c r="BJ59" s="19">
        <v>0</v>
      </c>
      <c r="BK59" s="19">
        <v>0</v>
      </c>
      <c r="BL59" s="19"/>
      <c r="BM59" s="19"/>
      <c r="BN59" s="19"/>
      <c r="BO59" s="19"/>
      <c r="BP59" s="19" t="s">
        <v>94</v>
      </c>
      <c r="BQ59" s="19">
        <f>IF(Прайс[[#This Row],[Наличие подсветки на нижнем горизонте]]="Нет",0,'[2]комплекты фурнитуры'!$C$91)</f>
        <v>0</v>
      </c>
      <c r="BR59"/>
      <c r="BS59"/>
      <c r="BT59"/>
      <c r="BU59"/>
      <c r="BV59"/>
      <c r="BW59"/>
      <c r="BX59"/>
    </row>
    <row r="60" spans="1:76" ht="15" customHeight="1" x14ac:dyDescent="0.25">
      <c r="A60" s="28" t="s">
        <v>229</v>
      </c>
      <c r="B60" s="14" t="s">
        <v>174</v>
      </c>
      <c r="C60" s="14" t="s">
        <v>230</v>
      </c>
      <c r="D60" s="14" t="s">
        <v>144</v>
      </c>
      <c r="E60" s="14" t="s">
        <v>94</v>
      </c>
      <c r="F60" s="14" t="s">
        <v>95</v>
      </c>
      <c r="G60" s="15">
        <v>480</v>
      </c>
      <c r="H60" s="15">
        <v>960</v>
      </c>
      <c r="I60" s="15">
        <v>210</v>
      </c>
      <c r="J60" s="15">
        <v>210</v>
      </c>
      <c r="K60" s="15">
        <v>300</v>
      </c>
      <c r="L60" s="15">
        <v>500</v>
      </c>
      <c r="M60" s="38">
        <v>2170</v>
      </c>
      <c r="N60" s="18">
        <v>2630</v>
      </c>
      <c r="O60" s="43">
        <v>960</v>
      </c>
      <c r="P60" s="43">
        <v>210</v>
      </c>
      <c r="Q60" s="43">
        <f>IF(OR(Прайс[[#This Row],[Тип]]="Нижний",Прайс[[#This Row],[Тип]]="Пенал"),"560",IF(Прайс[[#This Row],[Тип]]="Верхний",315,0))</f>
        <v>315</v>
      </c>
      <c r="R60" s="20">
        <v>1.08</v>
      </c>
      <c r="S60" s="20">
        <v>1.0649999999999999</v>
      </c>
      <c r="T60" s="20">
        <v>1.3</v>
      </c>
      <c r="U60" s="16"/>
      <c r="V60" s="16"/>
      <c r="W60" s="16"/>
      <c r="X60" s="16"/>
      <c r="Y60" s="16">
        <f>'[2]комплекты фурнитуры'!$C$54</f>
        <v>1560</v>
      </c>
      <c r="Z60" s="16">
        <f>'[2]комплекты фурнитуры'!$C$55</f>
        <v>190</v>
      </c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7" t="e">
        <f>#REF!*2+Прайс[[#This Row],[КKFP-SB-GT45]]*2</f>
        <v>#REF!</v>
      </c>
      <c r="AY60" s="18" t="e">
        <f>#REF!*2+Прайс[[#This Row],[KFP-SB-N45]]*2</f>
        <v>#REF!</v>
      </c>
      <c r="AZ60" s="18">
        <f>Прайс[[#This Row],[KFP-SB-N45]]*2</f>
        <v>380</v>
      </c>
      <c r="BA60" s="19">
        <v>1</v>
      </c>
      <c r="BB60" s="19">
        <v>3</v>
      </c>
      <c r="BC60" s="19" t="s">
        <v>110</v>
      </c>
      <c r="BD60" s="18" t="s">
        <v>96</v>
      </c>
      <c r="BE60" s="19">
        <v>2</v>
      </c>
      <c r="BF60" s="19" t="s">
        <v>94</v>
      </c>
      <c r="BG60" s="19"/>
      <c r="BH60" s="19"/>
      <c r="BI60" s="19">
        <v>1</v>
      </c>
      <c r="BJ60" s="19">
        <v>0</v>
      </c>
      <c r="BK60" s="19">
        <v>0</v>
      </c>
      <c r="BL60" s="19"/>
      <c r="BM60" s="19"/>
      <c r="BN60" s="19"/>
      <c r="BO60" s="19"/>
      <c r="BP60" s="19" t="s">
        <v>94</v>
      </c>
      <c r="BQ60" s="19">
        <f>IF(Прайс[[#This Row],[Наличие подсветки на нижнем горизонте]]="Нет",0,'[2]комплекты фурнитуры'!$C$91)</f>
        <v>0</v>
      </c>
      <c r="BR60"/>
      <c r="BS60"/>
      <c r="BT60"/>
      <c r="BU60"/>
      <c r="BV60"/>
      <c r="BW60"/>
      <c r="BX60"/>
    </row>
    <row r="61" spans="1:76" s="4" customFormat="1" ht="15" customHeight="1" x14ac:dyDescent="0.25">
      <c r="A61" s="27" t="s">
        <v>231</v>
      </c>
      <c r="B61" s="14" t="s">
        <v>232</v>
      </c>
      <c r="C61" s="14" t="s">
        <v>233</v>
      </c>
      <c r="D61" s="14" t="s">
        <v>99</v>
      </c>
      <c r="E61" s="14" t="s">
        <v>94</v>
      </c>
      <c r="F61" s="14" t="s">
        <v>95</v>
      </c>
      <c r="G61" s="15">
        <v>1220</v>
      </c>
      <c r="H61" s="15">
        <v>1500</v>
      </c>
      <c r="I61" s="15">
        <v>150</v>
      </c>
      <c r="J61" s="15">
        <v>600</v>
      </c>
      <c r="K61" s="15">
        <v>300</v>
      </c>
      <c r="L61" s="15">
        <v>640</v>
      </c>
      <c r="M61" s="38">
        <v>5220</v>
      </c>
      <c r="N61" s="18">
        <v>6630</v>
      </c>
      <c r="O61" s="43">
        <v>1320</v>
      </c>
      <c r="P61" s="43">
        <v>600</v>
      </c>
      <c r="Q61" s="43" t="str">
        <f>IF(OR(Прайс[[#This Row],[Тип]]="Нижний",Прайс[[#This Row],[Тип]]="Пенал"),"560",IF(Прайс[[#This Row],[Тип]]="Верхний",315,0))</f>
        <v>560</v>
      </c>
      <c r="R61" s="20">
        <v>1.08</v>
      </c>
      <c r="S61" s="20">
        <v>1.0649999999999999</v>
      </c>
      <c r="T61" s="20">
        <v>1.3</v>
      </c>
      <c r="U61" s="16">
        <f>'[2]комплекты фурнитуры'!$C$62</f>
        <v>620</v>
      </c>
      <c r="V61" s="16">
        <f>'[2]комплекты фурнитуры'!$C$63</f>
        <v>130</v>
      </c>
      <c r="W61" s="16"/>
      <c r="X61" s="16"/>
      <c r="Y61" s="16"/>
      <c r="Z61" s="16"/>
      <c r="AA61" s="16"/>
      <c r="AB61" s="16"/>
      <c r="AC61" s="16"/>
      <c r="AD61" s="16"/>
      <c r="AE61" s="23"/>
      <c r="AF61" s="16"/>
      <c r="AG61" s="23"/>
      <c r="AH61" s="16"/>
      <c r="AI61" s="16"/>
      <c r="AJ61" s="23"/>
      <c r="AK61" s="23"/>
      <c r="AL61" s="23"/>
      <c r="AM61" s="23"/>
      <c r="AN61" s="23"/>
      <c r="AO61" s="23"/>
      <c r="AP61" s="23"/>
      <c r="AQ61" s="23"/>
      <c r="AR61" s="16"/>
      <c r="AS61" s="16"/>
      <c r="AT61" s="16"/>
      <c r="AU61" s="16"/>
      <c r="AV61" s="16"/>
      <c r="AW61" s="16"/>
      <c r="AX61" s="17">
        <f>Прайс[[#This Row],[КФ петли SENS накл.110 гр. с крестообр. Планкой]]*3</f>
        <v>1860</v>
      </c>
      <c r="AY61" s="18">
        <f>Прайс[[#This Row],[KFP-SB-N110]]*3</f>
        <v>390</v>
      </c>
      <c r="AZ61" s="18">
        <f>Прайс[[#This Row],[KFP-SB-N110]]*3</f>
        <v>390</v>
      </c>
      <c r="BA61" s="19">
        <v>2</v>
      </c>
      <c r="BB61" s="19">
        <v>2</v>
      </c>
      <c r="BC61" s="19" t="s">
        <v>110</v>
      </c>
      <c r="BD61" s="18" t="s">
        <v>96</v>
      </c>
      <c r="BE61" s="19">
        <v>2</v>
      </c>
      <c r="BF61" s="19" t="s">
        <v>110</v>
      </c>
      <c r="BG61" s="19"/>
      <c r="BH61" s="19"/>
      <c r="BI61" s="19">
        <v>1</v>
      </c>
      <c r="BJ61" s="19">
        <v>0</v>
      </c>
      <c r="BK61" s="19">
        <v>0</v>
      </c>
      <c r="BL61" s="19"/>
      <c r="BM61" s="19"/>
      <c r="BN61" s="19"/>
      <c r="BO61" s="19"/>
      <c r="BP61" s="19" t="s">
        <v>94</v>
      </c>
      <c r="BQ61" s="19">
        <f>IF(Прайс[[#This Row],[Наличие подсветки на нижнем горизонте]]="Нет",0,'[2]комплекты фурнитуры'!$C$91)</f>
        <v>0</v>
      </c>
    </row>
    <row r="62" spans="1:76" ht="15" customHeight="1" x14ac:dyDescent="0.25">
      <c r="A62" s="27" t="s">
        <v>234</v>
      </c>
      <c r="B62" s="14" t="s">
        <v>232</v>
      </c>
      <c r="C62" s="14" t="s">
        <v>235</v>
      </c>
      <c r="D62" s="14" t="s">
        <v>99</v>
      </c>
      <c r="E62" s="14" t="s">
        <v>110</v>
      </c>
      <c r="F62" s="14" t="s">
        <v>95</v>
      </c>
      <c r="G62" s="15">
        <v>1220</v>
      </c>
      <c r="H62" s="15">
        <v>1500</v>
      </c>
      <c r="I62" s="15">
        <v>150</v>
      </c>
      <c r="J62" s="15">
        <v>600</v>
      </c>
      <c r="K62" s="15">
        <v>300</v>
      </c>
      <c r="L62" s="15">
        <v>640</v>
      </c>
      <c r="M62" s="38">
        <v>5637.6</v>
      </c>
      <c r="N62" s="18">
        <v>7160.4</v>
      </c>
      <c r="O62" s="43">
        <v>1320</v>
      </c>
      <c r="P62" s="43">
        <v>600</v>
      </c>
      <c r="Q62" s="43" t="str">
        <f>IF(OR(Прайс[[#This Row],[Тип]]="Нижний",Прайс[[#This Row],[Тип]]="Пенал"),"560",IF(Прайс[[#This Row],[Тип]]="Верхний",315,0))</f>
        <v>560</v>
      </c>
      <c r="R62" s="20">
        <v>1.08</v>
      </c>
      <c r="S62" s="20">
        <v>1.0649999999999999</v>
      </c>
      <c r="T62" s="20">
        <v>1.3</v>
      </c>
      <c r="U62" s="16">
        <f>'[2]комплекты фурнитуры'!$C$62</f>
        <v>620</v>
      </c>
      <c r="V62" s="23"/>
      <c r="W62" s="16"/>
      <c r="X62" s="16"/>
      <c r="Y62" s="16"/>
      <c r="Z62" s="16"/>
      <c r="AA62" s="16"/>
      <c r="AB62" s="16"/>
      <c r="AC62" s="16"/>
      <c r="AD62" s="16"/>
      <c r="AE62" s="23"/>
      <c r="AF62" s="16"/>
      <c r="AG62" s="23"/>
      <c r="AH62" s="16"/>
      <c r="AI62" s="16"/>
      <c r="AJ62" s="23"/>
      <c r="AK62" s="23"/>
      <c r="AL62" s="23"/>
      <c r="AM62" s="23"/>
      <c r="AN62" s="23"/>
      <c r="AO62" s="23"/>
      <c r="AP62" s="23"/>
      <c r="AQ62" s="23"/>
      <c r="AR62" s="16"/>
      <c r="AS62" s="16"/>
      <c r="AT62" s="16"/>
      <c r="AU62" s="16"/>
      <c r="AV62" s="16"/>
      <c r="AW62" s="16"/>
      <c r="AX62" s="17" t="e">
        <f>#REF!*4+Прайс[[#This Row],[КФ петли SENS накл.110 гр. с крестообр. Планкой]]*3</f>
        <v>#REF!</v>
      </c>
      <c r="AY62" s="17" t="e">
        <f>#REF!*4+Прайс[[#This Row],[КФ петли SENS накл.110 гр. с крестообр. Планкой]]*3</f>
        <v>#REF!</v>
      </c>
      <c r="AZ62" s="17" t="e">
        <f>#REF!*4+Прайс[[#This Row],[КФ петли SENS накл.110 гр. с крестообр. Планкой]]*3</f>
        <v>#REF!</v>
      </c>
      <c r="BA62" s="19">
        <v>2</v>
      </c>
      <c r="BB62" s="19">
        <v>2</v>
      </c>
      <c r="BC62" s="19" t="s">
        <v>94</v>
      </c>
      <c r="BD62" s="18" t="s">
        <v>137</v>
      </c>
      <c r="BE62" s="19">
        <v>2</v>
      </c>
      <c r="BF62" s="19" t="s">
        <v>110</v>
      </c>
      <c r="BG62" s="19"/>
      <c r="BH62" s="19"/>
      <c r="BI62" s="19">
        <v>1</v>
      </c>
      <c r="BJ62" s="19">
        <v>0</v>
      </c>
      <c r="BK62" s="19">
        <v>0</v>
      </c>
      <c r="BL62" s="19"/>
      <c r="BM62" s="19"/>
      <c r="BN62" s="19"/>
      <c r="BO62" s="19"/>
      <c r="BP62" s="19" t="s">
        <v>94</v>
      </c>
      <c r="BQ62" s="19">
        <f>IF(Прайс[[#This Row],[Наличие подсветки на нижнем горизонте]]="Нет",0,'[2]комплекты фурнитуры'!$C$91)</f>
        <v>0</v>
      </c>
      <c r="BR62"/>
      <c r="BS62"/>
      <c r="BT62"/>
      <c r="BU62"/>
      <c r="BV62"/>
      <c r="BW62"/>
      <c r="BX62"/>
    </row>
    <row r="63" spans="1:76" ht="15" customHeight="1" x14ac:dyDescent="0.25">
      <c r="A63" s="27" t="s">
        <v>236</v>
      </c>
      <c r="B63" s="14" t="s">
        <v>232</v>
      </c>
      <c r="C63" s="14" t="s">
        <v>237</v>
      </c>
      <c r="D63" s="14" t="s">
        <v>99</v>
      </c>
      <c r="E63" s="14" t="s">
        <v>94</v>
      </c>
      <c r="F63" s="14" t="s">
        <v>238</v>
      </c>
      <c r="G63" s="15">
        <v>1187</v>
      </c>
      <c r="H63" s="15">
        <v>1187</v>
      </c>
      <c r="I63" s="15">
        <v>600</v>
      </c>
      <c r="J63" s="15">
        <v>600</v>
      </c>
      <c r="K63" s="15">
        <v>560</v>
      </c>
      <c r="L63" s="15">
        <v>560</v>
      </c>
      <c r="M63" s="38">
        <v>5220</v>
      </c>
      <c r="N63" s="18">
        <v>6630</v>
      </c>
      <c r="O63" s="43">
        <v>1320</v>
      </c>
      <c r="P63" s="43">
        <v>600</v>
      </c>
      <c r="Q63" s="43" t="str">
        <f>IF(OR(Прайс[[#This Row],[Тип]]="Нижний",Прайс[[#This Row],[Тип]]="Пенал"),"560",IF(Прайс[[#This Row],[Тип]]="Верхний",315,0))</f>
        <v>560</v>
      </c>
      <c r="R63" s="20">
        <v>1.08</v>
      </c>
      <c r="S63" s="20">
        <v>1.0649999999999999</v>
      </c>
      <c r="T63" s="20">
        <v>1.3</v>
      </c>
      <c r="U63" s="16">
        <f>'[2]комплекты фурнитуры'!$C$62</f>
        <v>620</v>
      </c>
      <c r="V63" s="16">
        <f>'[2]комплекты фурнитуры'!$C$63</f>
        <v>130</v>
      </c>
      <c r="W63" s="16"/>
      <c r="X63" s="16"/>
      <c r="Y63" s="16"/>
      <c r="Z63" s="16"/>
      <c r="AA63" s="16"/>
      <c r="AB63" s="16"/>
      <c r="AC63" s="16"/>
      <c r="AD63" s="16"/>
      <c r="AE63" s="23"/>
      <c r="AF63" s="16"/>
      <c r="AG63" s="23"/>
      <c r="AH63" s="16"/>
      <c r="AI63" s="16"/>
      <c r="AJ63" s="23"/>
      <c r="AK63" s="23"/>
      <c r="AL63" s="23"/>
      <c r="AM63" s="23"/>
      <c r="AN63" s="23"/>
      <c r="AO63" s="23"/>
      <c r="AP63" s="23"/>
      <c r="AQ63" s="23"/>
      <c r="AR63" s="16"/>
      <c r="AS63" s="16"/>
      <c r="AT63" s="16"/>
      <c r="AU63" s="16"/>
      <c r="AV63" s="16"/>
      <c r="AW63" s="16"/>
      <c r="AX63" s="17">
        <f>Прайс[[#This Row],[КФ петли SENS накл.110 гр. с крестообр. Планкой]]*2</f>
        <v>1240</v>
      </c>
      <c r="AY63" s="18">
        <f>Прайс[[#This Row],[KFP-SB-N110]]*2</f>
        <v>260</v>
      </c>
      <c r="AZ63" s="18">
        <f>Прайс[[#This Row],[KFP-SB-N110]]*2</f>
        <v>260</v>
      </c>
      <c r="BA63" s="19">
        <v>1</v>
      </c>
      <c r="BB63" s="19">
        <v>1</v>
      </c>
      <c r="BC63" s="19" t="s">
        <v>110</v>
      </c>
      <c r="BD63" s="18" t="s">
        <v>96</v>
      </c>
      <c r="BE63" s="19">
        <v>1</v>
      </c>
      <c r="BF63" s="19" t="s">
        <v>94</v>
      </c>
      <c r="BG63" s="19"/>
      <c r="BH63" s="19"/>
      <c r="BI63" s="19">
        <v>1</v>
      </c>
      <c r="BJ63" s="19">
        <v>0</v>
      </c>
      <c r="BK63" s="19">
        <v>0</v>
      </c>
      <c r="BL63" s="19"/>
      <c r="BM63" s="19"/>
      <c r="BN63" s="19"/>
      <c r="BO63" s="19"/>
      <c r="BP63" s="19" t="s">
        <v>94</v>
      </c>
      <c r="BQ63" s="19">
        <f>IF(Прайс[[#This Row],[Наличие подсветки на нижнем горизонте]]="Нет",0,'[2]комплекты фурнитуры'!$C$91)</f>
        <v>0</v>
      </c>
      <c r="BR63"/>
      <c r="BS63"/>
      <c r="BT63"/>
      <c r="BU63"/>
      <c r="BV63"/>
      <c r="BW63"/>
      <c r="BX63"/>
    </row>
    <row r="64" spans="1:76" ht="15" customHeight="1" x14ac:dyDescent="0.25">
      <c r="A64" s="27" t="s">
        <v>239</v>
      </c>
      <c r="B64" s="14" t="s">
        <v>232</v>
      </c>
      <c r="C64" s="14" t="s">
        <v>240</v>
      </c>
      <c r="D64" s="14" t="s">
        <v>99</v>
      </c>
      <c r="E64" s="14" t="s">
        <v>94</v>
      </c>
      <c r="F64" s="14" t="s">
        <v>238</v>
      </c>
      <c r="G64" s="15">
        <v>1320</v>
      </c>
      <c r="H64" s="15">
        <v>1320</v>
      </c>
      <c r="I64" s="15">
        <v>600</v>
      </c>
      <c r="J64" s="15">
        <v>600</v>
      </c>
      <c r="K64" s="15">
        <v>560</v>
      </c>
      <c r="L64" s="15">
        <v>560</v>
      </c>
      <c r="M64" s="38">
        <v>5220</v>
      </c>
      <c r="N64" s="18">
        <v>6630</v>
      </c>
      <c r="O64" s="43">
        <v>1320</v>
      </c>
      <c r="P64" s="43">
        <v>600</v>
      </c>
      <c r="Q64" s="43" t="str">
        <f>IF(OR(Прайс[[#This Row],[Тип]]="Нижний",Прайс[[#This Row],[Тип]]="Пенал"),"560",IF(Прайс[[#This Row],[Тип]]="Верхний",315,0))</f>
        <v>560</v>
      </c>
      <c r="R64" s="20">
        <v>1.08</v>
      </c>
      <c r="S64" s="20">
        <v>1.0649999999999999</v>
      </c>
      <c r="T64" s="20">
        <v>1.3</v>
      </c>
      <c r="U64" s="16">
        <f>'[2]комплекты фурнитуры'!$C$62</f>
        <v>620</v>
      </c>
      <c r="V64" s="16">
        <f>'[2]комплекты фурнитуры'!$C$63</f>
        <v>130</v>
      </c>
      <c r="W64" s="16"/>
      <c r="X64" s="16"/>
      <c r="Y64" s="16"/>
      <c r="Z64" s="16"/>
      <c r="AA64" s="16"/>
      <c r="AB64" s="16"/>
      <c r="AC64" s="16"/>
      <c r="AD64" s="16"/>
      <c r="AE64" s="23"/>
      <c r="AF64" s="16"/>
      <c r="AG64" s="23"/>
      <c r="AH64" s="16"/>
      <c r="AI64" s="16"/>
      <c r="AJ64" s="23"/>
      <c r="AK64" s="23"/>
      <c r="AL64" s="23"/>
      <c r="AM64" s="23"/>
      <c r="AN64" s="23"/>
      <c r="AO64" s="23"/>
      <c r="AP64" s="23"/>
      <c r="AQ64" s="23"/>
      <c r="AR64" s="16"/>
      <c r="AS64" s="16"/>
      <c r="AT64" s="16"/>
      <c r="AU64" s="16"/>
      <c r="AV64" s="16"/>
      <c r="AW64" s="16"/>
      <c r="AX64" s="17">
        <f>Прайс[[#This Row],[КФ петли SENS накл.110 гр. с крестообр. Планкой]]*2</f>
        <v>1240</v>
      </c>
      <c r="AY64" s="18">
        <f>Прайс[[#This Row],[KFP-SB-N110]]*2</f>
        <v>260</v>
      </c>
      <c r="AZ64" s="18">
        <f>Прайс[[#This Row],[KFP-SB-N110]]*2</f>
        <v>260</v>
      </c>
      <c r="BA64" s="19">
        <v>1</v>
      </c>
      <c r="BB64" s="19">
        <v>1</v>
      </c>
      <c r="BC64" s="19" t="s">
        <v>110</v>
      </c>
      <c r="BD64" s="18" t="s">
        <v>96</v>
      </c>
      <c r="BE64" s="19">
        <v>1</v>
      </c>
      <c r="BF64" s="19" t="s">
        <v>94</v>
      </c>
      <c r="BG64" s="19"/>
      <c r="BH64" s="19"/>
      <c r="BI64" s="19">
        <v>1</v>
      </c>
      <c r="BJ64" s="19">
        <v>0</v>
      </c>
      <c r="BK64" s="19">
        <v>0</v>
      </c>
      <c r="BL64" s="19"/>
      <c r="BM64" s="19"/>
      <c r="BN64" s="19"/>
      <c r="BO64" s="19"/>
      <c r="BP64" s="19" t="s">
        <v>94</v>
      </c>
      <c r="BQ64" s="19">
        <f>IF(Прайс[[#This Row],[Наличие подсветки на нижнем горизонте]]="Нет",0,'[2]комплекты фурнитуры'!$C$91)</f>
        <v>0</v>
      </c>
      <c r="BR64"/>
      <c r="BS64"/>
      <c r="BT64"/>
      <c r="BU64"/>
      <c r="BV64"/>
      <c r="BW64"/>
      <c r="BX64"/>
    </row>
    <row r="65" spans="1:76" ht="14.25" customHeight="1" x14ac:dyDescent="0.25">
      <c r="A65" s="30" t="s">
        <v>241</v>
      </c>
      <c r="B65" s="14" t="s">
        <v>232</v>
      </c>
      <c r="C65" s="14" t="s">
        <v>242</v>
      </c>
      <c r="D65" s="14" t="s">
        <v>99</v>
      </c>
      <c r="E65" s="14" t="s">
        <v>94</v>
      </c>
      <c r="F65" s="14" t="s">
        <v>238</v>
      </c>
      <c r="G65" s="15">
        <v>720</v>
      </c>
      <c r="H65" s="15">
        <v>1320</v>
      </c>
      <c r="I65" s="15">
        <v>600</v>
      </c>
      <c r="J65" s="15">
        <v>600</v>
      </c>
      <c r="K65" s="15">
        <v>560</v>
      </c>
      <c r="L65" s="15">
        <v>560</v>
      </c>
      <c r="M65" s="38">
        <v>5690</v>
      </c>
      <c r="N65" s="18">
        <v>7210</v>
      </c>
      <c r="O65" s="43">
        <v>1320</v>
      </c>
      <c r="P65" s="43">
        <v>600</v>
      </c>
      <c r="Q65" s="43" t="str">
        <f>IF(OR(Прайс[[#This Row],[Тип]]="Нижний",Прайс[[#This Row],[Тип]]="Пенал"),"560",IF(Прайс[[#This Row],[Тип]]="Верхний",315,0))</f>
        <v>560</v>
      </c>
      <c r="R65" s="20">
        <v>1.08</v>
      </c>
      <c r="S65" s="20">
        <v>1.0649999999999999</v>
      </c>
      <c r="T65" s="20">
        <v>0</v>
      </c>
      <c r="U65" s="23"/>
      <c r="V65" s="23"/>
      <c r="W65" s="16"/>
      <c r="X65" s="16"/>
      <c r="Y65" s="16"/>
      <c r="Z65" s="16"/>
      <c r="AA65" s="16"/>
      <c r="AB65" s="16"/>
      <c r="AC65" s="16"/>
      <c r="AD65" s="16"/>
      <c r="AE65" s="23"/>
      <c r="AF65" s="16"/>
      <c r="AG65" s="23"/>
      <c r="AH65" s="16"/>
      <c r="AI65" s="16"/>
      <c r="AJ65" s="23"/>
      <c r="AK65" s="16">
        <f>'[2]комплекты фурнитуры'!$C$26</f>
        <v>6660</v>
      </c>
      <c r="AL65" s="23"/>
      <c r="AM65" s="16">
        <f>'[2]комплекты фурнитуры'!$C$31</f>
        <v>950</v>
      </c>
      <c r="AN65" s="16">
        <f>'[2]комплекты фурнитуры'!$C$33</f>
        <v>170</v>
      </c>
      <c r="AO65" s="23"/>
      <c r="AP65" s="16"/>
      <c r="AQ65" s="16">
        <f>'[2]комплекты фурнитуры'!$C$36</f>
        <v>6440</v>
      </c>
      <c r="AR65" s="16"/>
      <c r="AS65" s="16"/>
      <c r="AT65" s="16"/>
      <c r="AU65" s="16"/>
      <c r="AV65" s="16"/>
      <c r="AW65" s="16"/>
      <c r="AX65" s="17">
        <f>Прайс[[#This Row],[Комплект для ящика Hettich ATIRA Серый с реллингом, NL-470, H-176]]</f>
        <v>6660</v>
      </c>
      <c r="AY65" s="18">
        <f>Прайс[[#This Row],[KFN-SB-M15]]+Прайс[[#This Row],[KFN-SB-MD]]</f>
        <v>1120</v>
      </c>
      <c r="AZ65" s="18">
        <f>Прайс[[#This Row],[Комплект ящика INNOTECH ATIRA полного выдв. с  PUSH TO OPEN , Н70,NL470,цвет серебристый]]</f>
        <v>6440</v>
      </c>
      <c r="BA65" s="19">
        <v>0</v>
      </c>
      <c r="BB65" s="19">
        <v>0</v>
      </c>
      <c r="BC65" s="19" t="s">
        <v>94</v>
      </c>
      <c r="BD65" s="18" t="s">
        <v>125</v>
      </c>
      <c r="BE65" s="19">
        <v>0</v>
      </c>
      <c r="BF65" s="19" t="s">
        <v>94</v>
      </c>
      <c r="BG65" s="19"/>
      <c r="BH65" s="19"/>
      <c r="BI65" s="19">
        <v>1</v>
      </c>
      <c r="BJ65" s="19">
        <v>0</v>
      </c>
      <c r="BK65" s="19">
        <v>0</v>
      </c>
      <c r="BL65" s="19"/>
      <c r="BM65" s="19"/>
      <c r="BN65" s="19"/>
      <c r="BO65" s="19"/>
      <c r="BP65" s="19" t="s">
        <v>94</v>
      </c>
      <c r="BQ65" s="19">
        <f>IF(Прайс[[#This Row],[Наличие подсветки на нижнем горизонте]]="Нет",0,'[2]комплекты фурнитуры'!$C$91)</f>
        <v>0</v>
      </c>
      <c r="BR65"/>
      <c r="BS65"/>
      <c r="BT65"/>
      <c r="BU65"/>
      <c r="BV65"/>
      <c r="BW65"/>
      <c r="BX65"/>
    </row>
    <row r="66" spans="1:76" s="4" customFormat="1" ht="15" customHeight="1" x14ac:dyDescent="0.25">
      <c r="A66" s="27" t="s">
        <v>243</v>
      </c>
      <c r="B66" s="14" t="s">
        <v>232</v>
      </c>
      <c r="C66" s="14" t="s">
        <v>244</v>
      </c>
      <c r="D66" s="14" t="s">
        <v>99</v>
      </c>
      <c r="E66" s="14" t="s">
        <v>94</v>
      </c>
      <c r="F66" s="14" t="s">
        <v>95</v>
      </c>
      <c r="G66" s="15">
        <v>2000</v>
      </c>
      <c r="H66" s="15">
        <v>2610</v>
      </c>
      <c r="I66" s="15">
        <v>150</v>
      </c>
      <c r="J66" s="15">
        <v>600</v>
      </c>
      <c r="K66" s="15">
        <v>300</v>
      </c>
      <c r="L66" s="15">
        <v>640</v>
      </c>
      <c r="M66" s="38">
        <v>6990</v>
      </c>
      <c r="N66" s="18">
        <v>8850</v>
      </c>
      <c r="O66" s="43">
        <v>2040</v>
      </c>
      <c r="P66" s="43">
        <v>600</v>
      </c>
      <c r="Q66" s="43" t="str">
        <f>IF(OR(Прайс[[#This Row],[Тип]]="Нижний",Прайс[[#This Row],[Тип]]="Пенал"),"560",IF(Прайс[[#This Row],[Тип]]="Верхний",315,0))</f>
        <v>560</v>
      </c>
      <c r="R66" s="20">
        <v>1.08</v>
      </c>
      <c r="S66" s="20">
        <v>1.0649999999999999</v>
      </c>
      <c r="T66" s="20">
        <v>1.3</v>
      </c>
      <c r="U66" s="16">
        <f>'[2]комплекты фурнитуры'!$C$62</f>
        <v>620</v>
      </c>
      <c r="V66" s="16">
        <f>'[2]комплекты фурнитуры'!$C$63</f>
        <v>130</v>
      </c>
      <c r="W66" s="16"/>
      <c r="X66" s="16"/>
      <c r="Y66" s="16"/>
      <c r="Z66" s="16"/>
      <c r="AA66" s="16"/>
      <c r="AB66" s="16"/>
      <c r="AC66" s="16"/>
      <c r="AD66" s="16"/>
      <c r="AE66" s="23"/>
      <c r="AF66" s="16"/>
      <c r="AG66" s="23"/>
      <c r="AH66" s="16"/>
      <c r="AI66" s="16"/>
      <c r="AJ66" s="23"/>
      <c r="AK66" s="23"/>
      <c r="AL66" s="23"/>
      <c r="AM66" s="23"/>
      <c r="AN66" s="23"/>
      <c r="AO66" s="23"/>
      <c r="AP66" s="23"/>
      <c r="AQ66" s="23"/>
      <c r="AR66" s="16"/>
      <c r="AS66" s="16"/>
      <c r="AT66" s="16"/>
      <c r="AU66" s="16"/>
      <c r="AV66" s="16"/>
      <c r="AW66" s="16"/>
      <c r="AX66" s="17">
        <f>Прайс[[#This Row],[КФ петли SENS накл.110 гр. с крестообр. Планкой]]*5</f>
        <v>3100</v>
      </c>
      <c r="AY66" s="18">
        <f>Прайс[[#This Row],[KFP-SB-N110]]*5</f>
        <v>650</v>
      </c>
      <c r="AZ66" s="18">
        <f>Прайс[[#This Row],[KFP-SB-N110]]*5</f>
        <v>650</v>
      </c>
      <c r="BA66" s="19">
        <v>0</v>
      </c>
      <c r="BB66" s="19">
        <v>4</v>
      </c>
      <c r="BC66" s="19" t="s">
        <v>110</v>
      </c>
      <c r="BD66" s="18" t="s">
        <v>96</v>
      </c>
      <c r="BE66" s="19">
        <v>1</v>
      </c>
      <c r="BF66" s="19" t="s">
        <v>110</v>
      </c>
      <c r="BG66" s="19"/>
      <c r="BH66" s="19"/>
      <c r="BI66" s="19">
        <v>2</v>
      </c>
      <c r="BJ66" s="19">
        <v>0</v>
      </c>
      <c r="BK66" s="19">
        <v>0</v>
      </c>
      <c r="BL66" s="19"/>
      <c r="BM66" s="19"/>
      <c r="BN66" s="19"/>
      <c r="BO66" s="19"/>
      <c r="BP66" s="19" t="s">
        <v>94</v>
      </c>
      <c r="BQ66" s="19">
        <f>IF(Прайс[[#This Row],[Наличие подсветки на нижнем горизонте]]="Нет",0,'[2]комплекты фурнитуры'!$C$91)</f>
        <v>0</v>
      </c>
    </row>
    <row r="67" spans="1:76" ht="15" customHeight="1" x14ac:dyDescent="0.25">
      <c r="A67" s="27" t="s">
        <v>245</v>
      </c>
      <c r="B67" s="14" t="s">
        <v>232</v>
      </c>
      <c r="C67" s="14" t="s">
        <v>246</v>
      </c>
      <c r="D67" s="14" t="s">
        <v>99</v>
      </c>
      <c r="E67" s="14" t="s">
        <v>110</v>
      </c>
      <c r="F67" s="14" t="s">
        <v>95</v>
      </c>
      <c r="G67" s="15">
        <v>2000</v>
      </c>
      <c r="H67" s="15">
        <v>2280</v>
      </c>
      <c r="I67" s="15">
        <v>150</v>
      </c>
      <c r="J67" s="15">
        <v>600</v>
      </c>
      <c r="K67" s="15">
        <v>300</v>
      </c>
      <c r="L67" s="15">
        <v>640</v>
      </c>
      <c r="M67" s="38">
        <v>7549.2</v>
      </c>
      <c r="N67" s="18">
        <v>9558</v>
      </c>
      <c r="O67" s="43">
        <v>2040</v>
      </c>
      <c r="P67" s="43">
        <v>600</v>
      </c>
      <c r="Q67" s="43" t="str">
        <f>IF(OR(Прайс[[#This Row],[Тип]]="Нижний",Прайс[[#This Row],[Тип]]="Пенал"),"560",IF(Прайс[[#This Row],[Тип]]="Верхний",315,0))</f>
        <v>560</v>
      </c>
      <c r="R67" s="20">
        <v>1.08</v>
      </c>
      <c r="S67" s="20">
        <v>1.0649999999999999</v>
      </c>
      <c r="T67" s="20">
        <v>1.3</v>
      </c>
      <c r="U67" s="16">
        <f>'[2]комплекты фурнитуры'!$C$62</f>
        <v>620</v>
      </c>
      <c r="V67" s="23"/>
      <c r="W67" s="16"/>
      <c r="X67" s="16"/>
      <c r="Y67" s="16"/>
      <c r="Z67" s="16"/>
      <c r="AA67" s="16"/>
      <c r="AB67" s="16"/>
      <c r="AC67" s="16"/>
      <c r="AD67" s="16"/>
      <c r="AE67" s="23"/>
      <c r="AF67" s="16"/>
      <c r="AG67" s="23"/>
      <c r="AH67" s="16"/>
      <c r="AI67" s="16"/>
      <c r="AJ67" s="23"/>
      <c r="AK67" s="23"/>
      <c r="AL67" s="23"/>
      <c r="AM67" s="23"/>
      <c r="AN67" s="23"/>
      <c r="AO67" s="23"/>
      <c r="AP67" s="23"/>
      <c r="AQ67" s="23"/>
      <c r="AR67" s="16"/>
      <c r="AS67" s="16"/>
      <c r="AT67" s="16"/>
      <c r="AU67" s="16"/>
      <c r="AV67" s="16"/>
      <c r="AW67" s="16"/>
      <c r="AX67" s="17" t="e">
        <f>#REF!*4+Прайс[[#This Row],[КФ петли SENS накл.110 гр. с крестообр. Планкой]]*5</f>
        <v>#REF!</v>
      </c>
      <c r="AY67" s="17" t="e">
        <f>#REF!*4+Прайс[[#This Row],[КФ петли SENS накл.110 гр. с крестообр. Планкой]]*5</f>
        <v>#REF!</v>
      </c>
      <c r="AZ67" s="17" t="e">
        <f>#REF!*4+Прайс[[#This Row],[КФ петли SENS накл.110 гр. с крестообр. Планкой]]*5</f>
        <v>#REF!</v>
      </c>
      <c r="BA67" s="19">
        <v>0</v>
      </c>
      <c r="BB67" s="19">
        <v>4</v>
      </c>
      <c r="BC67" s="19" t="s">
        <v>94</v>
      </c>
      <c r="BD67" s="18" t="s">
        <v>137</v>
      </c>
      <c r="BE67" s="19">
        <v>0</v>
      </c>
      <c r="BF67" s="19" t="s">
        <v>110</v>
      </c>
      <c r="BG67" s="19"/>
      <c r="BH67" s="19"/>
      <c r="BI67" s="19">
        <v>2</v>
      </c>
      <c r="BJ67" s="19">
        <v>0</v>
      </c>
      <c r="BK67" s="19">
        <v>0</v>
      </c>
      <c r="BL67" s="19"/>
      <c r="BM67" s="19"/>
      <c r="BN67" s="19"/>
      <c r="BO67" s="19"/>
      <c r="BP67" s="19" t="s">
        <v>94</v>
      </c>
      <c r="BQ67" s="19">
        <f>IF(Прайс[[#This Row],[Наличие подсветки на нижнем горизонте]]="Нет",0,'[2]комплекты фурнитуры'!$C$91)</f>
        <v>0</v>
      </c>
      <c r="BR67"/>
      <c r="BS67"/>
      <c r="BT67"/>
      <c r="BU67"/>
      <c r="BV67"/>
      <c r="BW67"/>
      <c r="BX67"/>
    </row>
    <row r="68" spans="1:76" s="8" customFormat="1" ht="15" customHeight="1" x14ac:dyDescent="0.25">
      <c r="A68" s="27" t="s">
        <v>247</v>
      </c>
      <c r="B68" s="14" t="s">
        <v>232</v>
      </c>
      <c r="C68" s="14" t="s">
        <v>248</v>
      </c>
      <c r="D68" s="14" t="s">
        <v>99</v>
      </c>
      <c r="E68" s="14" t="s">
        <v>94</v>
      </c>
      <c r="F68" s="14" t="s">
        <v>249</v>
      </c>
      <c r="G68" s="15">
        <v>2000</v>
      </c>
      <c r="H68" s="15">
        <v>2610</v>
      </c>
      <c r="I68" s="15">
        <v>600</v>
      </c>
      <c r="J68" s="15">
        <v>600</v>
      </c>
      <c r="K68" s="15">
        <v>560</v>
      </c>
      <c r="L68" s="15">
        <v>600</v>
      </c>
      <c r="M68" s="38">
        <v>5750</v>
      </c>
      <c r="N68" s="18">
        <v>7430</v>
      </c>
      <c r="O68" s="43">
        <v>2040</v>
      </c>
      <c r="P68" s="43">
        <v>600</v>
      </c>
      <c r="Q68" s="43" t="str">
        <f>IF(OR(Прайс[[#This Row],[Тип]]="Нижний",Прайс[[#This Row],[Тип]]="Пенал"),"560",IF(Прайс[[#This Row],[Тип]]="Верхний",315,0))</f>
        <v>560</v>
      </c>
      <c r="R68" s="20">
        <v>1.08</v>
      </c>
      <c r="S68" s="20">
        <v>1.0649999999999999</v>
      </c>
      <c r="T68" s="20">
        <v>1.3</v>
      </c>
      <c r="U68" s="16">
        <f>'[2]комплекты фурнитуры'!$C$62</f>
        <v>620</v>
      </c>
      <c r="V68" s="16">
        <f>'[2]комплекты фурнитуры'!$C$63</f>
        <v>130</v>
      </c>
      <c r="W68" s="16"/>
      <c r="X68" s="16"/>
      <c r="Y68" s="16"/>
      <c r="Z68" s="16"/>
      <c r="AA68" s="16"/>
      <c r="AB68" s="16"/>
      <c r="AC68" s="16"/>
      <c r="AD68" s="16"/>
      <c r="AE68" s="23"/>
      <c r="AF68" s="16"/>
      <c r="AG68" s="23"/>
      <c r="AH68" s="16"/>
      <c r="AI68" s="16"/>
      <c r="AJ68" s="23"/>
      <c r="AK68" s="23"/>
      <c r="AL68" s="23"/>
      <c r="AM68" s="23"/>
      <c r="AN68" s="23"/>
      <c r="AO68" s="23"/>
      <c r="AP68" s="23"/>
      <c r="AQ68" s="23"/>
      <c r="AR68" s="16"/>
      <c r="AS68" s="16"/>
      <c r="AT68" s="16"/>
      <c r="AU68" s="16"/>
      <c r="AV68" s="16"/>
      <c r="AW68" s="16"/>
      <c r="AX68" s="17">
        <f>Прайс[[#This Row],[КФ петли SENS накл.110 гр. с крестообр. Планкой]]*5</f>
        <v>3100</v>
      </c>
      <c r="AY68" s="18">
        <f>Прайс[[#This Row],[KFP-SB-N110]]*5</f>
        <v>650</v>
      </c>
      <c r="AZ68" s="18">
        <f>Прайс[[#This Row],[KFP-SB-N110]]*5</f>
        <v>650</v>
      </c>
      <c r="BA68" s="19">
        <v>0</v>
      </c>
      <c r="BB68" s="19">
        <v>0</v>
      </c>
      <c r="BC68" s="19" t="s">
        <v>94</v>
      </c>
      <c r="BD68" s="18" t="s">
        <v>125</v>
      </c>
      <c r="BE68" s="19">
        <v>0</v>
      </c>
      <c r="BF68" s="19" t="s">
        <v>94</v>
      </c>
      <c r="BG68" s="19"/>
      <c r="BH68" s="19"/>
      <c r="BI68" s="19">
        <v>2</v>
      </c>
      <c r="BJ68" s="19">
        <v>0</v>
      </c>
      <c r="BK68" s="19">
        <v>0</v>
      </c>
      <c r="BL68" s="19"/>
      <c r="BM68" s="19"/>
      <c r="BN68" s="19"/>
      <c r="BO68" s="19"/>
      <c r="BP68" s="19" t="s">
        <v>94</v>
      </c>
      <c r="BQ68" s="19">
        <f>IF(Прайс[[#This Row],[Наличие подсветки на нижнем горизонте]]="Нет",0,'[2]комплекты фурнитуры'!$C$91)</f>
        <v>0</v>
      </c>
    </row>
    <row r="69" spans="1:76" x14ac:dyDescent="0.25">
      <c r="A69" s="27" t="s">
        <v>250</v>
      </c>
      <c r="B69" s="14" t="s">
        <v>232</v>
      </c>
      <c r="C69" s="14" t="s">
        <v>251</v>
      </c>
      <c r="D69" s="14" t="s">
        <v>99</v>
      </c>
      <c r="E69" s="14" t="s">
        <v>110</v>
      </c>
      <c r="F69" s="14" t="s">
        <v>249</v>
      </c>
      <c r="G69" s="15">
        <v>2000</v>
      </c>
      <c r="H69" s="15">
        <v>2280</v>
      </c>
      <c r="I69" s="15">
        <v>600</v>
      </c>
      <c r="J69" s="15">
        <v>600</v>
      </c>
      <c r="K69" s="15">
        <v>560</v>
      </c>
      <c r="L69" s="15">
        <v>560</v>
      </c>
      <c r="M69" s="38">
        <v>6210</v>
      </c>
      <c r="N69" s="18">
        <v>8024.4</v>
      </c>
      <c r="O69" s="43">
        <v>2040</v>
      </c>
      <c r="P69" s="43">
        <v>600</v>
      </c>
      <c r="Q69" s="43" t="str">
        <f>IF(OR(Прайс[[#This Row],[Тип]]="Нижний",Прайс[[#This Row],[Тип]]="Пенал"),"560",IF(Прайс[[#This Row],[Тип]]="Верхний",315,0))</f>
        <v>560</v>
      </c>
      <c r="R69" s="20">
        <v>1.08</v>
      </c>
      <c r="S69" s="20">
        <v>1.0649999999999999</v>
      </c>
      <c r="T69" s="20">
        <v>1.3</v>
      </c>
      <c r="U69" s="16">
        <f>'[2]комплекты фурнитуры'!$C$62</f>
        <v>620</v>
      </c>
      <c r="V69" s="23"/>
      <c r="W69" s="16"/>
      <c r="X69" s="16"/>
      <c r="Y69" s="16"/>
      <c r="Z69" s="16"/>
      <c r="AA69" s="16"/>
      <c r="AB69" s="16"/>
      <c r="AC69" s="16"/>
      <c r="AD69" s="16"/>
      <c r="AE69" s="23"/>
      <c r="AF69" s="16"/>
      <c r="AG69" s="23"/>
      <c r="AH69" s="16"/>
      <c r="AI69" s="16"/>
      <c r="AJ69" s="23"/>
      <c r="AK69" s="23"/>
      <c r="AL69" s="23"/>
      <c r="AM69" s="23"/>
      <c r="AN69" s="23"/>
      <c r="AO69" s="23"/>
      <c r="AP69" s="23"/>
      <c r="AQ69" s="23"/>
      <c r="AR69" s="16"/>
      <c r="AS69" s="16"/>
      <c r="AT69" s="16"/>
      <c r="AU69" s="16"/>
      <c r="AV69" s="16"/>
      <c r="AW69" s="16"/>
      <c r="AX69" s="17" t="e">
        <f>#REF!*4+Прайс[[#This Row],[КФ петли SENS накл.110 гр. с крестообр. Планкой]]*5</f>
        <v>#REF!</v>
      </c>
      <c r="AY69" s="17" t="e">
        <f>#REF!*4+Прайс[[#This Row],[КФ петли SENS накл.110 гр. с крестообр. Планкой]]*5</f>
        <v>#REF!</v>
      </c>
      <c r="AZ69" s="17" t="e">
        <f>#REF!*4+Прайс[[#This Row],[КФ петли SENS накл.110 гр. с крестообр. Планкой]]*5</f>
        <v>#REF!</v>
      </c>
      <c r="BA69" s="19">
        <v>0</v>
      </c>
      <c r="BB69" s="19">
        <v>1</v>
      </c>
      <c r="BC69" s="19" t="s">
        <v>94</v>
      </c>
      <c r="BD69" s="18" t="s">
        <v>137</v>
      </c>
      <c r="BE69" s="19">
        <v>0</v>
      </c>
      <c r="BF69" s="19" t="s">
        <v>94</v>
      </c>
      <c r="BG69" s="19"/>
      <c r="BH69" s="19"/>
      <c r="BI69" s="19">
        <v>2</v>
      </c>
      <c r="BJ69" s="19">
        <v>0</v>
      </c>
      <c r="BK69" s="19">
        <v>0</v>
      </c>
      <c r="BL69" s="19"/>
      <c r="BM69" s="19"/>
      <c r="BN69" s="19"/>
      <c r="BO69" s="19"/>
      <c r="BP69" s="19" t="s">
        <v>94</v>
      </c>
      <c r="BQ69" s="19">
        <f>IF(Прайс[[#This Row],[Наличие подсветки на нижнем горизонте]]="Нет",0,'[2]комплекты фурнитуры'!$C$91)</f>
        <v>0</v>
      </c>
      <c r="BR69"/>
      <c r="BS69"/>
      <c r="BT69"/>
      <c r="BU69"/>
      <c r="BV69"/>
      <c r="BW69"/>
      <c r="BX69"/>
    </row>
    <row r="70" spans="1:76" ht="15" customHeight="1" x14ac:dyDescent="0.25">
      <c r="A70" s="31" t="s">
        <v>252</v>
      </c>
      <c r="B70" s="14" t="s">
        <v>232</v>
      </c>
      <c r="C70" s="14" t="s">
        <v>253</v>
      </c>
      <c r="D70" s="14" t="s">
        <v>99</v>
      </c>
      <c r="E70" s="14" t="s">
        <v>94</v>
      </c>
      <c r="F70" s="14" t="s">
        <v>124</v>
      </c>
      <c r="G70" s="15">
        <v>2000</v>
      </c>
      <c r="H70" s="15">
        <v>2280</v>
      </c>
      <c r="I70" s="15">
        <v>300</v>
      </c>
      <c r="J70" s="15">
        <v>600</v>
      </c>
      <c r="K70" s="15">
        <v>560</v>
      </c>
      <c r="L70" s="15">
        <v>560</v>
      </c>
      <c r="M70" s="38">
        <v>9310</v>
      </c>
      <c r="N70" s="18">
        <v>11930</v>
      </c>
      <c r="O70" s="43">
        <v>2040</v>
      </c>
      <c r="P70" s="43">
        <v>600</v>
      </c>
      <c r="Q70" s="43" t="str">
        <f>IF(OR(Прайс[[#This Row],[Тип]]="Нижний",Прайс[[#This Row],[Тип]]="Пенал"),"560",IF(Прайс[[#This Row],[Тип]]="Верхний",315,0))</f>
        <v>560</v>
      </c>
      <c r="R70" s="20">
        <v>1.08</v>
      </c>
      <c r="S70" s="20">
        <v>1.0649999999999999</v>
      </c>
      <c r="T70" s="20">
        <v>0</v>
      </c>
      <c r="U70" s="16">
        <f>'[2]комплекты фурнитуры'!$C$62</f>
        <v>620</v>
      </c>
      <c r="V70" s="16">
        <f>'[2]комплекты фурнитуры'!$C$63</f>
        <v>130</v>
      </c>
      <c r="W70" s="16"/>
      <c r="X70" s="16"/>
      <c r="Y70" s="16"/>
      <c r="Z70" s="16"/>
      <c r="AA70" s="16"/>
      <c r="AB70" s="16"/>
      <c r="AC70" s="16"/>
      <c r="AD70" s="16"/>
      <c r="AE70" s="23"/>
      <c r="AF70" s="16"/>
      <c r="AG70" s="23"/>
      <c r="AH70" s="16"/>
      <c r="AI70" s="16"/>
      <c r="AJ70" s="16">
        <f>'[2]комплекты фурнитуры'!$C$25</f>
        <v>5100</v>
      </c>
      <c r="AK70" s="16">
        <f>'[2]комплекты фурнитуры'!$C$26</f>
        <v>6660</v>
      </c>
      <c r="AL70" s="16">
        <f>'[2]комплекты фурнитуры'!$C$32</f>
        <v>370</v>
      </c>
      <c r="AM70" s="16">
        <f>'[2]комплекты фурнитуры'!$C$31</f>
        <v>950</v>
      </c>
      <c r="AN70" s="16">
        <f>'[2]комплекты фурнитуры'!$C$33</f>
        <v>170</v>
      </c>
      <c r="AO70" s="16">
        <f>'[2]комплекты фурнитуры'!$C$35</f>
        <v>4140</v>
      </c>
      <c r="AP70" s="16">
        <f>'[2]комплекты фурнитуры'!$C$34</f>
        <v>5040</v>
      </c>
      <c r="AQ70" s="16">
        <f>'[2]комплекты фурнитуры'!$C$36</f>
        <v>6440</v>
      </c>
      <c r="AR70" s="16">
        <f>'[2]комплекты фурнитуры'!$C$37</f>
        <v>7970</v>
      </c>
      <c r="AS70" s="16"/>
      <c r="AT70" s="16"/>
      <c r="AU70" s="16"/>
      <c r="AV70" s="16"/>
      <c r="AW70" s="16"/>
      <c r="AX70" s="17">
        <f>Прайс[[#This Row],[Комплект для ящика Hettich ATIRA Серый, NL-470, H-70]]*2+Прайс[[#This Row],[Комплект для ящика Hettich ATIRA Серый с реллингом, NL-470, H-176]]+Прайс[[#This Row],[КФ петли SENS накл.110 гр. с крестообр. Планкой]]*3</f>
        <v>18720</v>
      </c>
      <c r="AY70" s="18">
        <f>Прайс[[#This Row],[KFN-SB-M86]]*2+Прайс[[#This Row],[KFN-SB-M15]]+Прайс[[#This Row],[KFN-SB-MD]]*3+Прайс[[#This Row],[KFP-SB-N110]]*3</f>
        <v>2590</v>
      </c>
      <c r="AZ70" s="18">
        <f>Прайс[[#This Row],[Комплект ящика INNOTECH ATIRA полного выдв. с  PUSH TO OPEN , Н70,NL470,цвет серебристый]]*2+Прайс[[#This Row],[Комплект короба INNOTECH ATIRA полного выдв. с Push to open, Н176,NL470,рейлинги, цвет серебристый]]+Прайс[[#This Row],[KFP-SB-N110]]*3</f>
        <v>21240</v>
      </c>
      <c r="BA70" s="19">
        <v>2</v>
      </c>
      <c r="BB70" s="19">
        <v>2</v>
      </c>
      <c r="BC70" s="19" t="s">
        <v>94</v>
      </c>
      <c r="BD70" s="18" t="s">
        <v>125</v>
      </c>
      <c r="BE70" s="19">
        <v>2</v>
      </c>
      <c r="BF70" s="19" t="s">
        <v>110</v>
      </c>
      <c r="BG70" s="19"/>
      <c r="BH70" s="19"/>
      <c r="BI70" s="19">
        <v>4</v>
      </c>
      <c r="BJ70" s="19">
        <v>0</v>
      </c>
      <c r="BK70" s="19">
        <v>0</v>
      </c>
      <c r="BL70" s="19"/>
      <c r="BM70" s="19"/>
      <c r="BN70" s="19"/>
      <c r="BO70" s="19"/>
      <c r="BP70" s="19" t="s">
        <v>94</v>
      </c>
      <c r="BQ70" s="19">
        <f>IF(Прайс[[#This Row],[Наличие подсветки на нижнем горизонте]]="Нет",0,'[2]комплекты фурнитуры'!$C$91)</f>
        <v>0</v>
      </c>
      <c r="BR70"/>
      <c r="BS70"/>
      <c r="BT70"/>
      <c r="BU70"/>
      <c r="BV70"/>
      <c r="BW70"/>
      <c r="BX70"/>
    </row>
    <row r="71" spans="1:76" ht="15" customHeight="1" x14ac:dyDescent="0.25">
      <c r="A71" s="27" t="s">
        <v>254</v>
      </c>
      <c r="B71" s="14" t="s">
        <v>232</v>
      </c>
      <c r="C71" s="14" t="s">
        <v>255</v>
      </c>
      <c r="D71" s="14" t="s">
        <v>99</v>
      </c>
      <c r="E71" s="14" t="s">
        <v>94</v>
      </c>
      <c r="F71" s="14" t="s">
        <v>124</v>
      </c>
      <c r="G71" s="15">
        <v>2000</v>
      </c>
      <c r="H71" s="15">
        <v>2280</v>
      </c>
      <c r="I71" s="15">
        <v>300</v>
      </c>
      <c r="J71" s="15">
        <v>600</v>
      </c>
      <c r="K71" s="15">
        <v>560</v>
      </c>
      <c r="L71" s="15">
        <v>560</v>
      </c>
      <c r="M71" s="38">
        <v>8710</v>
      </c>
      <c r="N71" s="18">
        <v>11170</v>
      </c>
      <c r="O71" s="43">
        <v>2040</v>
      </c>
      <c r="P71" s="43">
        <v>600</v>
      </c>
      <c r="Q71" s="43" t="str">
        <f>IF(OR(Прайс[[#This Row],[Тип]]="Нижний",Прайс[[#This Row],[Тип]]="Пенал"),"560",IF(Прайс[[#This Row],[Тип]]="Верхний",315,0))</f>
        <v>560</v>
      </c>
      <c r="R71" s="20">
        <v>1.08</v>
      </c>
      <c r="S71" s="20">
        <v>1.0649999999999999</v>
      </c>
      <c r="T71" s="20">
        <v>0</v>
      </c>
      <c r="U71" s="16">
        <f>'[2]комплекты фурнитуры'!$C$62</f>
        <v>620</v>
      </c>
      <c r="V71" s="16">
        <f>'[2]комплекты фурнитуры'!$C$63</f>
        <v>130</v>
      </c>
      <c r="W71" s="16"/>
      <c r="X71" s="16"/>
      <c r="Y71" s="16"/>
      <c r="Z71" s="16"/>
      <c r="AA71" s="16"/>
      <c r="AB71" s="16"/>
      <c r="AC71" s="16"/>
      <c r="AD71" s="16"/>
      <c r="AE71" s="23"/>
      <c r="AF71" s="16"/>
      <c r="AG71" s="23"/>
      <c r="AH71" s="16"/>
      <c r="AI71" s="16"/>
      <c r="AJ71" s="23"/>
      <c r="AK71" s="16">
        <f>'[2]комплекты фурнитуры'!$C$26</f>
        <v>6660</v>
      </c>
      <c r="AL71" s="23"/>
      <c r="AM71" s="16">
        <f>'[2]комплекты фурнитуры'!$C$31</f>
        <v>950</v>
      </c>
      <c r="AN71" s="16">
        <f>'[2]комплекты фурнитуры'!$C$33</f>
        <v>170</v>
      </c>
      <c r="AO71" s="23"/>
      <c r="AP71" s="16">
        <f>'[2]комплекты фурнитуры'!$C$34</f>
        <v>5040</v>
      </c>
      <c r="AQ71" s="16">
        <f>'[2]комплекты фурнитуры'!$C$36</f>
        <v>6440</v>
      </c>
      <c r="AR71" s="16">
        <f>'[2]комплекты фурнитуры'!$C$37</f>
        <v>7970</v>
      </c>
      <c r="AS71" s="16"/>
      <c r="AT71" s="16"/>
      <c r="AU71" s="16"/>
      <c r="AV71" s="16"/>
      <c r="AW71" s="16"/>
      <c r="AX71" s="17">
        <f>Прайс[[#This Row],[Комплект для ящика Hettich ATIRA Серый с реллингом, NL-470, H-176]]*2+Прайс[[#This Row],[КФ петли SENS накл.110 гр. с крестообр. Планкой]]*3</f>
        <v>15180</v>
      </c>
      <c r="AY71" s="18">
        <f>Прайс[[#This Row],[KFN-SB-M15]]*2+Прайс[[#This Row],[KFN-SB-MD]]*2+Прайс[[#This Row],[KFP-SB-N110]]*3</f>
        <v>2630</v>
      </c>
      <c r="AZ71" s="18">
        <f>Прайс[[#This Row],[Комплект ящика INNOTECH ATIRA полного выдв. с  PUSH TO OPEN , Н70,NL470,цвет серебристый]]*2+Прайс[[#This Row],[KFP-SB-N110]]*3</f>
        <v>13270</v>
      </c>
      <c r="BA71" s="19">
        <v>2</v>
      </c>
      <c r="BB71" s="19">
        <v>2</v>
      </c>
      <c r="BC71" s="19" t="s">
        <v>94</v>
      </c>
      <c r="BD71" s="18" t="s">
        <v>125</v>
      </c>
      <c r="BE71" s="19">
        <v>2</v>
      </c>
      <c r="BF71" s="19" t="s">
        <v>110</v>
      </c>
      <c r="BG71" s="19"/>
      <c r="BH71" s="19"/>
      <c r="BI71" s="19">
        <v>3</v>
      </c>
      <c r="BJ71" s="19">
        <v>0</v>
      </c>
      <c r="BK71" s="19">
        <v>0</v>
      </c>
      <c r="BL71" s="19"/>
      <c r="BM71" s="19"/>
      <c r="BN71" s="19"/>
      <c r="BO71" s="19"/>
      <c r="BP71" s="19" t="s">
        <v>94</v>
      </c>
      <c r="BQ71" s="19">
        <f>IF(Прайс[[#This Row],[Наличие подсветки на нижнем горизонте]]="Нет",0,'[2]комплекты фурнитуры'!$C$91)</f>
        <v>0</v>
      </c>
      <c r="BR71"/>
      <c r="BS71"/>
      <c r="BT71"/>
      <c r="BU71"/>
      <c r="BV71"/>
      <c r="BW71"/>
      <c r="BX71"/>
    </row>
    <row r="72" spans="1:76" s="9" customFormat="1" ht="15" customHeight="1" x14ac:dyDescent="0.25">
      <c r="A72" s="27" t="s">
        <v>256</v>
      </c>
      <c r="B72" s="14" t="s">
        <v>232</v>
      </c>
      <c r="C72" s="14" t="s">
        <v>257</v>
      </c>
      <c r="D72" s="14" t="s">
        <v>99</v>
      </c>
      <c r="E72" s="14" t="s">
        <v>110</v>
      </c>
      <c r="F72" s="14" t="s">
        <v>238</v>
      </c>
      <c r="G72" s="15">
        <v>2000</v>
      </c>
      <c r="H72" s="15">
        <v>2280</v>
      </c>
      <c r="I72" s="15">
        <v>600</v>
      </c>
      <c r="J72" s="15">
        <v>600</v>
      </c>
      <c r="K72" s="15">
        <v>560</v>
      </c>
      <c r="L72" s="15">
        <v>560</v>
      </c>
      <c r="M72" s="38">
        <v>7905.6</v>
      </c>
      <c r="N72" s="18">
        <v>10141.200000000001</v>
      </c>
      <c r="O72" s="43">
        <v>2040</v>
      </c>
      <c r="P72" s="43">
        <v>600</v>
      </c>
      <c r="Q72" s="43" t="str">
        <f>IF(OR(Прайс[[#This Row],[Тип]]="Нижний",Прайс[[#This Row],[Тип]]="Пенал"),"560",IF(Прайс[[#This Row],[Тип]]="Верхний",315,0))</f>
        <v>560</v>
      </c>
      <c r="R72" s="20">
        <v>1.08</v>
      </c>
      <c r="S72" s="20">
        <v>1.0649999999999999</v>
      </c>
      <c r="T72" s="20">
        <v>1.3</v>
      </c>
      <c r="U72" s="16">
        <f>'[2]комплекты фурнитуры'!$C$62</f>
        <v>620</v>
      </c>
      <c r="V72" s="23"/>
      <c r="W72" s="16"/>
      <c r="X72" s="16"/>
      <c r="Y72" s="16"/>
      <c r="Z72" s="16"/>
      <c r="AA72" s="16"/>
      <c r="AB72" s="16"/>
      <c r="AC72" s="16"/>
      <c r="AD72" s="16"/>
      <c r="AE72" s="23"/>
      <c r="AF72" s="16"/>
      <c r="AG72" s="23"/>
      <c r="AH72" s="16"/>
      <c r="AI72" s="16"/>
      <c r="AJ72" s="23"/>
      <c r="AK72" s="23"/>
      <c r="AL72" s="23"/>
      <c r="AM72" s="23"/>
      <c r="AN72" s="23"/>
      <c r="AO72" s="23"/>
      <c r="AP72" s="23"/>
      <c r="AQ72" s="23"/>
      <c r="AR72" s="16"/>
      <c r="AS72" s="16"/>
      <c r="AT72" s="16"/>
      <c r="AU72" s="16"/>
      <c r="AV72" s="16"/>
      <c r="AW72" s="16"/>
      <c r="AX72" s="17" t="e">
        <f>#REF!*4+Прайс[[#This Row],[КФ петли SENS накл.110 гр. с крестообр. Планкой]]*4</f>
        <v>#REF!</v>
      </c>
      <c r="AY72" s="17" t="e">
        <f>#REF!*4+Прайс[[#This Row],[КФ петли SENS накл.110 гр. с крестообр. Планкой]]*4</f>
        <v>#REF!</v>
      </c>
      <c r="AZ72" s="17" t="e">
        <f>#REF!*4+Прайс[[#This Row],[КФ петли SENS накл.110 гр. с крестообр. Планкой]]*4</f>
        <v>#REF!</v>
      </c>
      <c r="BA72" s="19">
        <v>2</v>
      </c>
      <c r="BB72" s="19">
        <v>3</v>
      </c>
      <c r="BC72" s="19" t="s">
        <v>94</v>
      </c>
      <c r="BD72" s="32" t="s">
        <v>137</v>
      </c>
      <c r="BE72" s="19">
        <v>2</v>
      </c>
      <c r="BF72" s="19" t="s">
        <v>94</v>
      </c>
      <c r="BG72" s="19"/>
      <c r="BH72" s="19"/>
      <c r="BI72" s="19">
        <v>2</v>
      </c>
      <c r="BJ72" s="19">
        <v>0</v>
      </c>
      <c r="BK72" s="19">
        <v>0</v>
      </c>
      <c r="BL72" s="19"/>
      <c r="BM72" s="19"/>
      <c r="BN72" s="19"/>
      <c r="BO72" s="19"/>
      <c r="BP72" s="19" t="s">
        <v>94</v>
      </c>
      <c r="BQ72" s="19">
        <f>IF(Прайс[[#This Row],[Наличие подсветки на нижнем горизонте]]="Нет",0,'[2]комплекты фурнитуры'!$C$91)</f>
        <v>0</v>
      </c>
    </row>
    <row r="73" spans="1:76" s="9" customFormat="1" ht="15" customHeight="1" x14ac:dyDescent="0.25">
      <c r="A73" s="27" t="s">
        <v>258</v>
      </c>
      <c r="B73" s="14" t="s">
        <v>232</v>
      </c>
      <c r="C73" s="14" t="s">
        <v>259</v>
      </c>
      <c r="D73" s="14" t="s">
        <v>99</v>
      </c>
      <c r="E73" s="14" t="s">
        <v>110</v>
      </c>
      <c r="F73" s="14" t="s">
        <v>238</v>
      </c>
      <c r="G73" s="15">
        <v>2000</v>
      </c>
      <c r="H73" s="15">
        <v>2280</v>
      </c>
      <c r="I73" s="15">
        <v>600</v>
      </c>
      <c r="J73" s="15">
        <v>600</v>
      </c>
      <c r="K73" s="15">
        <v>560</v>
      </c>
      <c r="L73" s="15">
        <v>560</v>
      </c>
      <c r="M73" s="38">
        <v>7905.6</v>
      </c>
      <c r="N73" s="18">
        <v>10141.200000000001</v>
      </c>
      <c r="O73" s="43">
        <v>2040</v>
      </c>
      <c r="P73" s="43">
        <v>600</v>
      </c>
      <c r="Q73" s="43" t="str">
        <f>IF(OR(Прайс[[#This Row],[Тип]]="Нижний",Прайс[[#This Row],[Тип]]="Пенал"),"560",IF(Прайс[[#This Row],[Тип]]="Верхний",315,0))</f>
        <v>560</v>
      </c>
      <c r="R73" s="20">
        <v>1.08</v>
      </c>
      <c r="S73" s="20">
        <v>1.0649999999999999</v>
      </c>
      <c r="T73" s="20">
        <v>1.3</v>
      </c>
      <c r="U73" s="16">
        <f>'[2]комплекты фурнитуры'!$C$62</f>
        <v>620</v>
      </c>
      <c r="V73" s="23"/>
      <c r="W73" s="16"/>
      <c r="X73" s="16"/>
      <c r="Y73" s="16"/>
      <c r="Z73" s="16"/>
      <c r="AA73" s="16"/>
      <c r="AB73" s="16"/>
      <c r="AC73" s="16"/>
      <c r="AD73" s="16"/>
      <c r="AE73" s="23"/>
      <c r="AF73" s="16"/>
      <c r="AG73" s="23"/>
      <c r="AH73" s="16"/>
      <c r="AI73" s="16"/>
      <c r="AJ73" s="23"/>
      <c r="AK73" s="23"/>
      <c r="AL73" s="23"/>
      <c r="AM73" s="23"/>
      <c r="AN73" s="23"/>
      <c r="AO73" s="23"/>
      <c r="AP73" s="23"/>
      <c r="AQ73" s="23"/>
      <c r="AR73" s="16"/>
      <c r="AS73" s="16"/>
      <c r="AT73" s="16"/>
      <c r="AU73" s="16"/>
      <c r="AV73" s="16"/>
      <c r="AW73" s="16"/>
      <c r="AX73" s="17" t="e">
        <f>#REF!*4+Прайс[[#This Row],[КФ петли SENS накл.110 гр. с крестообр. Планкой]]*4</f>
        <v>#REF!</v>
      </c>
      <c r="AY73" s="17" t="e">
        <f>#REF!*4+Прайс[[#This Row],[КФ петли SENS накл.110 гр. с крестообр. Планкой]]*4</f>
        <v>#REF!</v>
      </c>
      <c r="AZ73" s="17" t="e">
        <f>#REF!*4+Прайс[[#This Row],[КФ петли SENS накл.110 гр. с крестообр. Планкой]]*4</f>
        <v>#REF!</v>
      </c>
      <c r="BA73" s="19">
        <v>2</v>
      </c>
      <c r="BB73" s="19">
        <v>3</v>
      </c>
      <c r="BC73" s="19" t="s">
        <v>94</v>
      </c>
      <c r="BD73" s="32" t="s">
        <v>137</v>
      </c>
      <c r="BE73" s="19">
        <v>2</v>
      </c>
      <c r="BF73" s="19" t="s">
        <v>94</v>
      </c>
      <c r="BG73" s="19"/>
      <c r="BH73" s="19"/>
      <c r="BI73" s="19">
        <v>2</v>
      </c>
      <c r="BJ73" s="19">
        <v>0</v>
      </c>
      <c r="BK73" s="19">
        <v>0</v>
      </c>
      <c r="BL73" s="19"/>
      <c r="BM73" s="19"/>
      <c r="BN73" s="19"/>
      <c r="BO73" s="19"/>
      <c r="BP73" s="19" t="s">
        <v>94</v>
      </c>
      <c r="BQ73" s="19">
        <f>IF(Прайс[[#This Row],[Наличие подсветки на нижнем горизонте]]="Нет",0,'[2]комплекты фурнитуры'!$C$91)</f>
        <v>0</v>
      </c>
    </row>
    <row r="74" spans="1:76" s="10" customFormat="1" ht="15" customHeight="1" x14ac:dyDescent="0.25">
      <c r="A74" s="27" t="s">
        <v>260</v>
      </c>
      <c r="B74" s="14" t="s">
        <v>232</v>
      </c>
      <c r="C74" s="14" t="s">
        <v>261</v>
      </c>
      <c r="D74" s="14" t="s">
        <v>99</v>
      </c>
      <c r="E74" s="14" t="s">
        <v>94</v>
      </c>
      <c r="F74" s="14" t="s">
        <v>238</v>
      </c>
      <c r="G74" s="15">
        <v>2000</v>
      </c>
      <c r="H74" s="15">
        <v>2280</v>
      </c>
      <c r="I74" s="15">
        <v>600</v>
      </c>
      <c r="J74" s="15">
        <v>600</v>
      </c>
      <c r="K74" s="15">
        <v>560</v>
      </c>
      <c r="L74" s="15">
        <v>560</v>
      </c>
      <c r="M74" s="38">
        <v>8640</v>
      </c>
      <c r="N74" s="18">
        <v>11090</v>
      </c>
      <c r="O74" s="43">
        <v>2040</v>
      </c>
      <c r="P74" s="43">
        <v>600</v>
      </c>
      <c r="Q74" s="43" t="str">
        <f>IF(OR(Прайс[[#This Row],[Тип]]="Нижний",Прайс[[#This Row],[Тип]]="Пенал"),"560",IF(Прайс[[#This Row],[Тип]]="Верхний",315,0))</f>
        <v>560</v>
      </c>
      <c r="R74" s="20">
        <v>1.08</v>
      </c>
      <c r="S74" s="20">
        <v>1.0649999999999999</v>
      </c>
      <c r="T74" s="20">
        <v>0</v>
      </c>
      <c r="U74" s="16">
        <f>'[2]комплекты фурнитуры'!$C$62</f>
        <v>620</v>
      </c>
      <c r="V74" s="16">
        <f>'[2]комплекты фурнитуры'!$C$63</f>
        <v>130</v>
      </c>
      <c r="W74" s="16"/>
      <c r="X74" s="16"/>
      <c r="Y74" s="16"/>
      <c r="Z74" s="16"/>
      <c r="AA74" s="16"/>
      <c r="AB74" s="16"/>
      <c r="AC74" s="16"/>
      <c r="AD74" s="16"/>
      <c r="AE74" s="23"/>
      <c r="AF74" s="16"/>
      <c r="AG74" s="23"/>
      <c r="AH74" s="16"/>
      <c r="AI74" s="16"/>
      <c r="AJ74" s="23"/>
      <c r="AK74" s="16">
        <f>'[2]комплекты фурнитуры'!$C$26</f>
        <v>6660</v>
      </c>
      <c r="AL74" s="23"/>
      <c r="AM74" s="16">
        <f>'[2]комплекты фурнитуры'!$C$31</f>
        <v>950</v>
      </c>
      <c r="AN74" s="16">
        <f>'[2]комплекты фурнитуры'!$C$33</f>
        <v>170</v>
      </c>
      <c r="AO74" s="23"/>
      <c r="AP74" s="16">
        <f>'[2]комплекты фурнитуры'!$C$34</f>
        <v>5040</v>
      </c>
      <c r="AQ74" s="16">
        <f>'[2]комплекты фурнитуры'!$C$36</f>
        <v>6440</v>
      </c>
      <c r="AR74" s="16"/>
      <c r="AS74" s="16"/>
      <c r="AT74" s="16"/>
      <c r="AU74" s="16"/>
      <c r="AV74" s="16"/>
      <c r="AW74" s="16"/>
      <c r="AX74" s="17">
        <f>Прайс[[#This Row],[Комплект для ящика Hettich ATIRA Серый с реллингом, NL-470, H-176]]*2+Прайс[[#This Row],[КФ петли SENS накл.110 гр. с крестообр. Планкой]]*2</f>
        <v>14560</v>
      </c>
      <c r="AY74" s="18">
        <f>Прайс[[#This Row],[KFN-SB-M15]]*2+Прайс[[#This Row],[KFN-SB-MD]]*2+Прайс[[#This Row],[KFP-SB-N110]]*2</f>
        <v>2500</v>
      </c>
      <c r="AZ74" s="18">
        <f>Прайс[[#This Row],[Комплект ящика INNOTECH ATIRA полного выдв. с  PUSH TO OPEN , Н70,NL470,цвет серебристый]]*2+Прайс[[#This Row],[KFP-SB-N110]]*2</f>
        <v>13140</v>
      </c>
      <c r="BA74" s="19">
        <v>1</v>
      </c>
      <c r="BB74" s="19">
        <v>2</v>
      </c>
      <c r="BC74" s="19" t="s">
        <v>110</v>
      </c>
      <c r="BD74" s="18" t="s">
        <v>96</v>
      </c>
      <c r="BE74" s="19">
        <v>1</v>
      </c>
      <c r="BF74" s="19" t="s">
        <v>94</v>
      </c>
      <c r="BG74" s="19"/>
      <c r="BH74" s="19"/>
      <c r="BI74" s="19">
        <v>3</v>
      </c>
      <c r="BJ74" s="19">
        <v>0</v>
      </c>
      <c r="BK74" s="19">
        <v>0</v>
      </c>
      <c r="BL74" s="19"/>
      <c r="BM74" s="19"/>
      <c r="BN74" s="19"/>
      <c r="BO74" s="19"/>
      <c r="BP74" s="19" t="s">
        <v>94</v>
      </c>
      <c r="BQ74" s="19">
        <f>IF(Прайс[[#This Row],[Наличие подсветки на нижнем горизонте]]="Нет",0,'[2]комплекты фурнитуры'!$C$91)</f>
        <v>0</v>
      </c>
    </row>
    <row r="75" spans="1:76" s="10" customFormat="1" ht="15" customHeight="1" x14ac:dyDescent="0.25">
      <c r="A75" s="27" t="s">
        <v>262</v>
      </c>
      <c r="B75" s="14" t="s">
        <v>232</v>
      </c>
      <c r="C75" s="14" t="s">
        <v>263</v>
      </c>
      <c r="D75" s="14" t="s">
        <v>99</v>
      </c>
      <c r="E75" s="14" t="s">
        <v>94</v>
      </c>
      <c r="F75" s="14" t="s">
        <v>238</v>
      </c>
      <c r="G75" s="15">
        <v>2000</v>
      </c>
      <c r="H75" s="15">
        <v>2280</v>
      </c>
      <c r="I75" s="15">
        <v>600</v>
      </c>
      <c r="J75" s="15">
        <v>600</v>
      </c>
      <c r="K75" s="15">
        <v>560</v>
      </c>
      <c r="L75" s="15">
        <v>560</v>
      </c>
      <c r="M75" s="38">
        <v>8640</v>
      </c>
      <c r="N75" s="18">
        <v>11090</v>
      </c>
      <c r="O75" s="43">
        <v>2040</v>
      </c>
      <c r="P75" s="43">
        <v>600</v>
      </c>
      <c r="Q75" s="43" t="str">
        <f>IF(OR(Прайс[[#This Row],[Тип]]="Нижний",Прайс[[#This Row],[Тип]]="Пенал"),"560",IF(Прайс[[#This Row],[Тип]]="Верхний",315,0))</f>
        <v>560</v>
      </c>
      <c r="R75" s="20">
        <v>1.08</v>
      </c>
      <c r="S75" s="20">
        <v>1.0649999999999999</v>
      </c>
      <c r="T75" s="20">
        <v>0</v>
      </c>
      <c r="U75" s="16">
        <f>'[2]комплекты фурнитуры'!$C$62</f>
        <v>620</v>
      </c>
      <c r="V75" s="16">
        <f>'[2]комплекты фурнитуры'!$C$63</f>
        <v>130</v>
      </c>
      <c r="W75" s="16"/>
      <c r="X75" s="16"/>
      <c r="Y75" s="16"/>
      <c r="Z75" s="16"/>
      <c r="AA75" s="16"/>
      <c r="AB75" s="16"/>
      <c r="AC75" s="16"/>
      <c r="AD75" s="16"/>
      <c r="AE75" s="23"/>
      <c r="AF75" s="16"/>
      <c r="AG75" s="23"/>
      <c r="AH75" s="16"/>
      <c r="AI75" s="16"/>
      <c r="AJ75" s="23"/>
      <c r="AK75" s="16">
        <f>'[2]комплекты фурнитуры'!$C$26</f>
        <v>6660</v>
      </c>
      <c r="AL75" s="23"/>
      <c r="AM75" s="16">
        <f>'[2]комплекты фурнитуры'!$C$31</f>
        <v>950</v>
      </c>
      <c r="AN75" s="16">
        <f>'[2]комплекты фурнитуры'!$C$33</f>
        <v>170</v>
      </c>
      <c r="AO75" s="23"/>
      <c r="AP75" s="16">
        <f>'[2]комплекты фурнитуры'!$C$34</f>
        <v>5040</v>
      </c>
      <c r="AQ75" s="16">
        <f>'[2]комплекты фурнитуры'!$C$36</f>
        <v>6440</v>
      </c>
      <c r="AR75" s="16"/>
      <c r="AS75" s="16"/>
      <c r="AT75" s="16"/>
      <c r="AU75" s="16"/>
      <c r="AV75" s="16"/>
      <c r="AW75" s="16"/>
      <c r="AX75" s="17">
        <f>Прайс[[#This Row],[Комплект для ящика Hettich ATIRA Серый с реллингом, NL-470, H-176]]*2+Прайс[[#This Row],[КФ петли SENS накл.110 гр. с крестообр. Планкой]]*2</f>
        <v>14560</v>
      </c>
      <c r="AY75" s="18">
        <f>Прайс[[#This Row],[KFN-SB-M15]]*2+Прайс[[#This Row],[KFN-SB-MD]]*2+Прайс[[#This Row],[KFP-SB-N110]]*2</f>
        <v>2500</v>
      </c>
      <c r="AZ75" s="18">
        <f>Прайс[[#This Row],[Комплект ящика INNOTECH ATIRA полного выдв. с  PUSH TO OPEN , Н70,NL470,цвет серебристый]]*2+Прайс[[#This Row],[KFP-SB-N110]]*2</f>
        <v>13140</v>
      </c>
      <c r="BA75" s="19">
        <v>1</v>
      </c>
      <c r="BB75" s="19">
        <v>2</v>
      </c>
      <c r="BC75" s="19" t="s">
        <v>110</v>
      </c>
      <c r="BD75" s="18" t="s">
        <v>96</v>
      </c>
      <c r="BE75" s="19">
        <v>1</v>
      </c>
      <c r="BF75" s="19" t="s">
        <v>94</v>
      </c>
      <c r="BG75" s="19"/>
      <c r="BH75" s="19"/>
      <c r="BI75" s="19">
        <v>3</v>
      </c>
      <c r="BJ75" s="19">
        <v>0</v>
      </c>
      <c r="BK75" s="19">
        <v>0</v>
      </c>
      <c r="BL75" s="19"/>
      <c r="BM75" s="19"/>
      <c r="BN75" s="19"/>
      <c r="BO75" s="19"/>
      <c r="BP75" s="19" t="s">
        <v>94</v>
      </c>
      <c r="BQ75" s="19">
        <f>IF(Прайс[[#This Row],[Наличие подсветки на нижнем горизонте]]="Нет",0,'[2]комплекты фурнитуры'!$C$91)</f>
        <v>0</v>
      </c>
    </row>
    <row r="76" spans="1:76" s="10" customFormat="1" ht="15" customHeight="1" x14ac:dyDescent="0.25">
      <c r="A76" s="27" t="s">
        <v>264</v>
      </c>
      <c r="B76" s="14" t="s">
        <v>232</v>
      </c>
      <c r="C76" s="14" t="s">
        <v>265</v>
      </c>
      <c r="D76" s="14" t="s">
        <v>99</v>
      </c>
      <c r="E76" s="14" t="s">
        <v>94</v>
      </c>
      <c r="F76" s="14" t="s">
        <v>238</v>
      </c>
      <c r="G76" s="15">
        <v>2000</v>
      </c>
      <c r="H76" s="15">
        <v>2280</v>
      </c>
      <c r="I76" s="15">
        <v>600</v>
      </c>
      <c r="J76" s="15">
        <v>600</v>
      </c>
      <c r="K76" s="15">
        <v>560</v>
      </c>
      <c r="L76" s="15">
        <v>560</v>
      </c>
      <c r="M76" s="38">
        <v>8640</v>
      </c>
      <c r="N76" s="18">
        <v>11090</v>
      </c>
      <c r="O76" s="43">
        <v>2040</v>
      </c>
      <c r="P76" s="43">
        <v>600</v>
      </c>
      <c r="Q76" s="43" t="str">
        <f>IF(OR(Прайс[[#This Row],[Тип]]="Нижний",Прайс[[#This Row],[Тип]]="Пенал"),"560",IF(Прайс[[#This Row],[Тип]]="Верхний",315,0))</f>
        <v>560</v>
      </c>
      <c r="R76" s="20">
        <v>1.08</v>
      </c>
      <c r="S76" s="20">
        <v>1.0649999999999999</v>
      </c>
      <c r="T76" s="20">
        <v>0</v>
      </c>
      <c r="U76" s="16">
        <f>'[2]комплекты фурнитуры'!$C$62</f>
        <v>620</v>
      </c>
      <c r="V76" s="16">
        <f>'[2]комплекты фурнитуры'!$C$63</f>
        <v>130</v>
      </c>
      <c r="W76" s="16"/>
      <c r="X76" s="16"/>
      <c r="Y76" s="16"/>
      <c r="Z76" s="16"/>
      <c r="AA76" s="16"/>
      <c r="AB76" s="16"/>
      <c r="AC76" s="16"/>
      <c r="AD76" s="16"/>
      <c r="AE76" s="23"/>
      <c r="AF76" s="16"/>
      <c r="AG76" s="23"/>
      <c r="AH76" s="16"/>
      <c r="AI76" s="16"/>
      <c r="AJ76" s="23"/>
      <c r="AK76" s="16">
        <f>'[2]комплекты фурнитуры'!$C$26</f>
        <v>6660</v>
      </c>
      <c r="AL76" s="23"/>
      <c r="AM76" s="16">
        <f>'[2]комплекты фурнитуры'!$C$31</f>
        <v>950</v>
      </c>
      <c r="AN76" s="16">
        <f>'[2]комплекты фурнитуры'!$C$33</f>
        <v>170</v>
      </c>
      <c r="AO76" s="23"/>
      <c r="AP76" s="16">
        <f>'[2]комплекты фурнитуры'!$C$34</f>
        <v>5040</v>
      </c>
      <c r="AQ76" s="16">
        <f>'[2]комплекты фурнитуры'!$C$36</f>
        <v>6440</v>
      </c>
      <c r="AR76" s="16"/>
      <c r="AS76" s="16"/>
      <c r="AT76" s="16"/>
      <c r="AU76" s="16"/>
      <c r="AV76" s="16"/>
      <c r="AW76" s="16"/>
      <c r="AX76" s="17">
        <f>Прайс[[#This Row],[Комплект для ящика Hettich ATIRA Серый с реллингом, NL-470, H-176]]*2+Прайс[[#This Row],[КФ петли SENS накл.110 гр. с крестообр. Планкой]]*2</f>
        <v>14560</v>
      </c>
      <c r="AY76" s="18">
        <f>Прайс[[#This Row],[KFN-SB-M15]]*2+Прайс[[#This Row],[KFN-SB-MD]]*2+Прайс[[#This Row],[KFP-SB-N110]]*2</f>
        <v>2500</v>
      </c>
      <c r="AZ76" s="18">
        <f>Прайс[[#This Row],[Комплект ящика INNOTECH ATIRA полного выдв. с  PUSH TO OPEN , Н70,NL470,цвет серебристый]]*2+Прайс[[#This Row],[KFP-SB-N110]]*2</f>
        <v>13140</v>
      </c>
      <c r="BA76" s="19">
        <v>1</v>
      </c>
      <c r="BB76" s="19">
        <v>2</v>
      </c>
      <c r="BC76" s="19" t="s">
        <v>110</v>
      </c>
      <c r="BD76" s="18" t="s">
        <v>96</v>
      </c>
      <c r="BE76" s="19">
        <v>1</v>
      </c>
      <c r="BF76" s="19" t="s">
        <v>94</v>
      </c>
      <c r="BG76" s="19"/>
      <c r="BH76" s="19"/>
      <c r="BI76" s="19">
        <v>3</v>
      </c>
      <c r="BJ76" s="19">
        <v>0</v>
      </c>
      <c r="BK76" s="19">
        <v>0</v>
      </c>
      <c r="BL76" s="19"/>
      <c r="BM76" s="19"/>
      <c r="BN76" s="19"/>
      <c r="BO76" s="19"/>
      <c r="BP76" s="19" t="s">
        <v>94</v>
      </c>
      <c r="BQ76" s="19">
        <f>IF(Прайс[[#This Row],[Наличие подсветки на нижнем горизонте]]="Нет",0,'[2]комплекты фурнитуры'!$C$91)</f>
        <v>0</v>
      </c>
    </row>
    <row r="77" spans="1:76" ht="15" customHeight="1" x14ac:dyDescent="0.25">
      <c r="A77" s="27" t="s">
        <v>266</v>
      </c>
      <c r="B77" s="14" t="s">
        <v>232</v>
      </c>
      <c r="C77" s="14" t="s">
        <v>267</v>
      </c>
      <c r="D77" s="14" t="s">
        <v>99</v>
      </c>
      <c r="E77" s="14" t="s">
        <v>94</v>
      </c>
      <c r="F77" s="14" t="s">
        <v>268</v>
      </c>
      <c r="G77" s="15">
        <v>2000</v>
      </c>
      <c r="H77" s="15">
        <v>2280</v>
      </c>
      <c r="I77" s="15">
        <v>600</v>
      </c>
      <c r="J77" s="15">
        <v>600</v>
      </c>
      <c r="K77" s="15">
        <v>560</v>
      </c>
      <c r="L77" s="15">
        <v>560</v>
      </c>
      <c r="M77" s="38">
        <v>7500</v>
      </c>
      <c r="N77" s="18">
        <v>9700</v>
      </c>
      <c r="O77" s="43">
        <v>2040</v>
      </c>
      <c r="P77" s="43">
        <v>600</v>
      </c>
      <c r="Q77" s="43" t="str">
        <f>IF(OR(Прайс[[#This Row],[Тип]]="Нижний",Прайс[[#This Row],[Тип]]="Пенал"),"560",IF(Прайс[[#This Row],[Тип]]="Верхний",315,0))</f>
        <v>560</v>
      </c>
      <c r="R77" s="20">
        <v>1.08</v>
      </c>
      <c r="S77" s="20">
        <v>1.0649999999999999</v>
      </c>
      <c r="T77" s="20">
        <v>0</v>
      </c>
      <c r="U77" s="16">
        <f>'[2]комплекты фурнитуры'!$C$62</f>
        <v>620</v>
      </c>
      <c r="V77" s="16">
        <f>'[2]комплекты фурнитуры'!$C$63</f>
        <v>130</v>
      </c>
      <c r="W77" s="16"/>
      <c r="X77" s="16"/>
      <c r="Y77" s="16"/>
      <c r="Z77" s="16"/>
      <c r="AA77" s="16"/>
      <c r="AB77" s="16"/>
      <c r="AC77" s="16"/>
      <c r="AD77" s="16"/>
      <c r="AE77" s="16">
        <f>'[2]комплекты фурнитуры'!$C$67</f>
        <v>6080</v>
      </c>
      <c r="AF77" s="16">
        <f>'[2]комплекты фурнитуры'!$C$68</f>
        <v>6940</v>
      </c>
      <c r="AG77" s="16">
        <f>'[2]комплекты фурнитуры'!$C$70</f>
        <v>2290</v>
      </c>
      <c r="AH77" s="16"/>
      <c r="AI77" s="16"/>
      <c r="AJ77" s="23"/>
      <c r="AK77" s="23"/>
      <c r="AL77" s="23"/>
      <c r="AM77" s="23"/>
      <c r="AN77" s="23"/>
      <c r="AO77" s="23"/>
      <c r="AP77" s="23"/>
      <c r="AQ77" s="23"/>
      <c r="AR77" s="16"/>
      <c r="AS77" s="16"/>
      <c r="AT77" s="16"/>
      <c r="AU77" s="16"/>
      <c r="AV77" s="16"/>
      <c r="AW77" s="16"/>
      <c r="AX77" s="17">
        <f>Прайс[[#This Row],[KFP-SP-PPGK]]+Прайс[[#This Row],[КФ петли SENS накл.110 гр. с крестообр. Планкой]]*2</f>
        <v>7320</v>
      </c>
      <c r="AY77" s="18">
        <f>Прайс[[#This Row],[KFP-SP-PPA]]+Прайс[[#This Row],[KFP-SB-N110]]*4</f>
        <v>2810</v>
      </c>
      <c r="AZ77" s="18">
        <f>Прайс[[#This Row],[KFP-SP-PPA]]+Прайс[[#This Row],[KFP-SB-N110]]*4</f>
        <v>2810</v>
      </c>
      <c r="BA77" s="19">
        <v>1</v>
      </c>
      <c r="BB77" s="19">
        <v>2</v>
      </c>
      <c r="BC77" s="19" t="s">
        <v>94</v>
      </c>
      <c r="BD77" s="18" t="s">
        <v>125</v>
      </c>
      <c r="BE77" s="19">
        <v>1</v>
      </c>
      <c r="BF77" s="19" t="s">
        <v>94</v>
      </c>
      <c r="BG77" s="19"/>
      <c r="BH77" s="19"/>
      <c r="BI77" s="19">
        <v>2</v>
      </c>
      <c r="BJ77" s="19">
        <v>0</v>
      </c>
      <c r="BK77" s="19">
        <v>0</v>
      </c>
      <c r="BL77" s="19"/>
      <c r="BM77" s="19"/>
      <c r="BN77" s="19"/>
      <c r="BO77" s="19"/>
      <c r="BP77" s="19" t="s">
        <v>94</v>
      </c>
      <c r="BQ77" s="19">
        <f>IF(Прайс[[#This Row],[Наличие подсветки на нижнем горизонте]]="Нет",0,'[2]комплекты фурнитуры'!$C$91)</f>
        <v>0</v>
      </c>
      <c r="BR77"/>
      <c r="BS77"/>
      <c r="BT77"/>
      <c r="BU77"/>
      <c r="BV77"/>
      <c r="BW77"/>
      <c r="BX77"/>
    </row>
    <row r="78" spans="1:76" s="6" customFormat="1" ht="15" customHeight="1" x14ac:dyDescent="0.25">
      <c r="A78" s="27" t="s">
        <v>269</v>
      </c>
      <c r="B78" s="14" t="s">
        <v>232</v>
      </c>
      <c r="C78" s="14" t="s">
        <v>270</v>
      </c>
      <c r="D78" s="14" t="s">
        <v>99</v>
      </c>
      <c r="E78" s="14" t="s">
        <v>110</v>
      </c>
      <c r="F78" s="14" t="s">
        <v>268</v>
      </c>
      <c r="G78" s="15">
        <v>1910</v>
      </c>
      <c r="H78" s="15">
        <v>2610</v>
      </c>
      <c r="I78" s="15">
        <v>600</v>
      </c>
      <c r="J78" s="15">
        <v>600</v>
      </c>
      <c r="K78" s="15">
        <v>560</v>
      </c>
      <c r="L78" s="15">
        <v>600</v>
      </c>
      <c r="M78" s="38">
        <v>8078.4</v>
      </c>
      <c r="N78" s="18">
        <v>10357.200000000001</v>
      </c>
      <c r="O78" s="43">
        <v>2040</v>
      </c>
      <c r="P78" s="43">
        <v>600</v>
      </c>
      <c r="Q78" s="43" t="str">
        <f>IF(OR(Прайс[[#This Row],[Тип]]="Нижний",Прайс[[#This Row],[Тип]]="Пенал"),"560",IF(Прайс[[#This Row],[Тип]]="Верхний",315,0))</f>
        <v>560</v>
      </c>
      <c r="R78" s="20">
        <v>1.08</v>
      </c>
      <c r="S78" s="20">
        <v>1.0649999999999999</v>
      </c>
      <c r="T78" s="20">
        <v>0</v>
      </c>
      <c r="U78" s="16">
        <f>'[2]комплекты фурнитуры'!$C$62</f>
        <v>620</v>
      </c>
      <c r="V78" s="23"/>
      <c r="W78" s="16"/>
      <c r="X78" s="16"/>
      <c r="Y78" s="16"/>
      <c r="Z78" s="16"/>
      <c r="AA78" s="16"/>
      <c r="AB78" s="16"/>
      <c r="AC78" s="16"/>
      <c r="AD78" s="16"/>
      <c r="AE78" s="23"/>
      <c r="AF78" s="16"/>
      <c r="AG78" s="23"/>
      <c r="AH78" s="16"/>
      <c r="AI78" s="16"/>
      <c r="AJ78" s="23"/>
      <c r="AK78" s="16">
        <f>'[2]комплекты фурнитуры'!$C$26</f>
        <v>6660</v>
      </c>
      <c r="AL78" s="23"/>
      <c r="AM78" s="23"/>
      <c r="AN78" s="23"/>
      <c r="AO78" s="23"/>
      <c r="AP78" s="16">
        <f>'[2]комплекты фурнитуры'!$C$34</f>
        <v>5040</v>
      </c>
      <c r="AQ78" s="23"/>
      <c r="AR78" s="16"/>
      <c r="AS78" s="16"/>
      <c r="AT78" s="16"/>
      <c r="AU78" s="16"/>
      <c r="AV78" s="16"/>
      <c r="AW78" s="16"/>
      <c r="AX78" s="17" t="e">
        <f>Прайс[[#This Row],[КФ петли SENS накл.110 гр. с крестообр. Планкой]]*2+Прайс[[#This Row],[Комплект для ящика Hettich ATIRA Серый с реллингом, NL-470, H-176]]+#REF!*4</f>
        <v>#REF!</v>
      </c>
      <c r="AY78" s="17" t="e">
        <f>Прайс[[#This Row],[КФ петли SENS накл.110 гр. с крестообр. Планкой]]*2+Прайс[[#This Row],[Комплект для ящика Hettich ATIRA Серый с реллингом, NL-470, H-176]]+#REF!*4</f>
        <v>#REF!</v>
      </c>
      <c r="AZ78" s="17" t="e">
        <f>Прайс[[#This Row],[КФ петли SENS накл.110 гр. с крестообр. Планкой]]*2+Прайс[[#This Row],[Комплект для ящика Hettich ATIRA Серый с реллингом, NL-470, H-176]]+#REF!*4</f>
        <v>#REF!</v>
      </c>
      <c r="BA78" s="19">
        <v>1</v>
      </c>
      <c r="BB78" s="19">
        <v>1</v>
      </c>
      <c r="BC78" s="19" t="s">
        <v>94</v>
      </c>
      <c r="BD78" s="18" t="s">
        <v>137</v>
      </c>
      <c r="BE78" s="19">
        <v>1</v>
      </c>
      <c r="BF78" s="19" t="s">
        <v>94</v>
      </c>
      <c r="BG78" s="19"/>
      <c r="BH78" s="19"/>
      <c r="BI78" s="19">
        <v>2</v>
      </c>
      <c r="BJ78" s="19">
        <v>0</v>
      </c>
      <c r="BK78" s="19">
        <v>0</v>
      </c>
      <c r="BL78" s="19"/>
      <c r="BM78" s="19">
        <f>'[2]комплекты фурнитуры'!$C$22</f>
        <v>940</v>
      </c>
      <c r="BN78" s="19"/>
      <c r="BO78" s="19"/>
      <c r="BP78" s="19" t="s">
        <v>94</v>
      </c>
      <c r="BQ78" s="19">
        <f>IF(Прайс[[#This Row],[Наличие подсветки на нижнем горизонте]]="Нет",0,'[2]комплекты фурнитуры'!$C$91)</f>
        <v>0</v>
      </c>
    </row>
    <row r="79" spans="1:76" ht="15" customHeight="1" x14ac:dyDescent="0.25">
      <c r="A79" s="27" t="s">
        <v>271</v>
      </c>
      <c r="B79" s="14" t="s">
        <v>232</v>
      </c>
      <c r="C79" s="14" t="s">
        <v>272</v>
      </c>
      <c r="D79" s="14" t="s">
        <v>99</v>
      </c>
      <c r="E79" s="14" t="s">
        <v>94</v>
      </c>
      <c r="F79" s="14" t="s">
        <v>249</v>
      </c>
      <c r="G79" s="15">
        <v>2280</v>
      </c>
      <c r="H79" s="15">
        <v>2280</v>
      </c>
      <c r="I79" s="15">
        <v>600</v>
      </c>
      <c r="J79" s="15">
        <v>600</v>
      </c>
      <c r="K79" s="15">
        <v>560</v>
      </c>
      <c r="L79" s="15">
        <v>560</v>
      </c>
      <c r="M79" s="38">
        <v>6800</v>
      </c>
      <c r="N79" s="18">
        <v>8840</v>
      </c>
      <c r="O79" s="43">
        <v>2280</v>
      </c>
      <c r="P79" s="43">
        <v>600</v>
      </c>
      <c r="Q79" s="43" t="str">
        <f>IF(OR(Прайс[[#This Row],[Тип]]="Нижний",Прайс[[#This Row],[Тип]]="Пенал"),"560",IF(Прайс[[#This Row],[Тип]]="Верхний",315,0))</f>
        <v>560</v>
      </c>
      <c r="R79" s="20">
        <v>1.08</v>
      </c>
      <c r="S79" s="20">
        <v>1.0649999999999999</v>
      </c>
      <c r="T79" s="20">
        <v>1.3</v>
      </c>
      <c r="U79" s="16">
        <f>'[2]комплекты фурнитуры'!$C$62</f>
        <v>620</v>
      </c>
      <c r="V79" s="16">
        <f>'[2]комплекты фурнитуры'!$C$63</f>
        <v>130</v>
      </c>
      <c r="W79" s="16"/>
      <c r="X79" s="16"/>
      <c r="Y79" s="16"/>
      <c r="Z79" s="16"/>
      <c r="AA79" s="16"/>
      <c r="AB79" s="16"/>
      <c r="AC79" s="16"/>
      <c r="AD79" s="16"/>
      <c r="AE79" s="16">
        <f>'[2]комплекты фурнитуры'!$C$67</f>
        <v>6080</v>
      </c>
      <c r="AF79" s="16"/>
      <c r="AG79" s="16">
        <f>'[2]комплекты фурнитуры'!$C$70</f>
        <v>2290</v>
      </c>
      <c r="AH79" s="16"/>
      <c r="AI79" s="16"/>
      <c r="AJ79" s="33"/>
      <c r="AK79" s="33"/>
      <c r="AL79" s="33"/>
      <c r="AM79" s="33"/>
      <c r="AN79" s="33"/>
      <c r="AO79" s="33"/>
      <c r="AP79" s="33"/>
      <c r="AQ79" s="33"/>
      <c r="AR79" s="16"/>
      <c r="AS79" s="16"/>
      <c r="AT79" s="16"/>
      <c r="AU79" s="16"/>
      <c r="AV79" s="16"/>
      <c r="AW79" s="16"/>
      <c r="AX79" s="17">
        <f>Прайс[[#This Row],[KFP-SP-PPGK]]+Прайс[[#This Row],[КФ петли SENS накл.110 гр. с крестообр. Планкой]]*5</f>
        <v>9180</v>
      </c>
      <c r="AY79" s="18">
        <f>Прайс[[#This Row],[KFP-SP-PPA]]+Прайс[[#This Row],[KFP-SB-N110]]*7</f>
        <v>3200</v>
      </c>
      <c r="AZ79" s="18">
        <v>0</v>
      </c>
      <c r="BA79" s="19">
        <v>0</v>
      </c>
      <c r="BB79" s="19">
        <v>0</v>
      </c>
      <c r="BC79" s="19" t="s">
        <v>94</v>
      </c>
      <c r="BD79" s="18" t="s">
        <v>125</v>
      </c>
      <c r="BE79" s="19">
        <v>0</v>
      </c>
      <c r="BF79" s="19" t="s">
        <v>94</v>
      </c>
      <c r="BG79" s="19"/>
      <c r="BH79" s="19"/>
      <c r="BI79" s="19">
        <v>3</v>
      </c>
      <c r="BJ79" s="19">
        <v>0</v>
      </c>
      <c r="BK79" s="19">
        <v>0</v>
      </c>
      <c r="BL79" s="19"/>
      <c r="BM79" s="19"/>
      <c r="BN79" s="19"/>
      <c r="BO79" s="19"/>
      <c r="BP79" s="19" t="s">
        <v>94</v>
      </c>
      <c r="BQ79" s="19">
        <f>IF(Прайс[[#This Row],[Наличие подсветки на нижнем горизонте]]="Нет",0,'[2]комплекты фурнитуры'!$C$91)</f>
        <v>0</v>
      </c>
      <c r="BR79"/>
      <c r="BS79"/>
      <c r="BT79"/>
      <c r="BU79"/>
      <c r="BV79"/>
      <c r="BW79"/>
      <c r="BX79"/>
    </row>
    <row r="80" spans="1:76" s="5" customFormat="1" ht="15" customHeight="1" x14ac:dyDescent="0.25">
      <c r="A80" s="34" t="s">
        <v>273</v>
      </c>
      <c r="B80" s="14" t="s">
        <v>174</v>
      </c>
      <c r="C80" s="14" t="s">
        <v>274</v>
      </c>
      <c r="D80" s="14" t="s">
        <v>99</v>
      </c>
      <c r="E80" s="14" t="s">
        <v>94</v>
      </c>
      <c r="F80" s="14" t="s">
        <v>275</v>
      </c>
      <c r="G80" s="15">
        <v>480</v>
      </c>
      <c r="H80" s="15">
        <v>1250</v>
      </c>
      <c r="I80" s="15">
        <v>250</v>
      </c>
      <c r="J80" s="15">
        <v>600</v>
      </c>
      <c r="K80" s="15">
        <v>260</v>
      </c>
      <c r="L80" s="15">
        <v>560</v>
      </c>
      <c r="M80" s="38">
        <v>2530</v>
      </c>
      <c r="N80" s="18">
        <v>3060</v>
      </c>
      <c r="O80" s="43">
        <v>720</v>
      </c>
      <c r="P80" s="43">
        <v>300</v>
      </c>
      <c r="Q80" s="43">
        <f>IF(OR(Прайс[[#This Row],[Тип]]="Нижний",Прайс[[#This Row],[Тип]]="Пенал"),"560",IF(Прайс[[#This Row],[Тип]]="Верхний",315,0))</f>
        <v>315</v>
      </c>
      <c r="R80" s="20">
        <v>1.08</v>
      </c>
      <c r="S80" s="20">
        <v>1.0649999999999999</v>
      </c>
      <c r="T80" s="20">
        <v>1.3</v>
      </c>
      <c r="U80" s="16">
        <f>'[2]комплекты фурнитуры'!$C$62</f>
        <v>620</v>
      </c>
      <c r="V80" s="16">
        <f>'[2]комплекты фурнитуры'!$C$63</f>
        <v>130</v>
      </c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33"/>
      <c r="AQ80" s="16"/>
      <c r="AR80" s="16"/>
      <c r="AS80" s="16"/>
      <c r="AT80" s="16"/>
      <c r="AU80" s="16"/>
      <c r="AV80" s="16"/>
      <c r="AW80" s="16"/>
      <c r="AX80" s="17">
        <f>Прайс[[#This Row],[КФ петли SENS накл.110 гр. с крестообр. Планкой]]*2</f>
        <v>1240</v>
      </c>
      <c r="AY80" s="17">
        <f>Прайс[[#This Row],[KFP-SB-N110]]*2</f>
        <v>260</v>
      </c>
      <c r="AZ80" s="18">
        <f>Прайс[[#This Row],[KFP-SB-N110]]*2</f>
        <v>260</v>
      </c>
      <c r="BA80" s="19">
        <v>0</v>
      </c>
      <c r="BB80" s="19">
        <v>3</v>
      </c>
      <c r="BC80" s="19" t="s">
        <v>110</v>
      </c>
      <c r="BD80" s="18" t="s">
        <v>96</v>
      </c>
      <c r="BE80" s="19">
        <v>0</v>
      </c>
      <c r="BF80" s="19" t="s">
        <v>110</v>
      </c>
      <c r="BG80" s="19"/>
      <c r="BH80" s="19"/>
      <c r="BI80" s="19">
        <v>1</v>
      </c>
      <c r="BJ80" s="19">
        <f>Прайс[[#This Row],[Комплект петли Hettich с доводчиком для алюм.профиля]]*2</f>
        <v>2400</v>
      </c>
      <c r="BK80" s="19">
        <f>Прайс[[#This Row],[Комплект петли Hettich с доводчиком для алюм.профиля]]*2</f>
        <v>2400</v>
      </c>
      <c r="BL80" s="19"/>
      <c r="BM80" s="19"/>
      <c r="BN80" s="19">
        <f>'[2]комплекты фурнитуры'!$C$21</f>
        <v>1690</v>
      </c>
      <c r="BO80" s="19">
        <f>'[2]комплекты фурнитуры'!$C$52</f>
        <v>1200</v>
      </c>
      <c r="BP80" s="19" t="s">
        <v>110</v>
      </c>
      <c r="BQ80" s="19">
        <f>IF(Прайс[[#This Row],[Наличие подсветки на нижнем горизонте]]="Нет",0,'[2]комплекты фурнитуры'!$C$91)</f>
        <v>400</v>
      </c>
    </row>
    <row r="81" spans="1:76" s="5" customFormat="1" ht="15" customHeight="1" x14ac:dyDescent="0.25">
      <c r="A81" s="34" t="s">
        <v>276</v>
      </c>
      <c r="B81" s="14" t="s">
        <v>174</v>
      </c>
      <c r="C81" s="14" t="s">
        <v>277</v>
      </c>
      <c r="D81" s="14" t="s">
        <v>99</v>
      </c>
      <c r="E81" s="14" t="s">
        <v>94</v>
      </c>
      <c r="F81" s="14" t="s">
        <v>275</v>
      </c>
      <c r="G81" s="15">
        <v>480</v>
      </c>
      <c r="H81" s="15">
        <v>1250</v>
      </c>
      <c r="I81" s="15">
        <v>600</v>
      </c>
      <c r="J81" s="15">
        <v>800</v>
      </c>
      <c r="K81" s="15">
        <v>260</v>
      </c>
      <c r="L81" s="15">
        <v>560</v>
      </c>
      <c r="M81" s="38">
        <v>2530</v>
      </c>
      <c r="N81" s="18">
        <v>3060</v>
      </c>
      <c r="O81" s="43">
        <v>720</v>
      </c>
      <c r="P81" s="43">
        <v>300</v>
      </c>
      <c r="Q81" s="43">
        <f>IF(OR(Прайс[[#This Row],[Тип]]="Нижний",Прайс[[#This Row],[Тип]]="Пенал"),"560",IF(Прайс[[#This Row],[Тип]]="Верхний",315,0))</f>
        <v>315</v>
      </c>
      <c r="R81" s="20">
        <v>1.08</v>
      </c>
      <c r="S81" s="20">
        <v>1.0649999999999999</v>
      </c>
      <c r="T81" s="20">
        <v>1.3</v>
      </c>
      <c r="U81" s="16">
        <f>'[2]комплекты фурнитуры'!$C$62</f>
        <v>620</v>
      </c>
      <c r="V81" s="16">
        <f>'[2]комплекты фурнитуры'!$C$63</f>
        <v>130</v>
      </c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33"/>
      <c r="AQ81" s="16"/>
      <c r="AR81" s="16"/>
      <c r="AS81" s="16"/>
      <c r="AT81" s="16"/>
      <c r="AU81" s="16"/>
      <c r="AV81" s="16"/>
      <c r="AW81" s="16"/>
      <c r="AX81" s="17">
        <f>Прайс[[#This Row],[КФ петли SENS накл.110 гр. с крестообр. Планкой]]*4</f>
        <v>2480</v>
      </c>
      <c r="AY81" s="17">
        <f>Прайс[[#This Row],[KFP-SB-N110]]*4</f>
        <v>520</v>
      </c>
      <c r="AZ81" s="18">
        <f>Прайс[[#This Row],[KFP-SB-N110]]*4</f>
        <v>520</v>
      </c>
      <c r="BA81" s="19">
        <v>0</v>
      </c>
      <c r="BB81" s="19">
        <v>3</v>
      </c>
      <c r="BC81" s="19" t="s">
        <v>110</v>
      </c>
      <c r="BD81" s="18" t="s">
        <v>96</v>
      </c>
      <c r="BE81" s="19">
        <v>0</v>
      </c>
      <c r="BF81" s="19" t="s">
        <v>110</v>
      </c>
      <c r="BG81" s="19"/>
      <c r="BH81" s="19"/>
      <c r="BI81" s="19">
        <v>2</v>
      </c>
      <c r="BJ81" s="19">
        <f>Прайс[[#This Row],[Комплект петли Hettich с доводчиком для алюм.профиля]]*4</f>
        <v>4800</v>
      </c>
      <c r="BK81" s="19">
        <f>Прайс[[#This Row],[Комплект петли Hettich с доводчиком для алюм.профиля]]*4</f>
        <v>4800</v>
      </c>
      <c r="BL81" s="19"/>
      <c r="BM81" s="19"/>
      <c r="BN81" s="19">
        <f>'[2]комплекты фурнитуры'!$C$21</f>
        <v>1690</v>
      </c>
      <c r="BO81" s="19">
        <f>'[2]комплекты фурнитуры'!$C$52</f>
        <v>1200</v>
      </c>
      <c r="BP81" s="19" t="s">
        <v>110</v>
      </c>
      <c r="BQ81" s="19">
        <f>IF(Прайс[[#This Row],[Наличие подсветки на нижнем горизонте]]="Нет",0,'[2]комплекты фурнитуры'!$C$91)</f>
        <v>400</v>
      </c>
    </row>
    <row r="82" spans="1:76" ht="15" customHeight="1" x14ac:dyDescent="0.25">
      <c r="A82" s="34" t="s">
        <v>278</v>
      </c>
      <c r="B82" s="14" t="s">
        <v>174</v>
      </c>
      <c r="C82" s="14" t="s">
        <v>279</v>
      </c>
      <c r="D82" s="14" t="s">
        <v>99</v>
      </c>
      <c r="E82" s="14" t="s">
        <v>94</v>
      </c>
      <c r="F82" s="14" t="s">
        <v>194</v>
      </c>
      <c r="G82" s="15">
        <v>711</v>
      </c>
      <c r="H82" s="15">
        <v>1250</v>
      </c>
      <c r="I82" s="15">
        <v>500</v>
      </c>
      <c r="J82" s="15">
        <v>600</v>
      </c>
      <c r="K82" s="15">
        <v>315</v>
      </c>
      <c r="L82" s="15">
        <v>315</v>
      </c>
      <c r="M82" s="38">
        <v>3340</v>
      </c>
      <c r="N82" s="18">
        <v>4220</v>
      </c>
      <c r="O82" s="43">
        <v>720</v>
      </c>
      <c r="P82" s="43">
        <v>500</v>
      </c>
      <c r="Q82" s="43">
        <f>IF(OR(Прайс[[#This Row],[Тип]]="Нижний",Прайс[[#This Row],[Тип]]="Пенал"),"560",IF(Прайс[[#This Row],[Тип]]="Верхний",315,0))</f>
        <v>315</v>
      </c>
      <c r="R82" s="20">
        <v>1.095</v>
      </c>
      <c r="S82" s="20">
        <v>1.0649999999999999</v>
      </c>
      <c r="T82" s="20">
        <v>1.3</v>
      </c>
      <c r="U82" s="16">
        <f>'[2]комплекты фурнитуры'!$C$62</f>
        <v>620</v>
      </c>
      <c r="V82" s="16">
        <f>'[2]комплекты фурнитуры'!$C$63</f>
        <v>130</v>
      </c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33"/>
      <c r="AQ82" s="16"/>
      <c r="AR82" s="16"/>
      <c r="AS82" s="16"/>
      <c r="AT82" s="16"/>
      <c r="AU82" s="16"/>
      <c r="AV82" s="16"/>
      <c r="AW82" s="16"/>
      <c r="AX82" s="17">
        <f>Прайс[[#This Row],[КФ петли SENS накл.110 гр. с крестообр. Планкой]]*2</f>
        <v>1240</v>
      </c>
      <c r="AY82" s="17">
        <f>Прайс[[#This Row],[KFP-SB-N110]]*2</f>
        <v>260</v>
      </c>
      <c r="AZ82" s="18">
        <f>Прайс[[#This Row],[KFP-SB-N110]]*2</f>
        <v>260</v>
      </c>
      <c r="BA82" s="19">
        <v>1</v>
      </c>
      <c r="BB82" s="19">
        <v>2</v>
      </c>
      <c r="BC82" s="19" t="s">
        <v>110</v>
      </c>
      <c r="BD82" s="18" t="s">
        <v>96</v>
      </c>
      <c r="BE82" s="19">
        <v>1</v>
      </c>
      <c r="BF82" s="19" t="s">
        <v>94</v>
      </c>
      <c r="BG82" s="19"/>
      <c r="BH82" s="19"/>
      <c r="BI82" s="19">
        <v>1</v>
      </c>
      <c r="BJ82" s="19">
        <v>0</v>
      </c>
      <c r="BK82" s="19">
        <v>0</v>
      </c>
      <c r="BL82" s="19">
        <f>'[2]комплекты фурнитуры'!$C$20</f>
        <v>940</v>
      </c>
      <c r="BM82" s="19"/>
      <c r="BN82" s="19"/>
      <c r="BO82" s="19"/>
      <c r="BP82" s="19" t="s">
        <v>94</v>
      </c>
      <c r="BQ82" s="19">
        <f>IF(Прайс[[#This Row],[Наличие подсветки на нижнем горизонте]]="Нет",0,'[2]комплекты фурнитуры'!$C$91)</f>
        <v>0</v>
      </c>
      <c r="BR82"/>
      <c r="BS82"/>
      <c r="BT82"/>
      <c r="BU82"/>
      <c r="BV82"/>
      <c r="BW82"/>
      <c r="BX82"/>
    </row>
    <row r="83" spans="1:76" ht="15" customHeight="1" x14ac:dyDescent="0.25">
      <c r="A83" s="34" t="s">
        <v>280</v>
      </c>
      <c r="B83" s="14" t="s">
        <v>174</v>
      </c>
      <c r="C83" s="14" t="s">
        <v>281</v>
      </c>
      <c r="D83" s="14" t="s">
        <v>99</v>
      </c>
      <c r="E83" s="14" t="s">
        <v>94</v>
      </c>
      <c r="F83" s="14" t="s">
        <v>194</v>
      </c>
      <c r="G83" s="15">
        <v>711</v>
      </c>
      <c r="H83" s="15">
        <v>1250</v>
      </c>
      <c r="I83" s="15">
        <v>600</v>
      </c>
      <c r="J83" s="15">
        <v>900</v>
      </c>
      <c r="K83" s="15">
        <v>315</v>
      </c>
      <c r="L83" s="15">
        <v>315</v>
      </c>
      <c r="M83" s="38">
        <v>3340</v>
      </c>
      <c r="N83" s="18">
        <v>4220</v>
      </c>
      <c r="O83" s="43">
        <v>720</v>
      </c>
      <c r="P83" s="43">
        <v>500</v>
      </c>
      <c r="Q83" s="43">
        <f>IF(OR(Прайс[[#This Row],[Тип]]="Нижний",Прайс[[#This Row],[Тип]]="Пенал"),"560",IF(Прайс[[#This Row],[Тип]]="Верхний",315,0))</f>
        <v>315</v>
      </c>
      <c r="R83" s="20">
        <v>1.095</v>
      </c>
      <c r="S83" s="20">
        <v>1.0649999999999999</v>
      </c>
      <c r="T83" s="20">
        <v>1.3</v>
      </c>
      <c r="U83" s="16">
        <f>'[2]комплекты фурнитуры'!$C$62</f>
        <v>620</v>
      </c>
      <c r="V83" s="16">
        <f>'[2]комплекты фурнитуры'!$C$63</f>
        <v>130</v>
      </c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33"/>
      <c r="AQ83" s="16"/>
      <c r="AR83" s="16"/>
      <c r="AS83" s="16"/>
      <c r="AT83" s="16"/>
      <c r="AU83" s="16"/>
      <c r="AV83" s="16"/>
      <c r="AW83" s="16"/>
      <c r="AX83" s="17">
        <f>Прайс[[#This Row],[КФ петли SENS накл.110 гр. с крестообр. Планкой]]*4</f>
        <v>2480</v>
      </c>
      <c r="AY83" s="17">
        <f>Прайс[[#This Row],[KFP-SB-N110]]*4</f>
        <v>520</v>
      </c>
      <c r="AZ83" s="18">
        <f>Прайс[[#This Row],[KFP-SB-N110]]*4</f>
        <v>520</v>
      </c>
      <c r="BA83" s="19">
        <v>1</v>
      </c>
      <c r="BB83" s="19">
        <v>2</v>
      </c>
      <c r="BC83" s="19" t="s">
        <v>110</v>
      </c>
      <c r="BD83" s="18" t="s">
        <v>96</v>
      </c>
      <c r="BE83" s="19">
        <v>1</v>
      </c>
      <c r="BF83" s="19" t="s">
        <v>94</v>
      </c>
      <c r="BG83" s="19"/>
      <c r="BH83" s="19"/>
      <c r="BI83" s="19">
        <v>2</v>
      </c>
      <c r="BJ83" s="19">
        <v>0</v>
      </c>
      <c r="BK83" s="19">
        <v>0</v>
      </c>
      <c r="BL83" s="19">
        <f>'[2]комплекты фурнитуры'!$C$20</f>
        <v>940</v>
      </c>
      <c r="BM83" s="19"/>
      <c r="BN83" s="19"/>
      <c r="BO83" s="19"/>
      <c r="BP83" s="19" t="s">
        <v>94</v>
      </c>
      <c r="BQ83" s="19">
        <f>IF(Прайс[[#This Row],[Наличие подсветки на нижнем горизонте]]="Нет",0,'[2]комплекты фурнитуры'!$C$91)</f>
        <v>0</v>
      </c>
      <c r="BR83"/>
      <c r="BS83"/>
      <c r="BT83"/>
      <c r="BU83"/>
      <c r="BV83"/>
      <c r="BW83"/>
      <c r="BX83"/>
    </row>
    <row r="84" spans="1:76" ht="15" customHeight="1" x14ac:dyDescent="0.25">
      <c r="A84" s="26" t="s">
        <v>282</v>
      </c>
      <c r="B84" s="14" t="s">
        <v>232</v>
      </c>
      <c r="C84" s="14" t="s">
        <v>283</v>
      </c>
      <c r="D84" s="14" t="s">
        <v>99</v>
      </c>
      <c r="E84" s="14" t="s">
        <v>94</v>
      </c>
      <c r="F84" s="14" t="s">
        <v>238</v>
      </c>
      <c r="G84" s="15">
        <v>1910</v>
      </c>
      <c r="H84" s="15">
        <v>2610</v>
      </c>
      <c r="I84" s="15">
        <v>600</v>
      </c>
      <c r="J84" s="15">
        <v>600</v>
      </c>
      <c r="K84" s="15">
        <v>560</v>
      </c>
      <c r="L84" s="15">
        <v>600</v>
      </c>
      <c r="M84" s="38">
        <v>7320</v>
      </c>
      <c r="N84" s="18">
        <v>9390</v>
      </c>
      <c r="O84" s="43">
        <v>2040</v>
      </c>
      <c r="P84" s="43">
        <v>600</v>
      </c>
      <c r="Q84" s="43" t="str">
        <f>IF(OR(Прайс[[#This Row],[Тип]]="Нижний",Прайс[[#This Row],[Тип]]="Пенал"),"560",IF(Прайс[[#This Row],[Тип]]="Верхний",315,0))</f>
        <v>560</v>
      </c>
      <c r="R84" s="20">
        <v>1.08</v>
      </c>
      <c r="S84" s="20">
        <v>1.0649999999999999</v>
      </c>
      <c r="T84" s="20">
        <v>1.3</v>
      </c>
      <c r="U84" s="16">
        <f>'[2]комплекты фурнитуры'!$C$62</f>
        <v>620</v>
      </c>
      <c r="V84" s="16">
        <f>'[2]комплекты фурнитуры'!$C$63</f>
        <v>130</v>
      </c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33"/>
      <c r="AQ84" s="16"/>
      <c r="AR84" s="16"/>
      <c r="AS84" s="16"/>
      <c r="AT84" s="16"/>
      <c r="AU84" s="16"/>
      <c r="AV84" s="16"/>
      <c r="AW84" s="16"/>
      <c r="AX84" s="17">
        <f>Прайс[[#This Row],[КФ петли SENS накл.110 гр. с крестообр. Планкой]]*4</f>
        <v>2480</v>
      </c>
      <c r="AY84" s="17">
        <f>Прайс[[#This Row],[KFP-SB-N110]]*4</f>
        <v>520</v>
      </c>
      <c r="AZ84" s="18">
        <f>Прайс[[#This Row],[KFP-SB-N110]]*4</f>
        <v>520</v>
      </c>
      <c r="BA84" s="19">
        <v>2</v>
      </c>
      <c r="BB84" s="19">
        <v>4</v>
      </c>
      <c r="BC84" s="19" t="s">
        <v>110</v>
      </c>
      <c r="BD84" s="18" t="s">
        <v>96</v>
      </c>
      <c r="BE84" s="19">
        <v>2</v>
      </c>
      <c r="BF84" s="19" t="s">
        <v>94</v>
      </c>
      <c r="BG84" s="19"/>
      <c r="BH84" s="19"/>
      <c r="BI84" s="19">
        <v>2</v>
      </c>
      <c r="BJ84" s="19">
        <v>0</v>
      </c>
      <c r="BK84" s="19">
        <v>0</v>
      </c>
      <c r="BL84" s="19"/>
      <c r="BM84" s="19">
        <f>'[2]комплекты фурнитуры'!$C$22</f>
        <v>940</v>
      </c>
      <c r="BN84" s="19"/>
      <c r="BO84" s="19"/>
      <c r="BP84" s="19" t="s">
        <v>94</v>
      </c>
      <c r="BQ84" s="19">
        <f>IF(Прайс[[#This Row],[Наличие подсветки на нижнем горизонте]]="Нет",0,'[2]комплекты фурнитуры'!$C$91)</f>
        <v>0</v>
      </c>
      <c r="BR84"/>
      <c r="BS84"/>
      <c r="BT84"/>
      <c r="BU84"/>
      <c r="BV84"/>
      <c r="BW84"/>
      <c r="BX84"/>
    </row>
    <row r="85" spans="1:76" ht="15" customHeight="1" x14ac:dyDescent="0.25">
      <c r="A85" s="26" t="s">
        <v>284</v>
      </c>
      <c r="B85" s="14" t="s">
        <v>232</v>
      </c>
      <c r="C85" s="14" t="s">
        <v>285</v>
      </c>
      <c r="D85" s="14" t="s">
        <v>99</v>
      </c>
      <c r="E85" s="14" t="s">
        <v>94</v>
      </c>
      <c r="F85" s="14" t="s">
        <v>238</v>
      </c>
      <c r="G85" s="15">
        <v>1910</v>
      </c>
      <c r="H85" s="15">
        <v>2610</v>
      </c>
      <c r="I85" s="15">
        <v>600</v>
      </c>
      <c r="J85" s="15">
        <v>600</v>
      </c>
      <c r="K85" s="15">
        <v>560</v>
      </c>
      <c r="L85" s="15">
        <v>600</v>
      </c>
      <c r="M85" s="38">
        <v>7480</v>
      </c>
      <c r="N85" s="18">
        <v>9590</v>
      </c>
      <c r="O85" s="43">
        <v>2040</v>
      </c>
      <c r="P85" s="43">
        <v>600</v>
      </c>
      <c r="Q85" s="43" t="str">
        <f>IF(OR(Прайс[[#This Row],[Тип]]="Нижний",Прайс[[#This Row],[Тип]]="Пенал"),"560",IF(Прайс[[#This Row],[Тип]]="Верхний",315,0))</f>
        <v>560</v>
      </c>
      <c r="R85" s="20">
        <v>1.08</v>
      </c>
      <c r="S85" s="20">
        <v>1.0649999999999999</v>
      </c>
      <c r="T85" s="20">
        <v>1.3</v>
      </c>
      <c r="U85" s="16">
        <f>'[2]комплекты фурнитуры'!$C$62</f>
        <v>620</v>
      </c>
      <c r="V85" s="16">
        <f>'[2]комплекты фурнитуры'!$C$63</f>
        <v>130</v>
      </c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>
        <f>'[2]комплекты фурнитуры'!$C$26</f>
        <v>6660</v>
      </c>
      <c r="AL85" s="16"/>
      <c r="AM85" s="16">
        <f>'[2]комплекты фурнитуры'!$C$31</f>
        <v>950</v>
      </c>
      <c r="AN85" s="16"/>
      <c r="AO85" s="16"/>
      <c r="AP85" s="33"/>
      <c r="AQ85" s="16"/>
      <c r="AR85" s="16">
        <f>'[2]комплекты фурнитуры'!$C$37</f>
        <v>7970</v>
      </c>
      <c r="AS85" s="16"/>
      <c r="AT85" s="16"/>
      <c r="AU85" s="16"/>
      <c r="AV85" s="16"/>
      <c r="AW85" s="16"/>
      <c r="AX85" s="17">
        <f>Прайс[[#This Row],[КФ петли SENS накл.110 гр. с крестообр. Планкой]]*2+Прайс[[#This Row],[Комплект для ящика Hettich ATIRA Серый с реллингом, NL-470, H-176]]</f>
        <v>7900</v>
      </c>
      <c r="AY85" s="17">
        <f>Прайс[[#This Row],[KFP-SB-N110]]*2+Прайс[[#This Row],[KFN-SB-M15]]</f>
        <v>1210</v>
      </c>
      <c r="AZ85" s="18">
        <f>Прайс[[#This Row],[KFP-SB-N110]]*2+Прайс[[#This Row],[Комплект короба INNOTECH ATIRA полного выдв. с Push to open, Н176,NL470,рейлинги, цвет серебристый]]</f>
        <v>8230</v>
      </c>
      <c r="BA85" s="19">
        <v>1</v>
      </c>
      <c r="BB85" s="19">
        <v>4</v>
      </c>
      <c r="BC85" s="19" t="s">
        <v>94</v>
      </c>
      <c r="BD85" s="18" t="s">
        <v>125</v>
      </c>
      <c r="BE85" s="19">
        <v>1</v>
      </c>
      <c r="BF85" s="19" t="s">
        <v>94</v>
      </c>
      <c r="BG85" s="19"/>
      <c r="BH85" s="19"/>
      <c r="BI85" s="19">
        <v>2</v>
      </c>
      <c r="BJ85" s="19">
        <v>0</v>
      </c>
      <c r="BK85" s="19">
        <v>0</v>
      </c>
      <c r="BL85" s="19"/>
      <c r="BM85" s="19">
        <f>'[2]комплекты фурнитуры'!$C$22</f>
        <v>940</v>
      </c>
      <c r="BN85" s="19"/>
      <c r="BO85" s="19"/>
      <c r="BP85" s="19" t="s">
        <v>94</v>
      </c>
      <c r="BQ85" s="19">
        <f>IF(Прайс[[#This Row],[Наличие подсветки на нижнем горизонте]]="Нет",0,'[2]комплекты фурнитуры'!$C$91)</f>
        <v>0</v>
      </c>
      <c r="BR85"/>
      <c r="BS85"/>
      <c r="BT85"/>
      <c r="BU85"/>
      <c r="BV85"/>
      <c r="BW85"/>
      <c r="BX85"/>
    </row>
    <row r="86" spans="1:76" x14ac:dyDescent="0.25">
      <c r="A86" s="35"/>
    </row>
    <row r="87" spans="1:76" x14ac:dyDescent="0.25">
      <c r="A87" s="35"/>
    </row>
    <row r="88" spans="1:76" x14ac:dyDescent="0.25">
      <c r="A88" s="35"/>
    </row>
    <row r="89" spans="1:76" x14ac:dyDescent="0.25">
      <c r="A89" s="35"/>
    </row>
    <row r="90" spans="1:76" x14ac:dyDescent="0.25">
      <c r="A90" s="35"/>
    </row>
    <row r="91" spans="1:76" x14ac:dyDescent="0.25">
      <c r="A91" s="35"/>
    </row>
    <row r="92" spans="1:76" x14ac:dyDescent="0.25">
      <c r="A92" s="35"/>
    </row>
    <row r="93" spans="1:76" x14ac:dyDescent="0.25">
      <c r="A93" s="35"/>
    </row>
    <row r="94" spans="1:76" x14ac:dyDescent="0.25">
      <c r="A94" s="35"/>
    </row>
    <row r="95" spans="1:76" x14ac:dyDescent="0.25">
      <c r="A95" s="35"/>
    </row>
    <row r="96" spans="1:76" x14ac:dyDescent="0.25">
      <c r="A96" s="35"/>
    </row>
    <row r="97" spans="1:1" x14ac:dyDescent="0.25">
      <c r="A97" s="35"/>
    </row>
    <row r="98" spans="1:1" x14ac:dyDescent="0.25">
      <c r="A98" s="35"/>
    </row>
    <row r="99" spans="1:1" x14ac:dyDescent="0.25">
      <c r="A99" s="35"/>
    </row>
    <row r="100" spans="1:1" x14ac:dyDescent="0.25">
      <c r="A100" s="35"/>
    </row>
    <row r="101" spans="1:1" x14ac:dyDescent="0.25">
      <c r="A101" s="35"/>
    </row>
    <row r="102" spans="1:1" x14ac:dyDescent="0.25">
      <c r="A102" s="35"/>
    </row>
    <row r="103" spans="1:1" x14ac:dyDescent="0.25">
      <c r="A103" s="35"/>
    </row>
    <row r="104" spans="1:1" x14ac:dyDescent="0.25">
      <c r="A104" s="35"/>
    </row>
    <row r="105" spans="1:1" x14ac:dyDescent="0.25">
      <c r="A105" s="35"/>
    </row>
    <row r="106" spans="1:1" x14ac:dyDescent="0.25">
      <c r="A106" s="35"/>
    </row>
    <row r="107" spans="1:1" x14ac:dyDescent="0.25">
      <c r="A107" s="35"/>
    </row>
    <row r="108" spans="1:1" x14ac:dyDescent="0.25">
      <c r="A108" s="35"/>
    </row>
    <row r="109" spans="1:1" x14ac:dyDescent="0.25">
      <c r="A109" s="35"/>
    </row>
    <row r="110" spans="1:1" x14ac:dyDescent="0.25">
      <c r="A110" s="35"/>
    </row>
    <row r="111" spans="1:1" x14ac:dyDescent="0.25">
      <c r="A111" s="35"/>
    </row>
    <row r="112" spans="1:1" x14ac:dyDescent="0.25">
      <c r="A112" s="35"/>
    </row>
    <row r="113" spans="1:1" x14ac:dyDescent="0.25">
      <c r="A113" s="25"/>
    </row>
    <row r="114" spans="1:1" x14ac:dyDescent="0.25">
      <c r="A114" s="25"/>
    </row>
    <row r="115" spans="1:1" x14ac:dyDescent="0.25">
      <c r="A115" s="35"/>
    </row>
    <row r="116" spans="1:1" x14ac:dyDescent="0.25">
      <c r="A116" s="35"/>
    </row>
    <row r="117" spans="1:1" x14ac:dyDescent="0.25">
      <c r="A117" s="35"/>
    </row>
    <row r="118" spans="1:1" x14ac:dyDescent="0.25">
      <c r="A118" s="35"/>
    </row>
    <row r="119" spans="1:1" x14ac:dyDescent="0.25">
      <c r="A119" s="35"/>
    </row>
    <row r="120" spans="1:1" x14ac:dyDescent="0.25">
      <c r="A120" s="35"/>
    </row>
    <row r="121" spans="1:1" x14ac:dyDescent="0.25">
      <c r="A121" s="35"/>
    </row>
    <row r="122" spans="1:1" x14ac:dyDescent="0.25">
      <c r="A122" s="35"/>
    </row>
    <row r="123" spans="1:1" x14ac:dyDescent="0.25">
      <c r="A123" s="35"/>
    </row>
    <row r="124" spans="1:1" x14ac:dyDescent="0.25">
      <c r="A124" s="35"/>
    </row>
    <row r="125" spans="1:1" x14ac:dyDescent="0.25">
      <c r="A125" s="35"/>
    </row>
    <row r="126" spans="1:1" x14ac:dyDescent="0.25">
      <c r="A126" s="35"/>
    </row>
    <row r="127" spans="1:1" x14ac:dyDescent="0.25">
      <c r="A127" s="35"/>
    </row>
    <row r="128" spans="1:1" x14ac:dyDescent="0.25">
      <c r="A128" s="35"/>
    </row>
    <row r="129" spans="1:1" x14ac:dyDescent="0.25">
      <c r="A129" s="35"/>
    </row>
    <row r="130" spans="1:1" x14ac:dyDescent="0.25">
      <c r="A130" s="35"/>
    </row>
    <row r="131" spans="1:1" x14ac:dyDescent="0.25">
      <c r="A131" s="35"/>
    </row>
    <row r="132" spans="1:1" x14ac:dyDescent="0.25">
      <c r="A132" s="35"/>
    </row>
    <row r="133" spans="1:1" x14ac:dyDescent="0.25">
      <c r="A133" s="35"/>
    </row>
    <row r="134" spans="1:1" x14ac:dyDescent="0.25">
      <c r="A134" s="35"/>
    </row>
    <row r="135" spans="1:1" x14ac:dyDescent="0.25">
      <c r="A135" s="35"/>
    </row>
    <row r="136" spans="1:1" x14ac:dyDescent="0.25">
      <c r="A136" s="35"/>
    </row>
    <row r="137" spans="1:1" x14ac:dyDescent="0.25">
      <c r="A137" s="35"/>
    </row>
    <row r="138" spans="1:1" x14ac:dyDescent="0.25">
      <c r="A138" s="35"/>
    </row>
    <row r="139" spans="1:1" x14ac:dyDescent="0.25">
      <c r="A139" s="35"/>
    </row>
    <row r="140" spans="1:1" x14ac:dyDescent="0.25">
      <c r="A140" s="35"/>
    </row>
    <row r="141" spans="1:1" x14ac:dyDescent="0.25">
      <c r="A141" s="35"/>
    </row>
    <row r="142" spans="1:1" x14ac:dyDescent="0.25">
      <c r="A142" s="35"/>
    </row>
    <row r="143" spans="1:1" x14ac:dyDescent="0.25">
      <c r="A143" s="35"/>
    </row>
    <row r="144" spans="1:1" x14ac:dyDescent="0.25">
      <c r="A144" s="35"/>
    </row>
    <row r="145" spans="1:1" x14ac:dyDescent="0.25">
      <c r="A145" s="35"/>
    </row>
    <row r="146" spans="1:1" x14ac:dyDescent="0.25">
      <c r="A146" s="35"/>
    </row>
    <row r="147" spans="1:1" x14ac:dyDescent="0.25">
      <c r="A147" s="35"/>
    </row>
    <row r="148" spans="1:1" x14ac:dyDescent="0.25">
      <c r="A148" s="25"/>
    </row>
    <row r="150" spans="1:1" ht="15" customHeight="1" x14ac:dyDescent="0.25"/>
  </sheetData>
  <conditionalFormatting sqref="M2:M85">
    <cfRule type="cellIs" dxfId="1" priority="2" operator="equal">
      <formula>0</formula>
    </cfRule>
  </conditionalFormatting>
  <conditionalFormatting sqref="N2:N85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928E3-67AB-47FD-BD9E-F70C48662B45}">
  <sheetPr codeName="Лист1"/>
  <dimension ref="A1:F220"/>
  <sheetViews>
    <sheetView tabSelected="1" topLeftCell="A145" zoomScale="130" zoomScaleNormal="130" workbookViewId="0">
      <selection activeCell="B152" sqref="B152"/>
    </sheetView>
  </sheetViews>
  <sheetFormatPr defaultRowHeight="15" x14ac:dyDescent="0.25"/>
  <cols>
    <col min="1" max="1" width="18.5703125" customWidth="1"/>
    <col min="2" max="2" width="27.85546875" bestFit="1" customWidth="1"/>
    <col min="3" max="3" width="8.85546875" style="49" customWidth="1"/>
    <col min="4" max="4" width="14" bestFit="1" customWidth="1"/>
    <col min="5" max="5" width="24" bestFit="1" customWidth="1"/>
    <col min="6" max="6" width="21.5703125" bestFit="1" customWidth="1"/>
  </cols>
  <sheetData>
    <row r="1" spans="1:6" s="36" customFormat="1" x14ac:dyDescent="0.25">
      <c r="A1" s="19" t="s">
        <v>286</v>
      </c>
      <c r="B1" s="19" t="s">
        <v>287</v>
      </c>
      <c r="C1" s="43" t="s">
        <v>288</v>
      </c>
      <c r="D1" s="19" t="s">
        <v>294</v>
      </c>
      <c r="E1" s="19" t="s">
        <v>296</v>
      </c>
      <c r="F1" s="19" t="s">
        <v>295</v>
      </c>
    </row>
    <row r="2" spans="1:6" s="36" customFormat="1" ht="15" customHeight="1" x14ac:dyDescent="0.25">
      <c r="A2" s="13" t="s">
        <v>90</v>
      </c>
      <c r="B2" s="39" t="s">
        <v>15</v>
      </c>
      <c r="C2" s="48">
        <v>1</v>
      </c>
    </row>
    <row r="3" spans="1:6" s="36" customFormat="1" ht="15" customHeight="1" x14ac:dyDescent="0.25">
      <c r="A3" s="13" t="s">
        <v>90</v>
      </c>
      <c r="B3" s="39" t="s">
        <v>28</v>
      </c>
      <c r="C3" s="48">
        <v>2</v>
      </c>
    </row>
    <row r="4" spans="1:6" s="36" customFormat="1" ht="15" customHeight="1" x14ac:dyDescent="0.25">
      <c r="A4" s="21" t="s">
        <v>97</v>
      </c>
      <c r="B4" s="39" t="s">
        <v>15</v>
      </c>
      <c r="C4" s="48">
        <v>1</v>
      </c>
    </row>
    <row r="5" spans="1:6" s="36" customFormat="1" ht="15" customHeight="1" x14ac:dyDescent="0.25">
      <c r="A5" s="21" t="s">
        <v>97</v>
      </c>
      <c r="B5" s="39" t="s">
        <v>28</v>
      </c>
      <c r="C5" s="48">
        <v>2</v>
      </c>
    </row>
    <row r="6" spans="1:6" s="36" customFormat="1" ht="15" customHeight="1" x14ac:dyDescent="0.25">
      <c r="A6" s="21" t="s">
        <v>100</v>
      </c>
      <c r="B6" s="39" t="s">
        <v>15</v>
      </c>
      <c r="C6" s="48">
        <v>1</v>
      </c>
    </row>
    <row r="7" spans="1:6" s="36" customFormat="1" ht="15" customHeight="1" x14ac:dyDescent="0.25">
      <c r="A7" s="21" t="s">
        <v>100</v>
      </c>
      <c r="B7" s="39" t="s">
        <v>28</v>
      </c>
      <c r="C7" s="48">
        <v>2</v>
      </c>
    </row>
    <row r="8" spans="1:6" s="36" customFormat="1" ht="15" customHeight="1" x14ac:dyDescent="0.25">
      <c r="A8" s="21" t="s">
        <v>102</v>
      </c>
      <c r="B8" s="39" t="s">
        <v>15</v>
      </c>
      <c r="C8" s="48">
        <v>1</v>
      </c>
    </row>
    <row r="9" spans="1:6" s="36" customFormat="1" ht="15" customHeight="1" x14ac:dyDescent="0.25">
      <c r="A9" s="21" t="s">
        <v>102</v>
      </c>
      <c r="B9" s="39" t="s">
        <v>28</v>
      </c>
      <c r="C9" s="48">
        <v>1</v>
      </c>
    </row>
    <row r="10" spans="1:6" s="36" customFormat="1" ht="15" customHeight="1" x14ac:dyDescent="0.25">
      <c r="A10" s="21" t="s">
        <v>105</v>
      </c>
      <c r="B10" s="39" t="s">
        <v>15</v>
      </c>
      <c r="C10" s="48">
        <v>1</v>
      </c>
    </row>
    <row r="11" spans="1:6" s="36" customFormat="1" ht="15" customHeight="1" x14ac:dyDescent="0.25">
      <c r="A11" s="21" t="s">
        <v>105</v>
      </c>
      <c r="B11" s="39" t="s">
        <v>28</v>
      </c>
      <c r="C11" s="48">
        <v>2</v>
      </c>
    </row>
    <row r="12" spans="1:6" s="36" customFormat="1" ht="15" customHeight="1" x14ac:dyDescent="0.25">
      <c r="A12" s="21" t="s">
        <v>107</v>
      </c>
      <c r="B12" s="39" t="s">
        <v>16</v>
      </c>
      <c r="C12" s="48">
        <v>1</v>
      </c>
    </row>
    <row r="13" spans="1:6" s="36" customFormat="1" ht="15" customHeight="1" x14ac:dyDescent="0.25">
      <c r="A13" s="21" t="s">
        <v>107</v>
      </c>
      <c r="B13" s="39" t="s">
        <v>28</v>
      </c>
      <c r="C13" s="48">
        <v>2</v>
      </c>
    </row>
    <row r="14" spans="1:6" s="36" customFormat="1" ht="15" customHeight="1" x14ac:dyDescent="0.25">
      <c r="A14" s="21" t="s">
        <v>111</v>
      </c>
      <c r="B14" s="39" t="s">
        <v>16</v>
      </c>
      <c r="C14" s="48">
        <v>1</v>
      </c>
    </row>
    <row r="15" spans="1:6" s="36" customFormat="1" ht="15" customHeight="1" x14ac:dyDescent="0.25">
      <c r="A15" s="21" t="s">
        <v>111</v>
      </c>
      <c r="B15" s="39" t="s">
        <v>28</v>
      </c>
      <c r="C15" s="48">
        <v>2</v>
      </c>
    </row>
    <row r="16" spans="1:6" s="36" customFormat="1" ht="15" customHeight="1" x14ac:dyDescent="0.25">
      <c r="A16" s="21" t="s">
        <v>113</v>
      </c>
      <c r="B16" s="39" t="s">
        <v>17</v>
      </c>
      <c r="C16" s="48">
        <v>1</v>
      </c>
    </row>
    <row r="17" spans="1:6" s="36" customFormat="1" ht="15" customHeight="1" x14ac:dyDescent="0.25">
      <c r="A17" s="21" t="s">
        <v>113</v>
      </c>
      <c r="B17" s="39" t="s">
        <v>28</v>
      </c>
      <c r="C17" s="48">
        <v>2</v>
      </c>
    </row>
    <row r="18" spans="1:6" s="36" customFormat="1" ht="15" customHeight="1" x14ac:dyDescent="0.25">
      <c r="A18" s="21" t="s">
        <v>113</v>
      </c>
      <c r="B18" s="39" t="s">
        <v>31</v>
      </c>
      <c r="C18" s="48">
        <v>1</v>
      </c>
    </row>
    <row r="19" spans="1:6" s="36" customFormat="1" ht="15" customHeight="1" x14ac:dyDescent="0.25">
      <c r="A19" s="21" t="s">
        <v>113</v>
      </c>
      <c r="B19" s="39" t="s">
        <v>32</v>
      </c>
      <c r="C19" s="48">
        <v>1</v>
      </c>
    </row>
    <row r="20" spans="1:6" s="36" customFormat="1" ht="15" customHeight="1" x14ac:dyDescent="0.25">
      <c r="A20" s="13" t="s">
        <v>116</v>
      </c>
      <c r="B20" s="39" t="s">
        <v>17</v>
      </c>
      <c r="C20" s="48">
        <v>1</v>
      </c>
    </row>
    <row r="21" spans="1:6" s="36" customFormat="1" ht="15" customHeight="1" x14ac:dyDescent="0.25">
      <c r="A21" s="13" t="s">
        <v>116</v>
      </c>
      <c r="B21" s="39" t="s">
        <v>28</v>
      </c>
      <c r="C21" s="48">
        <v>2</v>
      </c>
    </row>
    <row r="22" spans="1:6" s="36" customFormat="1" ht="15" customHeight="1" x14ac:dyDescent="0.25">
      <c r="A22" s="13" t="s">
        <v>116</v>
      </c>
      <c r="B22" s="39" t="s">
        <v>31</v>
      </c>
      <c r="C22" s="48">
        <v>1</v>
      </c>
    </row>
    <row r="23" spans="1:6" s="36" customFormat="1" ht="15" customHeight="1" x14ac:dyDescent="0.25">
      <c r="A23" s="13" t="s">
        <v>116</v>
      </c>
      <c r="B23" s="39" t="s">
        <v>32</v>
      </c>
      <c r="C23" s="48">
        <v>1</v>
      </c>
    </row>
    <row r="24" spans="1:6" s="36" customFormat="1" ht="15" customHeight="1" x14ac:dyDescent="0.25">
      <c r="A24" s="21" t="s">
        <v>118</v>
      </c>
      <c r="B24" s="39" t="s">
        <v>18</v>
      </c>
      <c r="C24" s="48">
        <v>1</v>
      </c>
    </row>
    <row r="25" spans="1:6" s="36" customFormat="1" ht="15" customHeight="1" x14ac:dyDescent="0.25">
      <c r="A25" s="21" t="s">
        <v>118</v>
      </c>
      <c r="B25" s="39" t="s">
        <v>28</v>
      </c>
      <c r="C25" s="48">
        <v>2</v>
      </c>
    </row>
    <row r="26" spans="1:6" s="36" customFormat="1" ht="15" customHeight="1" x14ac:dyDescent="0.25">
      <c r="A26" s="21" t="s">
        <v>118</v>
      </c>
      <c r="B26" s="39" t="s">
        <v>31</v>
      </c>
      <c r="C26" s="48">
        <v>1</v>
      </c>
    </row>
    <row r="27" spans="1:6" s="51" customFormat="1" ht="15" customHeight="1" x14ac:dyDescent="0.25">
      <c r="A27" s="53" t="s">
        <v>120</v>
      </c>
      <c r="B27" s="52" t="s">
        <v>18</v>
      </c>
      <c r="C27" s="50">
        <v>1</v>
      </c>
    </row>
    <row r="28" spans="1:6" s="51" customFormat="1" ht="15" customHeight="1" x14ac:dyDescent="0.25">
      <c r="A28" s="53" t="s">
        <v>120</v>
      </c>
      <c r="B28" s="52" t="s">
        <v>31</v>
      </c>
      <c r="C28" s="50">
        <v>1</v>
      </c>
    </row>
    <row r="29" spans="1:6" s="51" customFormat="1" ht="15" customHeight="1" x14ac:dyDescent="0.25">
      <c r="A29" s="53" t="s">
        <v>120</v>
      </c>
      <c r="B29" s="52" t="s">
        <v>28</v>
      </c>
      <c r="C29" s="50">
        <v>2</v>
      </c>
      <c r="D29" s="51" t="s">
        <v>308</v>
      </c>
      <c r="E29" s="52" t="s">
        <v>28</v>
      </c>
      <c r="F29" s="50">
        <v>3</v>
      </c>
    </row>
    <row r="30" spans="1:6" s="36" customFormat="1" ht="15" customHeight="1" x14ac:dyDescent="0.25">
      <c r="A30" s="21" t="s">
        <v>122</v>
      </c>
      <c r="B30" s="39" t="s">
        <v>15</v>
      </c>
      <c r="C30" s="48">
        <v>1</v>
      </c>
    </row>
    <row r="31" spans="1:6" s="36" customFormat="1" ht="15" customHeight="1" x14ac:dyDescent="0.25">
      <c r="A31" s="21" t="s">
        <v>122</v>
      </c>
      <c r="B31" s="39" t="s">
        <v>28</v>
      </c>
      <c r="C31" s="48">
        <v>2</v>
      </c>
    </row>
    <row r="32" spans="1:6" s="36" customFormat="1" ht="15" customHeight="1" x14ac:dyDescent="0.25">
      <c r="A32" s="21" t="s">
        <v>126</v>
      </c>
      <c r="B32" s="39" t="s">
        <v>15</v>
      </c>
      <c r="C32" s="48">
        <v>1</v>
      </c>
    </row>
    <row r="33" spans="1:3" s="36" customFormat="1" ht="15" customHeight="1" x14ac:dyDescent="0.25">
      <c r="A33" s="21" t="s">
        <v>126</v>
      </c>
      <c r="B33" s="39" t="s">
        <v>28</v>
      </c>
      <c r="C33" s="48">
        <v>2</v>
      </c>
    </row>
    <row r="34" spans="1:3" s="36" customFormat="1" ht="15" customHeight="1" x14ac:dyDescent="0.25">
      <c r="A34" s="13" t="s">
        <v>128</v>
      </c>
      <c r="B34" s="39" t="s">
        <v>15</v>
      </c>
      <c r="C34" s="48">
        <v>1</v>
      </c>
    </row>
    <row r="35" spans="1:3" s="36" customFormat="1" ht="15" customHeight="1" x14ac:dyDescent="0.25">
      <c r="A35" s="13" t="s">
        <v>128</v>
      </c>
      <c r="B35" s="39" t="s">
        <v>28</v>
      </c>
      <c r="C35" s="48">
        <v>2</v>
      </c>
    </row>
    <row r="36" spans="1:3" s="36" customFormat="1" ht="15" customHeight="1" x14ac:dyDescent="0.25">
      <c r="A36" s="13" t="s">
        <v>130</v>
      </c>
      <c r="B36" s="39" t="s">
        <v>15</v>
      </c>
      <c r="C36" s="48">
        <v>1</v>
      </c>
    </row>
    <row r="37" spans="1:3" s="36" customFormat="1" ht="15" customHeight="1" x14ac:dyDescent="0.25">
      <c r="A37" s="13" t="s">
        <v>130</v>
      </c>
      <c r="B37" s="39" t="s">
        <v>28</v>
      </c>
      <c r="C37" s="48">
        <v>2</v>
      </c>
    </row>
    <row r="38" spans="1:3" s="36" customFormat="1" ht="15" customHeight="1" x14ac:dyDescent="0.25">
      <c r="A38" s="13" t="s">
        <v>132</v>
      </c>
      <c r="B38" s="39" t="s">
        <v>15</v>
      </c>
      <c r="C38" s="48">
        <v>1</v>
      </c>
    </row>
    <row r="39" spans="1:3" s="36" customFormat="1" ht="15" customHeight="1" x14ac:dyDescent="0.25">
      <c r="A39" s="13" t="s">
        <v>132</v>
      </c>
      <c r="B39" s="39" t="s">
        <v>28</v>
      </c>
      <c r="C39" s="48">
        <v>2</v>
      </c>
    </row>
    <row r="40" spans="1:3" s="36" customFormat="1" ht="15" customHeight="1" x14ac:dyDescent="0.25">
      <c r="A40" s="22" t="s">
        <v>134</v>
      </c>
      <c r="B40" s="39" t="s">
        <v>79</v>
      </c>
      <c r="C40" s="48">
        <v>1</v>
      </c>
    </row>
    <row r="41" spans="1:3" s="36" customFormat="1" ht="15" customHeight="1" x14ac:dyDescent="0.25">
      <c r="A41" s="22" t="s">
        <v>134</v>
      </c>
      <c r="B41" s="39" t="s">
        <v>28</v>
      </c>
      <c r="C41" s="48">
        <v>2</v>
      </c>
    </row>
    <row r="42" spans="1:3" s="36" customFormat="1" ht="15" customHeight="1" x14ac:dyDescent="0.25">
      <c r="A42" s="13" t="s">
        <v>138</v>
      </c>
      <c r="B42" s="39" t="s">
        <v>16</v>
      </c>
      <c r="C42" s="48">
        <v>1</v>
      </c>
    </row>
    <row r="43" spans="1:3" s="36" customFormat="1" ht="15" customHeight="1" x14ac:dyDescent="0.25">
      <c r="A43" s="13" t="s">
        <v>138</v>
      </c>
      <c r="B43" s="39" t="s">
        <v>28</v>
      </c>
      <c r="C43" s="48">
        <v>2</v>
      </c>
    </row>
    <row r="44" spans="1:3" s="36" customFormat="1" ht="15" customHeight="1" x14ac:dyDescent="0.25">
      <c r="A44" s="13" t="s">
        <v>142</v>
      </c>
      <c r="B44" s="39" t="s">
        <v>22</v>
      </c>
      <c r="C44" s="48">
        <v>1</v>
      </c>
    </row>
    <row r="45" spans="1:3" s="36" customFormat="1" ht="15" customHeight="1" x14ac:dyDescent="0.25">
      <c r="A45" s="13" t="s">
        <v>142</v>
      </c>
      <c r="B45" s="39" t="s">
        <v>28</v>
      </c>
      <c r="C45" s="48">
        <v>2</v>
      </c>
    </row>
    <row r="46" spans="1:3" s="36" customFormat="1" ht="15" customHeight="1" x14ac:dyDescent="0.25">
      <c r="A46" s="21" t="s">
        <v>145</v>
      </c>
      <c r="B46" s="39" t="s">
        <v>20</v>
      </c>
      <c r="C46" s="48">
        <v>1</v>
      </c>
    </row>
    <row r="47" spans="1:3" s="36" customFormat="1" ht="15" customHeight="1" x14ac:dyDescent="0.25">
      <c r="A47" s="21" t="s">
        <v>145</v>
      </c>
      <c r="B47" s="39" t="s">
        <v>28</v>
      </c>
      <c r="C47" s="48">
        <v>2</v>
      </c>
    </row>
    <row r="48" spans="1:3" s="36" customFormat="1" ht="15" customHeight="1" x14ac:dyDescent="0.25">
      <c r="A48" s="25" t="s">
        <v>148</v>
      </c>
      <c r="B48" s="39" t="s">
        <v>19</v>
      </c>
      <c r="C48" s="48">
        <v>1</v>
      </c>
    </row>
    <row r="49" spans="1:3" s="36" customFormat="1" ht="15" customHeight="1" x14ac:dyDescent="0.25">
      <c r="A49" s="25" t="s">
        <v>148</v>
      </c>
      <c r="B49" s="39" t="s">
        <v>28</v>
      </c>
      <c r="C49" s="48">
        <v>2</v>
      </c>
    </row>
    <row r="50" spans="1:3" s="36" customFormat="1" ht="15" customHeight="1" x14ac:dyDescent="0.25">
      <c r="A50" s="25" t="s">
        <v>150</v>
      </c>
      <c r="B50" s="39" t="s">
        <v>15</v>
      </c>
      <c r="C50" s="48">
        <v>1</v>
      </c>
    </row>
    <row r="51" spans="1:3" s="36" customFormat="1" ht="15" customHeight="1" x14ac:dyDescent="0.25">
      <c r="A51" s="25" t="s">
        <v>150</v>
      </c>
      <c r="B51" s="39" t="s">
        <v>28</v>
      </c>
      <c r="C51" s="48">
        <v>2</v>
      </c>
    </row>
    <row r="52" spans="1:3" s="36" customFormat="1" ht="15" customHeight="1" x14ac:dyDescent="0.25">
      <c r="A52" s="25" t="s">
        <v>150</v>
      </c>
      <c r="B52" s="39" t="s">
        <v>61</v>
      </c>
      <c r="C52" s="48">
        <v>1</v>
      </c>
    </row>
    <row r="53" spans="1:3" s="36" customFormat="1" ht="15" customHeight="1" x14ac:dyDescent="0.25">
      <c r="A53" s="25" t="s">
        <v>152</v>
      </c>
      <c r="B53" s="39" t="s">
        <v>15</v>
      </c>
      <c r="C53" s="48">
        <v>1</v>
      </c>
    </row>
    <row r="54" spans="1:3" s="36" customFormat="1" ht="15" customHeight="1" x14ac:dyDescent="0.25">
      <c r="A54" s="25" t="s">
        <v>152</v>
      </c>
      <c r="B54" s="39" t="s">
        <v>28</v>
      </c>
      <c r="C54" s="48">
        <v>2</v>
      </c>
    </row>
    <row r="55" spans="1:3" s="36" customFormat="1" ht="15" customHeight="1" x14ac:dyDescent="0.25">
      <c r="A55" s="25" t="s">
        <v>154</v>
      </c>
      <c r="B55" s="39" t="s">
        <v>15</v>
      </c>
      <c r="C55" s="48">
        <v>1</v>
      </c>
    </row>
    <row r="56" spans="1:3" s="36" customFormat="1" ht="15" customHeight="1" x14ac:dyDescent="0.25">
      <c r="A56" s="25" t="s">
        <v>154</v>
      </c>
      <c r="B56" s="39" t="s">
        <v>28</v>
      </c>
      <c r="C56" s="48">
        <v>2</v>
      </c>
    </row>
    <row r="57" spans="1:3" s="36" customFormat="1" ht="15" customHeight="1" x14ac:dyDescent="0.25">
      <c r="A57" s="25" t="s">
        <v>154</v>
      </c>
      <c r="B57" s="39" t="s">
        <v>61</v>
      </c>
      <c r="C57" s="48">
        <v>2</v>
      </c>
    </row>
    <row r="58" spans="1:3" s="36" customFormat="1" ht="15" customHeight="1" x14ac:dyDescent="0.25">
      <c r="A58" s="25" t="s">
        <v>156</v>
      </c>
      <c r="B58" s="39" t="s">
        <v>15</v>
      </c>
      <c r="C58" s="48">
        <v>1</v>
      </c>
    </row>
    <row r="59" spans="1:3" s="36" customFormat="1" ht="15" customHeight="1" x14ac:dyDescent="0.25">
      <c r="A59" s="25" t="s">
        <v>156</v>
      </c>
      <c r="B59" s="39" t="s">
        <v>28</v>
      </c>
      <c r="C59" s="48">
        <v>2</v>
      </c>
    </row>
    <row r="60" spans="1:3" s="36" customFormat="1" ht="15" customHeight="1" x14ac:dyDescent="0.25">
      <c r="A60" s="25" t="s">
        <v>156</v>
      </c>
      <c r="B60" s="39" t="s">
        <v>61</v>
      </c>
      <c r="C60" s="48">
        <v>2</v>
      </c>
    </row>
    <row r="61" spans="1:3" s="36" customFormat="1" ht="15" customHeight="1" x14ac:dyDescent="0.25">
      <c r="A61" s="25" t="s">
        <v>158</v>
      </c>
      <c r="B61" s="39" t="s">
        <v>15</v>
      </c>
      <c r="C61" s="48">
        <v>1</v>
      </c>
    </row>
    <row r="62" spans="1:3" s="36" customFormat="1" ht="15" customHeight="1" x14ac:dyDescent="0.25">
      <c r="A62" s="25" t="s">
        <v>158</v>
      </c>
      <c r="B62" s="39" t="s">
        <v>28</v>
      </c>
      <c r="C62" s="48">
        <v>2</v>
      </c>
    </row>
    <row r="63" spans="1:3" s="36" customFormat="1" ht="15" customHeight="1" x14ac:dyDescent="0.25">
      <c r="A63" s="21" t="s">
        <v>160</v>
      </c>
      <c r="B63" s="39" t="s">
        <v>15</v>
      </c>
      <c r="C63" s="48">
        <v>1</v>
      </c>
    </row>
    <row r="64" spans="1:3" s="36" customFormat="1" ht="15" customHeight="1" x14ac:dyDescent="0.25">
      <c r="A64" s="21" t="s">
        <v>160</v>
      </c>
      <c r="B64" s="39" t="s">
        <v>28</v>
      </c>
      <c r="C64" s="48">
        <v>2</v>
      </c>
    </row>
    <row r="65" spans="1:3" s="36" customFormat="1" ht="15" customHeight="1" x14ac:dyDescent="0.25">
      <c r="A65" s="21" t="s">
        <v>160</v>
      </c>
      <c r="B65" s="39" t="s">
        <v>61</v>
      </c>
      <c r="C65" s="48">
        <v>1</v>
      </c>
    </row>
    <row r="66" spans="1:3" s="36" customFormat="1" ht="15" customHeight="1" x14ac:dyDescent="0.25">
      <c r="A66" s="26" t="s">
        <v>162</v>
      </c>
      <c r="B66" s="39" t="s">
        <v>15</v>
      </c>
      <c r="C66" s="48">
        <v>1</v>
      </c>
    </row>
    <row r="67" spans="1:3" s="36" customFormat="1" ht="15" customHeight="1" x14ac:dyDescent="0.25">
      <c r="A67" s="26" t="s">
        <v>162</v>
      </c>
      <c r="B67" s="39" t="s">
        <v>28</v>
      </c>
      <c r="C67" s="48">
        <v>2</v>
      </c>
    </row>
    <row r="68" spans="1:3" s="36" customFormat="1" ht="15" customHeight="1" x14ac:dyDescent="0.25">
      <c r="A68" s="26" t="s">
        <v>162</v>
      </c>
      <c r="B68" s="39" t="s">
        <v>61</v>
      </c>
      <c r="C68" s="48">
        <v>1</v>
      </c>
    </row>
    <row r="69" spans="1:3" s="36" customFormat="1" ht="15" customHeight="1" x14ac:dyDescent="0.25">
      <c r="A69" s="26" t="s">
        <v>164</v>
      </c>
      <c r="B69" s="39" t="s">
        <v>15</v>
      </c>
      <c r="C69" s="48">
        <v>1</v>
      </c>
    </row>
    <row r="70" spans="1:3" s="36" customFormat="1" ht="15" customHeight="1" x14ac:dyDescent="0.25">
      <c r="A70" s="26" t="s">
        <v>164</v>
      </c>
      <c r="B70" s="39" t="s">
        <v>28</v>
      </c>
      <c r="C70" s="48">
        <v>2</v>
      </c>
    </row>
    <row r="71" spans="1:3" s="36" customFormat="1" ht="15" customHeight="1" x14ac:dyDescent="0.25">
      <c r="A71" s="26" t="s">
        <v>164</v>
      </c>
      <c r="B71" s="39" t="s">
        <v>61</v>
      </c>
      <c r="C71" s="48">
        <v>1</v>
      </c>
    </row>
    <row r="72" spans="1:3" s="36" customFormat="1" ht="15" customHeight="1" x14ac:dyDescent="0.25">
      <c r="A72" s="26" t="s">
        <v>166</v>
      </c>
      <c r="B72" s="39" t="s">
        <v>17</v>
      </c>
      <c r="C72" s="48">
        <v>1</v>
      </c>
    </row>
    <row r="73" spans="1:3" s="36" customFormat="1" ht="15" customHeight="1" x14ac:dyDescent="0.25">
      <c r="A73" s="26" t="s">
        <v>166</v>
      </c>
      <c r="B73" s="39" t="s">
        <v>31</v>
      </c>
      <c r="C73" s="48">
        <v>1</v>
      </c>
    </row>
    <row r="74" spans="1:3" s="36" customFormat="1" ht="15" customHeight="1" x14ac:dyDescent="0.25">
      <c r="A74" s="26" t="s">
        <v>166</v>
      </c>
      <c r="B74" s="39" t="s">
        <v>28</v>
      </c>
      <c r="C74" s="48">
        <v>2</v>
      </c>
    </row>
    <row r="75" spans="1:3" s="36" customFormat="1" ht="15" customHeight="1" x14ac:dyDescent="0.25">
      <c r="A75" s="26" t="s">
        <v>166</v>
      </c>
      <c r="B75" s="39" t="s">
        <v>61</v>
      </c>
      <c r="C75" s="48">
        <v>1</v>
      </c>
    </row>
    <row r="76" spans="1:3" s="36" customFormat="1" ht="15" customHeight="1" x14ac:dyDescent="0.25">
      <c r="A76" s="26" t="s">
        <v>168</v>
      </c>
      <c r="B76" s="39" t="s">
        <v>17</v>
      </c>
      <c r="C76" s="48">
        <v>1</v>
      </c>
    </row>
    <row r="77" spans="1:3" s="36" customFormat="1" ht="15" customHeight="1" x14ac:dyDescent="0.25">
      <c r="A77" s="26" t="s">
        <v>168</v>
      </c>
      <c r="B77" s="39" t="s">
        <v>28</v>
      </c>
      <c r="C77" s="48">
        <v>2</v>
      </c>
    </row>
    <row r="78" spans="1:3" s="36" customFormat="1" ht="15" customHeight="1" x14ac:dyDescent="0.25">
      <c r="A78" s="26" t="s">
        <v>168</v>
      </c>
      <c r="B78" s="39" t="s">
        <v>31</v>
      </c>
      <c r="C78" s="48">
        <v>1</v>
      </c>
    </row>
    <row r="79" spans="1:3" s="36" customFormat="1" ht="15" customHeight="1" x14ac:dyDescent="0.25">
      <c r="A79" s="26" t="s">
        <v>168</v>
      </c>
      <c r="B79" s="39" t="s">
        <v>61</v>
      </c>
      <c r="C79" s="48">
        <v>1</v>
      </c>
    </row>
    <row r="80" spans="1:3" s="36" customFormat="1" ht="15" customHeight="1" x14ac:dyDescent="0.25">
      <c r="A80" s="27" t="s">
        <v>170</v>
      </c>
      <c r="B80" s="39" t="s">
        <v>27</v>
      </c>
      <c r="C80" s="48">
        <v>1</v>
      </c>
    </row>
    <row r="81" spans="1:3" s="36" customFormat="1" ht="15" customHeight="1" x14ac:dyDescent="0.25">
      <c r="A81" s="27" t="s">
        <v>173</v>
      </c>
      <c r="B81" s="39" t="s">
        <v>15</v>
      </c>
      <c r="C81" s="48">
        <v>1</v>
      </c>
    </row>
    <row r="82" spans="1:3" s="36" customFormat="1" ht="15" customHeight="1" x14ac:dyDescent="0.25">
      <c r="A82" s="27" t="s">
        <v>173</v>
      </c>
      <c r="B82" s="39" t="s">
        <v>29</v>
      </c>
      <c r="C82" s="48">
        <v>1</v>
      </c>
    </row>
    <row r="83" spans="1:3" s="36" customFormat="1" ht="15" customHeight="1" x14ac:dyDescent="0.25">
      <c r="A83" s="27" t="s">
        <v>173</v>
      </c>
      <c r="B83" s="39" t="s">
        <v>30</v>
      </c>
      <c r="C83" s="48">
        <v>1</v>
      </c>
    </row>
    <row r="84" spans="1:3" s="36" customFormat="1" ht="15" customHeight="1" x14ac:dyDescent="0.25">
      <c r="A84" s="27" t="s">
        <v>176</v>
      </c>
      <c r="B84" s="39" t="s">
        <v>14</v>
      </c>
      <c r="C84" s="48">
        <v>1</v>
      </c>
    </row>
    <row r="85" spans="1:3" s="36" customFormat="1" ht="15" customHeight="1" x14ac:dyDescent="0.25">
      <c r="A85" s="27" t="s">
        <v>176</v>
      </c>
      <c r="B85" s="39" t="s">
        <v>29</v>
      </c>
      <c r="C85" s="48">
        <v>1</v>
      </c>
    </row>
    <row r="86" spans="1:3" s="36" customFormat="1" ht="15" customHeight="1" x14ac:dyDescent="0.25">
      <c r="A86" s="27" t="s">
        <v>176</v>
      </c>
      <c r="B86" s="39" t="s">
        <v>30</v>
      </c>
      <c r="C86" s="48">
        <v>1</v>
      </c>
    </row>
    <row r="87" spans="1:3" s="36" customFormat="1" ht="15" customHeight="1" x14ac:dyDescent="0.25">
      <c r="A87" s="27" t="s">
        <v>178</v>
      </c>
      <c r="B87" s="39" t="s">
        <v>13</v>
      </c>
      <c r="C87" s="48">
        <v>1</v>
      </c>
    </row>
    <row r="88" spans="1:3" s="36" customFormat="1" ht="15" customHeight="1" x14ac:dyDescent="0.25">
      <c r="A88" s="27" t="s">
        <v>178</v>
      </c>
      <c r="B88" s="39" t="s">
        <v>29</v>
      </c>
      <c r="C88" s="48">
        <v>1</v>
      </c>
    </row>
    <row r="89" spans="1:3" s="36" customFormat="1" ht="15" customHeight="1" x14ac:dyDescent="0.25">
      <c r="A89" s="27" t="s">
        <v>178</v>
      </c>
      <c r="B89" s="39" t="s">
        <v>30</v>
      </c>
      <c r="C89" s="48">
        <v>1</v>
      </c>
    </row>
    <row r="90" spans="1:3" s="36" customFormat="1" ht="15" customHeight="1" x14ac:dyDescent="0.25">
      <c r="A90" s="27" t="s">
        <v>181</v>
      </c>
      <c r="B90" s="39" t="s">
        <v>15</v>
      </c>
      <c r="C90" s="48">
        <v>1</v>
      </c>
    </row>
    <row r="91" spans="1:3" s="36" customFormat="1" ht="15" customHeight="1" x14ac:dyDescent="0.25">
      <c r="A91" s="27" t="s">
        <v>181</v>
      </c>
      <c r="B91" s="39" t="s">
        <v>29</v>
      </c>
      <c r="C91" s="48">
        <v>1</v>
      </c>
    </row>
    <row r="92" spans="1:3" s="36" customFormat="1" ht="15" customHeight="1" x14ac:dyDescent="0.25">
      <c r="A92" s="27" t="s">
        <v>181</v>
      </c>
      <c r="B92" s="39" t="s">
        <v>30</v>
      </c>
      <c r="C92" s="48">
        <v>1</v>
      </c>
    </row>
    <row r="93" spans="1:3" s="36" customFormat="1" ht="15" customHeight="1" x14ac:dyDescent="0.25">
      <c r="A93" s="27" t="s">
        <v>184</v>
      </c>
      <c r="B93" s="39" t="s">
        <v>22</v>
      </c>
      <c r="C93" s="48">
        <v>1</v>
      </c>
    </row>
    <row r="94" spans="1:3" s="36" customFormat="1" ht="15" customHeight="1" x14ac:dyDescent="0.25">
      <c r="A94" s="27" t="s">
        <v>184</v>
      </c>
      <c r="B94" s="39" t="s">
        <v>29</v>
      </c>
      <c r="C94" s="48">
        <v>1</v>
      </c>
    </row>
    <row r="95" spans="1:3" s="36" customFormat="1" ht="15" customHeight="1" x14ac:dyDescent="0.25">
      <c r="A95" s="27" t="s">
        <v>184</v>
      </c>
      <c r="B95" s="39" t="s">
        <v>30</v>
      </c>
      <c r="C95" s="48">
        <v>1</v>
      </c>
    </row>
    <row r="96" spans="1:3" s="36" customFormat="1" ht="15" customHeight="1" x14ac:dyDescent="0.25">
      <c r="A96" s="27" t="s">
        <v>186</v>
      </c>
      <c r="B96" s="39" t="s">
        <v>14</v>
      </c>
      <c r="C96" s="48">
        <v>1</v>
      </c>
    </row>
    <row r="97" spans="1:3" s="36" customFormat="1" ht="15" customHeight="1" x14ac:dyDescent="0.25">
      <c r="A97" s="27" t="s">
        <v>186</v>
      </c>
      <c r="B97" s="39" t="s">
        <v>29</v>
      </c>
      <c r="C97" s="48">
        <v>1</v>
      </c>
    </row>
    <row r="98" spans="1:3" s="36" customFormat="1" ht="15" customHeight="1" x14ac:dyDescent="0.25">
      <c r="A98" s="27" t="s">
        <v>186</v>
      </c>
      <c r="B98" s="39" t="s">
        <v>30</v>
      </c>
      <c r="C98" s="48">
        <v>1</v>
      </c>
    </row>
    <row r="99" spans="1:3" s="36" customFormat="1" ht="15" customHeight="1" x14ac:dyDescent="0.25">
      <c r="A99" s="27" t="s">
        <v>188</v>
      </c>
      <c r="B99" s="39" t="s">
        <v>15</v>
      </c>
      <c r="C99" s="48">
        <v>1</v>
      </c>
    </row>
    <row r="100" spans="1:3" s="36" customFormat="1" ht="15" customHeight="1" x14ac:dyDescent="0.25">
      <c r="A100" s="27" t="s">
        <v>188</v>
      </c>
      <c r="B100" s="39" t="s">
        <v>29</v>
      </c>
      <c r="C100" s="48">
        <v>1</v>
      </c>
    </row>
    <row r="101" spans="1:3" s="36" customFormat="1" ht="15" customHeight="1" x14ac:dyDescent="0.25">
      <c r="A101" s="27" t="s">
        <v>188</v>
      </c>
      <c r="B101" s="39" t="s">
        <v>30</v>
      </c>
      <c r="C101" s="48">
        <v>1</v>
      </c>
    </row>
    <row r="102" spans="1:3" s="36" customFormat="1" ht="15" customHeight="1" x14ac:dyDescent="0.25">
      <c r="A102" s="27" t="s">
        <v>190</v>
      </c>
      <c r="B102" s="39" t="s">
        <v>24</v>
      </c>
      <c r="C102" s="48">
        <v>1</v>
      </c>
    </row>
    <row r="103" spans="1:3" s="36" customFormat="1" ht="15" customHeight="1" x14ac:dyDescent="0.25">
      <c r="A103" s="27" t="s">
        <v>190</v>
      </c>
      <c r="B103" s="39" t="s">
        <v>29</v>
      </c>
      <c r="C103" s="48">
        <v>1</v>
      </c>
    </row>
    <row r="104" spans="1:3" s="36" customFormat="1" ht="15" customHeight="1" x14ac:dyDescent="0.25">
      <c r="A104" s="27" t="s">
        <v>190</v>
      </c>
      <c r="B104" s="39" t="s">
        <v>30</v>
      </c>
      <c r="C104" s="48">
        <v>1</v>
      </c>
    </row>
    <row r="105" spans="1:3" s="36" customFormat="1" ht="15" customHeight="1" x14ac:dyDescent="0.25">
      <c r="A105" s="27" t="s">
        <v>190</v>
      </c>
      <c r="B105" s="39" t="s">
        <v>31</v>
      </c>
      <c r="C105" s="48">
        <v>1</v>
      </c>
    </row>
    <row r="106" spans="1:3" s="36" customFormat="1" ht="15" customHeight="1" x14ac:dyDescent="0.25">
      <c r="A106" s="27" t="s">
        <v>190</v>
      </c>
      <c r="B106" s="39" t="s">
        <v>32</v>
      </c>
      <c r="C106" s="48">
        <v>1</v>
      </c>
    </row>
    <row r="107" spans="1:3" s="36" customFormat="1" ht="15" customHeight="1" x14ac:dyDescent="0.25">
      <c r="A107" s="28" t="s">
        <v>192</v>
      </c>
      <c r="B107" s="39" t="s">
        <v>26</v>
      </c>
      <c r="C107" s="48">
        <v>1</v>
      </c>
    </row>
    <row r="108" spans="1:3" s="36" customFormat="1" ht="15" customHeight="1" x14ac:dyDescent="0.25">
      <c r="A108" s="28" t="s">
        <v>192</v>
      </c>
      <c r="B108" s="39" t="s">
        <v>29</v>
      </c>
      <c r="C108" s="48">
        <v>1</v>
      </c>
    </row>
    <row r="109" spans="1:3" s="36" customFormat="1" ht="15" customHeight="1" x14ac:dyDescent="0.25">
      <c r="A109" s="28" t="s">
        <v>192</v>
      </c>
      <c r="B109" s="39" t="s">
        <v>30</v>
      </c>
      <c r="C109" s="48">
        <v>1</v>
      </c>
    </row>
    <row r="110" spans="1:3" s="36" customFormat="1" ht="15" customHeight="1" x14ac:dyDescent="0.25">
      <c r="A110" s="28" t="s">
        <v>195</v>
      </c>
      <c r="B110" s="39" t="s">
        <v>26</v>
      </c>
      <c r="C110" s="48">
        <v>1</v>
      </c>
    </row>
    <row r="111" spans="1:3" s="36" customFormat="1" ht="15" customHeight="1" x14ac:dyDescent="0.25">
      <c r="A111" s="28" t="s">
        <v>195</v>
      </c>
      <c r="B111" s="39" t="s">
        <v>29</v>
      </c>
      <c r="C111" s="48">
        <v>1</v>
      </c>
    </row>
    <row r="112" spans="1:3" s="36" customFormat="1" ht="15" customHeight="1" x14ac:dyDescent="0.25">
      <c r="A112" s="28" t="s">
        <v>195</v>
      </c>
      <c r="B112" s="39" t="s">
        <v>30</v>
      </c>
      <c r="C112" s="48">
        <v>1</v>
      </c>
    </row>
    <row r="113" spans="1:3" s="36" customFormat="1" ht="15" customHeight="1" x14ac:dyDescent="0.25">
      <c r="A113" s="27" t="s">
        <v>197</v>
      </c>
      <c r="B113" s="39" t="s">
        <v>22</v>
      </c>
      <c r="C113" s="48">
        <v>1</v>
      </c>
    </row>
    <row r="114" spans="1:3" s="36" customFormat="1" ht="15" customHeight="1" x14ac:dyDescent="0.25">
      <c r="A114" s="27" t="s">
        <v>197</v>
      </c>
      <c r="B114" s="39" t="s">
        <v>29</v>
      </c>
      <c r="C114" s="48">
        <v>1</v>
      </c>
    </row>
    <row r="115" spans="1:3" s="36" customFormat="1" ht="15" customHeight="1" x14ac:dyDescent="0.25">
      <c r="A115" s="27" t="s">
        <v>197</v>
      </c>
      <c r="B115" s="39" t="s">
        <v>30</v>
      </c>
      <c r="C115" s="48">
        <v>1</v>
      </c>
    </row>
    <row r="116" spans="1:3" s="36" customFormat="1" ht="15" customHeight="1" x14ac:dyDescent="0.25">
      <c r="A116" s="27" t="s">
        <v>200</v>
      </c>
      <c r="B116" s="39" t="s">
        <v>25</v>
      </c>
      <c r="C116" s="48">
        <v>1</v>
      </c>
    </row>
    <row r="117" spans="1:3" s="36" customFormat="1" ht="15" customHeight="1" x14ac:dyDescent="0.25">
      <c r="A117" s="27" t="s">
        <v>200</v>
      </c>
      <c r="B117" s="39" t="s">
        <v>29</v>
      </c>
      <c r="C117" s="48">
        <v>1</v>
      </c>
    </row>
    <row r="118" spans="1:3" s="36" customFormat="1" ht="15" customHeight="1" x14ac:dyDescent="0.25">
      <c r="A118" s="27" t="s">
        <v>200</v>
      </c>
      <c r="B118" s="39" t="s">
        <v>30</v>
      </c>
      <c r="C118" s="48">
        <v>1</v>
      </c>
    </row>
    <row r="119" spans="1:3" s="36" customFormat="1" ht="15" customHeight="1" x14ac:dyDescent="0.25">
      <c r="A119" s="27" t="s">
        <v>202</v>
      </c>
      <c r="B119" s="39" t="s">
        <v>25</v>
      </c>
      <c r="C119" s="48">
        <v>1</v>
      </c>
    </row>
    <row r="120" spans="1:3" s="36" customFormat="1" ht="15" customHeight="1" x14ac:dyDescent="0.25">
      <c r="A120" s="27" t="s">
        <v>202</v>
      </c>
      <c r="B120" s="39" t="s">
        <v>29</v>
      </c>
      <c r="C120" s="48">
        <v>1</v>
      </c>
    </row>
    <row r="121" spans="1:3" s="36" customFormat="1" ht="15" customHeight="1" x14ac:dyDescent="0.25">
      <c r="A121" s="27" t="s">
        <v>202</v>
      </c>
      <c r="B121" s="39" t="s">
        <v>30</v>
      </c>
      <c r="C121" s="48">
        <v>1</v>
      </c>
    </row>
    <row r="122" spans="1:3" s="36" customFormat="1" ht="15" customHeight="1" x14ac:dyDescent="0.25">
      <c r="A122" s="27" t="s">
        <v>204</v>
      </c>
      <c r="B122" s="39" t="s">
        <v>25</v>
      </c>
      <c r="C122" s="48">
        <v>1</v>
      </c>
    </row>
    <row r="123" spans="1:3" s="36" customFormat="1" ht="15" customHeight="1" x14ac:dyDescent="0.25">
      <c r="A123" s="27" t="s">
        <v>204</v>
      </c>
      <c r="B123" s="39" t="s">
        <v>29</v>
      </c>
      <c r="C123" s="48">
        <v>1</v>
      </c>
    </row>
    <row r="124" spans="1:3" s="36" customFormat="1" ht="15" customHeight="1" x14ac:dyDescent="0.25">
      <c r="A124" s="27" t="s">
        <v>204</v>
      </c>
      <c r="B124" s="39" t="s">
        <v>30</v>
      </c>
      <c r="C124" s="48">
        <v>1</v>
      </c>
    </row>
    <row r="125" spans="1:3" s="36" customFormat="1" ht="15" customHeight="1" x14ac:dyDescent="0.25">
      <c r="A125" s="27" t="s">
        <v>206</v>
      </c>
      <c r="B125" s="39" t="s">
        <v>25</v>
      </c>
      <c r="C125" s="48">
        <v>1</v>
      </c>
    </row>
    <row r="126" spans="1:3" s="36" customFormat="1" ht="15" customHeight="1" x14ac:dyDescent="0.25">
      <c r="A126" s="27" t="s">
        <v>206</v>
      </c>
      <c r="B126" s="39" t="s">
        <v>29</v>
      </c>
      <c r="C126" s="48">
        <v>1</v>
      </c>
    </row>
    <row r="127" spans="1:3" s="36" customFormat="1" ht="15" customHeight="1" x14ac:dyDescent="0.25">
      <c r="A127" s="27" t="s">
        <v>206</v>
      </c>
      <c r="B127" s="39" t="s">
        <v>30</v>
      </c>
      <c r="C127" s="48">
        <v>1</v>
      </c>
    </row>
    <row r="128" spans="1:3" s="36" customFormat="1" ht="15" customHeight="1" x14ac:dyDescent="0.25">
      <c r="A128" s="27" t="s">
        <v>208</v>
      </c>
      <c r="B128" s="39" t="s">
        <v>25</v>
      </c>
      <c r="C128" s="48">
        <v>1</v>
      </c>
    </row>
    <row r="129" spans="1:3" s="36" customFormat="1" ht="15" customHeight="1" x14ac:dyDescent="0.25">
      <c r="A129" s="27" t="s">
        <v>208</v>
      </c>
      <c r="B129" s="39" t="s">
        <v>29</v>
      </c>
      <c r="C129" s="48">
        <v>1</v>
      </c>
    </row>
    <row r="130" spans="1:3" s="36" customFormat="1" ht="15" customHeight="1" x14ac:dyDescent="0.25">
      <c r="A130" s="27" t="s">
        <v>208</v>
      </c>
      <c r="B130" s="39" t="s">
        <v>30</v>
      </c>
      <c r="C130" s="48">
        <v>1</v>
      </c>
    </row>
    <row r="131" spans="1:3" s="36" customFormat="1" ht="15" customHeight="1" x14ac:dyDescent="0.25">
      <c r="A131" s="27" t="s">
        <v>210</v>
      </c>
      <c r="B131" s="39" t="s">
        <v>25</v>
      </c>
      <c r="C131" s="48">
        <v>1</v>
      </c>
    </row>
    <row r="132" spans="1:3" s="36" customFormat="1" ht="15" customHeight="1" x14ac:dyDescent="0.25">
      <c r="A132" s="27" t="s">
        <v>210</v>
      </c>
      <c r="B132" s="39" t="s">
        <v>29</v>
      </c>
      <c r="C132" s="48">
        <v>1</v>
      </c>
    </row>
    <row r="133" spans="1:3" s="36" customFormat="1" ht="15" customHeight="1" x14ac:dyDescent="0.25">
      <c r="A133" s="27" t="s">
        <v>210</v>
      </c>
      <c r="B133" s="39" t="s">
        <v>30</v>
      </c>
      <c r="C133" s="48">
        <v>1</v>
      </c>
    </row>
    <row r="134" spans="1:3" s="36" customFormat="1" ht="15" customHeight="1" x14ac:dyDescent="0.25">
      <c r="A134" s="29" t="s">
        <v>212</v>
      </c>
      <c r="B134" s="39" t="s">
        <v>25</v>
      </c>
      <c r="C134" s="48">
        <v>1</v>
      </c>
    </row>
    <row r="135" spans="1:3" s="36" customFormat="1" ht="15" customHeight="1" x14ac:dyDescent="0.25">
      <c r="A135" s="29" t="s">
        <v>212</v>
      </c>
      <c r="B135" s="39" t="s">
        <v>29</v>
      </c>
      <c r="C135" s="48">
        <v>1</v>
      </c>
    </row>
    <row r="136" spans="1:3" s="36" customFormat="1" ht="15" customHeight="1" x14ac:dyDescent="0.25">
      <c r="A136" s="29" t="s">
        <v>212</v>
      </c>
      <c r="B136" s="39" t="s">
        <v>30</v>
      </c>
      <c r="C136" s="48">
        <v>1</v>
      </c>
    </row>
    <row r="137" spans="1:3" s="36" customFormat="1" ht="15" customHeight="1" x14ac:dyDescent="0.25">
      <c r="A137" s="29" t="s">
        <v>214</v>
      </c>
      <c r="B137" s="39" t="s">
        <v>25</v>
      </c>
      <c r="C137" s="48">
        <v>1</v>
      </c>
    </row>
    <row r="138" spans="1:3" s="36" customFormat="1" ht="15" customHeight="1" x14ac:dyDescent="0.25">
      <c r="A138" s="29" t="s">
        <v>214</v>
      </c>
      <c r="B138" s="39" t="s">
        <v>29</v>
      </c>
      <c r="C138" s="48">
        <v>1</v>
      </c>
    </row>
    <row r="139" spans="1:3" s="36" customFormat="1" ht="15" customHeight="1" x14ac:dyDescent="0.25">
      <c r="A139" s="29" t="s">
        <v>214</v>
      </c>
      <c r="B139" s="39" t="s">
        <v>30</v>
      </c>
      <c r="C139" s="48">
        <v>1</v>
      </c>
    </row>
    <row r="140" spans="1:3" s="36" customFormat="1" ht="15" customHeight="1" x14ac:dyDescent="0.25">
      <c r="A140" s="29" t="s">
        <v>216</v>
      </c>
      <c r="B140" s="39" t="s">
        <v>25</v>
      </c>
      <c r="C140" s="48">
        <v>1</v>
      </c>
    </row>
    <row r="141" spans="1:3" s="36" customFormat="1" ht="15" customHeight="1" x14ac:dyDescent="0.25">
      <c r="A141" s="29" t="s">
        <v>216</v>
      </c>
      <c r="B141" s="39" t="s">
        <v>29</v>
      </c>
      <c r="C141" s="48">
        <v>1</v>
      </c>
    </row>
    <row r="142" spans="1:3" s="36" customFormat="1" ht="15" customHeight="1" x14ac:dyDescent="0.25">
      <c r="A142" s="29" t="s">
        <v>216</v>
      </c>
      <c r="B142" s="39" t="s">
        <v>30</v>
      </c>
      <c r="C142" s="48">
        <v>1</v>
      </c>
    </row>
    <row r="143" spans="1:3" s="36" customFormat="1" ht="15" customHeight="1" x14ac:dyDescent="0.25">
      <c r="A143" s="27" t="s">
        <v>218</v>
      </c>
      <c r="B143" s="39" t="s">
        <v>21</v>
      </c>
      <c r="C143" s="48">
        <v>1</v>
      </c>
    </row>
    <row r="144" spans="1:3" s="36" customFormat="1" ht="15" customHeight="1" x14ac:dyDescent="0.25">
      <c r="A144" s="27" t="s">
        <v>218</v>
      </c>
      <c r="B144" s="39" t="s">
        <v>289</v>
      </c>
      <c r="C144" s="48">
        <v>1</v>
      </c>
    </row>
    <row r="145" spans="1:3" s="36" customFormat="1" ht="15" customHeight="1" x14ac:dyDescent="0.25">
      <c r="A145" s="27" t="s">
        <v>220</v>
      </c>
      <c r="B145" s="39" t="s">
        <v>15</v>
      </c>
      <c r="C145" s="48">
        <v>1</v>
      </c>
    </row>
    <row r="146" spans="1:3" s="36" customFormat="1" ht="15" customHeight="1" x14ac:dyDescent="0.25">
      <c r="A146" s="27" t="s">
        <v>220</v>
      </c>
      <c r="B146" s="39" t="s">
        <v>29</v>
      </c>
      <c r="C146" s="48">
        <v>1</v>
      </c>
    </row>
    <row r="147" spans="1:3" s="36" customFormat="1" ht="15" customHeight="1" x14ac:dyDescent="0.25">
      <c r="A147" s="27" t="s">
        <v>220</v>
      </c>
      <c r="B147" s="39" t="s">
        <v>30</v>
      </c>
      <c r="C147" s="48">
        <v>1</v>
      </c>
    </row>
    <row r="148" spans="1:3" s="36" customFormat="1" ht="15" customHeight="1" x14ac:dyDescent="0.25">
      <c r="A148" s="27" t="s">
        <v>222</v>
      </c>
      <c r="B148" s="39" t="s">
        <v>15</v>
      </c>
      <c r="C148" s="48">
        <v>1</v>
      </c>
    </row>
    <row r="149" spans="1:3" s="36" customFormat="1" ht="15" customHeight="1" x14ac:dyDescent="0.25">
      <c r="A149" s="27" t="s">
        <v>222</v>
      </c>
      <c r="B149" s="39" t="s">
        <v>29</v>
      </c>
      <c r="C149" s="48">
        <v>1</v>
      </c>
    </row>
    <row r="150" spans="1:3" s="36" customFormat="1" ht="15" customHeight="1" x14ac:dyDescent="0.25">
      <c r="A150" s="27" t="s">
        <v>222</v>
      </c>
      <c r="B150" s="39" t="s">
        <v>30</v>
      </c>
      <c r="C150" s="48">
        <v>1</v>
      </c>
    </row>
    <row r="151" spans="1:3" s="36" customFormat="1" ht="15" customHeight="1" x14ac:dyDescent="0.25">
      <c r="A151" s="27" t="s">
        <v>224</v>
      </c>
      <c r="B151" s="39" t="s">
        <v>15</v>
      </c>
      <c r="C151" s="48">
        <v>1</v>
      </c>
    </row>
    <row r="152" spans="1:3" s="36" customFormat="1" ht="15" customHeight="1" x14ac:dyDescent="0.25">
      <c r="A152" s="27" t="s">
        <v>224</v>
      </c>
      <c r="B152" s="39" t="s">
        <v>29</v>
      </c>
      <c r="C152" s="48">
        <v>1</v>
      </c>
    </row>
    <row r="153" spans="1:3" s="36" customFormat="1" ht="15" customHeight="1" x14ac:dyDescent="0.25">
      <c r="A153" s="27" t="s">
        <v>224</v>
      </c>
      <c r="B153" s="39" t="s">
        <v>30</v>
      </c>
      <c r="C153" s="48">
        <v>1</v>
      </c>
    </row>
    <row r="154" spans="1:3" s="36" customFormat="1" ht="15" customHeight="1" x14ac:dyDescent="0.25">
      <c r="A154" s="27" t="s">
        <v>226</v>
      </c>
      <c r="B154" s="39" t="s">
        <v>24</v>
      </c>
      <c r="C154" s="48">
        <v>1</v>
      </c>
    </row>
    <row r="155" spans="1:3" s="36" customFormat="1" ht="15" customHeight="1" x14ac:dyDescent="0.25">
      <c r="A155" s="27" t="s">
        <v>226</v>
      </c>
      <c r="B155" s="39" t="s">
        <v>29</v>
      </c>
      <c r="C155" s="48">
        <v>1</v>
      </c>
    </row>
    <row r="156" spans="1:3" s="36" customFormat="1" ht="15" customHeight="1" x14ac:dyDescent="0.25">
      <c r="A156" s="27" t="s">
        <v>226</v>
      </c>
      <c r="B156" s="39" t="s">
        <v>30</v>
      </c>
      <c r="C156" s="48">
        <v>1</v>
      </c>
    </row>
    <row r="157" spans="1:3" s="36" customFormat="1" ht="15" customHeight="1" x14ac:dyDescent="0.25">
      <c r="A157" s="27" t="s">
        <v>226</v>
      </c>
      <c r="B157" s="39" t="s">
        <v>31</v>
      </c>
      <c r="C157" s="48">
        <v>1</v>
      </c>
    </row>
    <row r="158" spans="1:3" s="36" customFormat="1" ht="15" customHeight="1" x14ac:dyDescent="0.25">
      <c r="A158" s="27" t="s">
        <v>170</v>
      </c>
      <c r="B158" s="39" t="s">
        <v>27</v>
      </c>
      <c r="C158" s="48">
        <v>1</v>
      </c>
    </row>
    <row r="159" spans="1:3" s="36" customFormat="1" ht="15" customHeight="1" x14ac:dyDescent="0.25">
      <c r="A159" s="28" t="s">
        <v>229</v>
      </c>
      <c r="B159" s="39" t="s">
        <v>19</v>
      </c>
      <c r="C159" s="48">
        <v>1</v>
      </c>
    </row>
    <row r="160" spans="1:3" s="36" customFormat="1" ht="15" customHeight="1" x14ac:dyDescent="0.25">
      <c r="A160" s="28" t="s">
        <v>229</v>
      </c>
      <c r="B160" s="39" t="s">
        <v>289</v>
      </c>
      <c r="C160" s="48">
        <v>1</v>
      </c>
    </row>
    <row r="161" spans="1:3" s="36" customFormat="1" ht="15" customHeight="1" x14ac:dyDescent="0.25">
      <c r="A161" s="27" t="s">
        <v>231</v>
      </c>
      <c r="B161" s="39" t="s">
        <v>22</v>
      </c>
      <c r="C161" s="48">
        <v>1</v>
      </c>
    </row>
    <row r="162" spans="1:3" s="36" customFormat="1" ht="15" customHeight="1" x14ac:dyDescent="0.25">
      <c r="A162" s="27" t="s">
        <v>231</v>
      </c>
      <c r="B162" s="39" t="s">
        <v>28</v>
      </c>
      <c r="C162" s="48">
        <v>2</v>
      </c>
    </row>
    <row r="163" spans="1:3" s="36" customFormat="1" ht="15" customHeight="1" x14ac:dyDescent="0.25">
      <c r="A163" s="27" t="s">
        <v>234</v>
      </c>
      <c r="B163" s="39" t="s">
        <v>13</v>
      </c>
      <c r="C163" s="48">
        <v>1</v>
      </c>
    </row>
    <row r="164" spans="1:3" s="36" customFormat="1" ht="15" customHeight="1" x14ac:dyDescent="0.25">
      <c r="A164" s="27" t="s">
        <v>234</v>
      </c>
      <c r="B164" s="39" t="s">
        <v>28</v>
      </c>
      <c r="C164" s="48">
        <v>2</v>
      </c>
    </row>
    <row r="165" spans="1:3" s="36" customFormat="1" ht="15" customHeight="1" x14ac:dyDescent="0.25">
      <c r="A165" s="27" t="s">
        <v>234</v>
      </c>
      <c r="B165" s="39" t="s">
        <v>33</v>
      </c>
      <c r="C165" s="48">
        <v>4</v>
      </c>
    </row>
    <row r="166" spans="1:3" s="36" customFormat="1" ht="15" customHeight="1" x14ac:dyDescent="0.25">
      <c r="A166" s="27" t="s">
        <v>236</v>
      </c>
      <c r="B166" s="39" t="s">
        <v>22</v>
      </c>
      <c r="C166" s="48">
        <v>1</v>
      </c>
    </row>
    <row r="167" spans="1:3" s="36" customFormat="1" ht="15" customHeight="1" x14ac:dyDescent="0.25">
      <c r="A167" s="27" t="s">
        <v>236</v>
      </c>
      <c r="B167" s="39" t="s">
        <v>28</v>
      </c>
      <c r="C167" s="48">
        <v>2</v>
      </c>
    </row>
    <row r="168" spans="1:3" s="36" customFormat="1" ht="15" customHeight="1" x14ac:dyDescent="0.25">
      <c r="A168" s="27" t="s">
        <v>239</v>
      </c>
      <c r="B168" s="39" t="s">
        <v>22</v>
      </c>
      <c r="C168" s="48">
        <v>1</v>
      </c>
    </row>
    <row r="169" spans="1:3" s="36" customFormat="1" ht="15" customHeight="1" x14ac:dyDescent="0.25">
      <c r="A169" s="27" t="s">
        <v>239</v>
      </c>
      <c r="B169" s="39" t="s">
        <v>28</v>
      </c>
      <c r="C169" s="48">
        <v>2</v>
      </c>
    </row>
    <row r="170" spans="1:3" s="36" customFormat="1" ht="15" customHeight="1" x14ac:dyDescent="0.25">
      <c r="A170" s="30" t="s">
        <v>241</v>
      </c>
      <c r="B170" s="39" t="s">
        <v>22</v>
      </c>
      <c r="C170" s="48">
        <v>1</v>
      </c>
    </row>
    <row r="171" spans="1:3" s="36" customFormat="1" ht="15" customHeight="1" x14ac:dyDescent="0.25">
      <c r="A171" s="30" t="s">
        <v>241</v>
      </c>
      <c r="B171" s="39" t="s">
        <v>28</v>
      </c>
      <c r="C171" s="48">
        <v>2</v>
      </c>
    </row>
    <row r="172" spans="1:3" s="36" customFormat="1" ht="15" customHeight="1" x14ac:dyDescent="0.25">
      <c r="A172" s="27" t="s">
        <v>243</v>
      </c>
      <c r="B172" s="39" t="s">
        <v>22</v>
      </c>
      <c r="C172" s="48">
        <v>1</v>
      </c>
    </row>
    <row r="173" spans="1:3" s="36" customFormat="1" ht="15" customHeight="1" x14ac:dyDescent="0.25">
      <c r="A173" s="27" t="s">
        <v>243</v>
      </c>
      <c r="B173" s="39" t="s">
        <v>28</v>
      </c>
      <c r="C173" s="48">
        <v>2</v>
      </c>
    </row>
    <row r="174" spans="1:3" s="36" customFormat="1" ht="15" customHeight="1" x14ac:dyDescent="0.25">
      <c r="A174" s="27" t="s">
        <v>245</v>
      </c>
      <c r="B174" s="39" t="s">
        <v>13</v>
      </c>
      <c r="C174" s="48">
        <v>1</v>
      </c>
    </row>
    <row r="175" spans="1:3" s="36" customFormat="1" ht="15" customHeight="1" x14ac:dyDescent="0.25">
      <c r="A175" s="27" t="s">
        <v>245</v>
      </c>
      <c r="B175" s="39" t="s">
        <v>28</v>
      </c>
      <c r="C175" s="48">
        <v>2</v>
      </c>
    </row>
    <row r="176" spans="1:3" s="36" customFormat="1" ht="15" customHeight="1" x14ac:dyDescent="0.25">
      <c r="A176" s="27" t="s">
        <v>245</v>
      </c>
      <c r="B176" s="39" t="s">
        <v>33</v>
      </c>
      <c r="C176" s="48">
        <v>4</v>
      </c>
    </row>
    <row r="177" spans="1:3" s="36" customFormat="1" ht="15" customHeight="1" x14ac:dyDescent="0.25">
      <c r="A177" s="27" t="s">
        <v>247</v>
      </c>
      <c r="B177" s="39" t="s">
        <v>85</v>
      </c>
      <c r="C177" s="48">
        <v>1</v>
      </c>
    </row>
    <row r="178" spans="1:3" s="36" customFormat="1" ht="15" customHeight="1" x14ac:dyDescent="0.25">
      <c r="A178" s="27" t="s">
        <v>247</v>
      </c>
      <c r="B178" s="39" t="s">
        <v>28</v>
      </c>
      <c r="C178" s="48">
        <v>2</v>
      </c>
    </row>
    <row r="179" spans="1:3" s="36" customFormat="1" ht="15" customHeight="1" x14ac:dyDescent="0.25">
      <c r="A179" s="27" t="s">
        <v>250</v>
      </c>
      <c r="B179" s="39" t="s">
        <v>85</v>
      </c>
      <c r="C179" s="48">
        <v>1</v>
      </c>
    </row>
    <row r="180" spans="1:3" s="36" customFormat="1" ht="15" customHeight="1" x14ac:dyDescent="0.25">
      <c r="A180" s="27" t="s">
        <v>250</v>
      </c>
      <c r="B180" s="39" t="s">
        <v>28</v>
      </c>
      <c r="C180" s="48">
        <v>2</v>
      </c>
    </row>
    <row r="181" spans="1:3" s="36" customFormat="1" ht="15" customHeight="1" x14ac:dyDescent="0.25">
      <c r="A181" s="27" t="s">
        <v>250</v>
      </c>
      <c r="B181" s="39" t="s">
        <v>33</v>
      </c>
      <c r="C181" s="48">
        <v>4</v>
      </c>
    </row>
    <row r="182" spans="1:3" s="36" customFormat="1" ht="15" customHeight="1" x14ac:dyDescent="0.25">
      <c r="A182" s="31" t="s">
        <v>252</v>
      </c>
      <c r="B182" s="39" t="s">
        <v>23</v>
      </c>
      <c r="C182" s="48">
        <v>1</v>
      </c>
    </row>
    <row r="183" spans="1:3" s="36" customFormat="1" ht="15" customHeight="1" x14ac:dyDescent="0.25">
      <c r="A183" s="31" t="s">
        <v>252</v>
      </c>
      <c r="B183" s="39" t="s">
        <v>28</v>
      </c>
      <c r="C183" s="48">
        <v>2</v>
      </c>
    </row>
    <row r="184" spans="1:3" s="36" customFormat="1" ht="15" customHeight="1" x14ac:dyDescent="0.25">
      <c r="A184" s="27" t="s">
        <v>254</v>
      </c>
      <c r="B184" s="39" t="s">
        <v>23</v>
      </c>
      <c r="C184" s="48">
        <v>1</v>
      </c>
    </row>
    <row r="185" spans="1:3" s="36" customFormat="1" ht="15" customHeight="1" x14ac:dyDescent="0.25">
      <c r="A185" s="27" t="s">
        <v>254</v>
      </c>
      <c r="B185" s="39" t="s">
        <v>28</v>
      </c>
      <c r="C185" s="48">
        <v>2</v>
      </c>
    </row>
    <row r="186" spans="1:3" s="36" customFormat="1" ht="15" customHeight="1" x14ac:dyDescent="0.25">
      <c r="A186" s="27" t="s">
        <v>256</v>
      </c>
      <c r="B186" s="39" t="s">
        <v>23</v>
      </c>
      <c r="C186" s="48">
        <v>1</v>
      </c>
    </row>
    <row r="187" spans="1:3" s="36" customFormat="1" ht="15" customHeight="1" x14ac:dyDescent="0.25">
      <c r="A187" s="27" t="s">
        <v>256</v>
      </c>
      <c r="B187" s="39" t="s">
        <v>28</v>
      </c>
      <c r="C187" s="48">
        <v>2</v>
      </c>
    </row>
    <row r="188" spans="1:3" s="36" customFormat="1" ht="15" customHeight="1" x14ac:dyDescent="0.25">
      <c r="A188" s="27" t="s">
        <v>256</v>
      </c>
      <c r="B188" s="39" t="s">
        <v>33</v>
      </c>
      <c r="C188" s="48">
        <v>4</v>
      </c>
    </row>
    <row r="189" spans="1:3" s="36" customFormat="1" ht="15" customHeight="1" x14ac:dyDescent="0.25">
      <c r="A189" s="27" t="s">
        <v>258</v>
      </c>
      <c r="B189" s="39" t="s">
        <v>23</v>
      </c>
      <c r="C189" s="48">
        <v>1</v>
      </c>
    </row>
    <row r="190" spans="1:3" s="36" customFormat="1" ht="15" customHeight="1" x14ac:dyDescent="0.25">
      <c r="A190" s="27" t="s">
        <v>258</v>
      </c>
      <c r="B190" s="39" t="s">
        <v>28</v>
      </c>
      <c r="C190" s="48">
        <v>2</v>
      </c>
    </row>
    <row r="191" spans="1:3" s="36" customFormat="1" ht="15" customHeight="1" x14ac:dyDescent="0.25">
      <c r="A191" s="27" t="s">
        <v>258</v>
      </c>
      <c r="B191" s="39" t="s">
        <v>33</v>
      </c>
      <c r="C191" s="48">
        <v>4</v>
      </c>
    </row>
    <row r="192" spans="1:3" s="36" customFormat="1" ht="15" customHeight="1" x14ac:dyDescent="0.25">
      <c r="A192" s="27" t="s">
        <v>260</v>
      </c>
      <c r="B192" s="39" t="s">
        <v>23</v>
      </c>
      <c r="C192" s="48">
        <v>1</v>
      </c>
    </row>
    <row r="193" spans="1:3" s="36" customFormat="1" ht="15" customHeight="1" x14ac:dyDescent="0.25">
      <c r="A193" s="27" t="s">
        <v>260</v>
      </c>
      <c r="B193" s="39" t="s">
        <v>28</v>
      </c>
      <c r="C193" s="48">
        <v>2</v>
      </c>
    </row>
    <row r="194" spans="1:3" s="36" customFormat="1" ht="15" customHeight="1" x14ac:dyDescent="0.25">
      <c r="A194" s="27" t="s">
        <v>262</v>
      </c>
      <c r="B194" s="39" t="s">
        <v>23</v>
      </c>
      <c r="C194" s="48">
        <v>1</v>
      </c>
    </row>
    <row r="195" spans="1:3" s="36" customFormat="1" ht="15" customHeight="1" x14ac:dyDescent="0.25">
      <c r="A195" s="27" t="s">
        <v>262</v>
      </c>
      <c r="B195" s="39" t="s">
        <v>28</v>
      </c>
      <c r="C195" s="48">
        <v>2</v>
      </c>
    </row>
    <row r="196" spans="1:3" s="36" customFormat="1" ht="15" customHeight="1" x14ac:dyDescent="0.25">
      <c r="A196" s="27" t="s">
        <v>264</v>
      </c>
      <c r="B196" s="39" t="s">
        <v>23</v>
      </c>
      <c r="C196" s="48">
        <v>1</v>
      </c>
    </row>
    <row r="197" spans="1:3" s="36" customFormat="1" ht="15" customHeight="1" x14ac:dyDescent="0.25">
      <c r="A197" s="27" t="s">
        <v>264</v>
      </c>
      <c r="B197" s="39" t="s">
        <v>28</v>
      </c>
      <c r="C197" s="48">
        <v>2</v>
      </c>
    </row>
    <row r="198" spans="1:3" s="36" customFormat="1" ht="15" customHeight="1" x14ac:dyDescent="0.25">
      <c r="A198" s="27" t="s">
        <v>266</v>
      </c>
      <c r="B198" s="39" t="s">
        <v>24</v>
      </c>
      <c r="C198" s="48">
        <v>1</v>
      </c>
    </row>
    <row r="199" spans="1:3" s="36" customFormat="1" ht="15" customHeight="1" x14ac:dyDescent="0.25">
      <c r="A199" s="27" t="s">
        <v>266</v>
      </c>
      <c r="B199" s="39" t="s">
        <v>28</v>
      </c>
      <c r="C199" s="48">
        <v>2</v>
      </c>
    </row>
    <row r="200" spans="1:3" s="36" customFormat="1" ht="15" customHeight="1" x14ac:dyDescent="0.25">
      <c r="A200" s="27" t="s">
        <v>269</v>
      </c>
      <c r="B200" s="39" t="s">
        <v>85</v>
      </c>
      <c r="C200" s="48">
        <v>1</v>
      </c>
    </row>
    <row r="201" spans="1:3" s="36" customFormat="1" ht="15" customHeight="1" x14ac:dyDescent="0.25">
      <c r="A201" s="27" t="s">
        <v>269</v>
      </c>
      <c r="B201" s="39" t="s">
        <v>28</v>
      </c>
      <c r="C201" s="48">
        <v>2</v>
      </c>
    </row>
    <row r="202" spans="1:3" s="36" customFormat="1" ht="15" customHeight="1" x14ac:dyDescent="0.25">
      <c r="A202" s="27" t="s">
        <v>269</v>
      </c>
      <c r="B202" s="39" t="s">
        <v>33</v>
      </c>
      <c r="C202" s="48">
        <v>4</v>
      </c>
    </row>
    <row r="203" spans="1:3" s="36" customFormat="1" ht="15" customHeight="1" x14ac:dyDescent="0.25">
      <c r="A203" s="27" t="s">
        <v>271</v>
      </c>
      <c r="B203" s="39" t="s">
        <v>24</v>
      </c>
      <c r="C203" s="48">
        <v>1</v>
      </c>
    </row>
    <row r="204" spans="1:3" s="36" customFormat="1" ht="15" customHeight="1" x14ac:dyDescent="0.25">
      <c r="A204" s="27" t="s">
        <v>271</v>
      </c>
      <c r="B204" s="39" t="s">
        <v>28</v>
      </c>
      <c r="C204" s="48">
        <v>2</v>
      </c>
    </row>
    <row r="205" spans="1:3" s="36" customFormat="1" ht="15" customHeight="1" x14ac:dyDescent="0.25">
      <c r="A205" s="34" t="s">
        <v>273</v>
      </c>
      <c r="B205" s="39" t="s">
        <v>86</v>
      </c>
      <c r="C205" s="48">
        <v>1</v>
      </c>
    </row>
    <row r="206" spans="1:3" s="36" customFormat="1" ht="15" customHeight="1" x14ac:dyDescent="0.25">
      <c r="A206" s="34" t="s">
        <v>273</v>
      </c>
      <c r="B206" s="39" t="s">
        <v>29</v>
      </c>
      <c r="C206" s="48">
        <v>1</v>
      </c>
    </row>
    <row r="207" spans="1:3" s="36" customFormat="1" ht="15" customHeight="1" x14ac:dyDescent="0.25">
      <c r="A207" s="34" t="s">
        <v>273</v>
      </c>
      <c r="B207" s="39" t="s">
        <v>30</v>
      </c>
      <c r="C207" s="48">
        <v>1</v>
      </c>
    </row>
    <row r="208" spans="1:3" s="36" customFormat="1" ht="15" customHeight="1" x14ac:dyDescent="0.25">
      <c r="A208" s="34" t="s">
        <v>276</v>
      </c>
      <c r="B208" s="39" t="s">
        <v>86</v>
      </c>
      <c r="C208" s="48">
        <v>1</v>
      </c>
    </row>
    <row r="209" spans="1:3" s="36" customFormat="1" ht="15" customHeight="1" x14ac:dyDescent="0.25">
      <c r="A209" s="34" t="s">
        <v>276</v>
      </c>
      <c r="B209" s="39" t="s">
        <v>29</v>
      </c>
      <c r="C209" s="48">
        <v>1</v>
      </c>
    </row>
    <row r="210" spans="1:3" s="36" customFormat="1" ht="15" customHeight="1" x14ac:dyDescent="0.25">
      <c r="A210" s="34" t="s">
        <v>276</v>
      </c>
      <c r="B210" s="39" t="s">
        <v>30</v>
      </c>
      <c r="C210" s="48">
        <v>1</v>
      </c>
    </row>
    <row r="211" spans="1:3" s="36" customFormat="1" ht="15" customHeight="1" x14ac:dyDescent="0.25">
      <c r="A211" s="34" t="s">
        <v>278</v>
      </c>
      <c r="B211" s="39" t="s">
        <v>84</v>
      </c>
      <c r="C211" s="48">
        <v>1</v>
      </c>
    </row>
    <row r="212" spans="1:3" s="36" customFormat="1" ht="15" customHeight="1" x14ac:dyDescent="0.25">
      <c r="A212" s="34" t="s">
        <v>278</v>
      </c>
      <c r="B212" s="39" t="s">
        <v>29</v>
      </c>
      <c r="C212" s="48">
        <v>1</v>
      </c>
    </row>
    <row r="213" spans="1:3" s="36" customFormat="1" ht="15" customHeight="1" x14ac:dyDescent="0.25">
      <c r="A213" s="34" t="s">
        <v>278</v>
      </c>
      <c r="B213" s="39" t="s">
        <v>30</v>
      </c>
      <c r="C213" s="48">
        <v>1</v>
      </c>
    </row>
    <row r="214" spans="1:3" s="36" customFormat="1" ht="15" customHeight="1" x14ac:dyDescent="0.25">
      <c r="A214" s="34" t="s">
        <v>280</v>
      </c>
      <c r="B214" s="39" t="s">
        <v>84</v>
      </c>
      <c r="C214" s="48">
        <v>1</v>
      </c>
    </row>
    <row r="215" spans="1:3" s="36" customFormat="1" ht="15" customHeight="1" x14ac:dyDescent="0.25">
      <c r="A215" s="34" t="s">
        <v>280</v>
      </c>
      <c r="B215" s="39" t="s">
        <v>29</v>
      </c>
      <c r="C215" s="48">
        <v>1</v>
      </c>
    </row>
    <row r="216" spans="1:3" s="36" customFormat="1" ht="15" customHeight="1" x14ac:dyDescent="0.25">
      <c r="A216" s="34" t="s">
        <v>280</v>
      </c>
      <c r="B216" s="39" t="s">
        <v>30</v>
      </c>
      <c r="C216" s="48">
        <v>1</v>
      </c>
    </row>
    <row r="217" spans="1:3" s="36" customFormat="1" ht="15" customHeight="1" x14ac:dyDescent="0.25">
      <c r="A217" s="26" t="s">
        <v>282</v>
      </c>
      <c r="B217" s="39" t="s">
        <v>85</v>
      </c>
      <c r="C217" s="48">
        <v>1</v>
      </c>
    </row>
    <row r="218" spans="1:3" s="36" customFormat="1" ht="15" customHeight="1" x14ac:dyDescent="0.25">
      <c r="A218" s="26" t="s">
        <v>282</v>
      </c>
      <c r="B218" s="39" t="s">
        <v>28</v>
      </c>
      <c r="C218" s="48">
        <v>2</v>
      </c>
    </row>
    <row r="219" spans="1:3" s="36" customFormat="1" ht="15" customHeight="1" x14ac:dyDescent="0.25">
      <c r="A219" s="26" t="s">
        <v>284</v>
      </c>
      <c r="B219" s="39" t="s">
        <v>85</v>
      </c>
      <c r="C219" s="48">
        <v>1</v>
      </c>
    </row>
    <row r="220" spans="1:3" s="36" customFormat="1" x14ac:dyDescent="0.25">
      <c r="A220" s="26" t="s">
        <v>284</v>
      </c>
      <c r="B220" s="39" t="s">
        <v>28</v>
      </c>
      <c r="C220" s="48">
        <v>2</v>
      </c>
    </row>
  </sheetData>
  <phoneticPr fontId="1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9DC64-EEBF-48E2-81E7-A72E9FC1AE9A}">
  <sheetPr codeName="Лист4"/>
  <dimension ref="A1:I254"/>
  <sheetViews>
    <sheetView zoomScale="115" zoomScaleNormal="115" workbookViewId="0">
      <selection activeCell="B28" sqref="B28"/>
    </sheetView>
  </sheetViews>
  <sheetFormatPr defaultRowHeight="15" x14ac:dyDescent="0.25"/>
  <cols>
    <col min="1" max="1" width="18.5703125" customWidth="1"/>
    <col min="2" max="2" width="21.5703125" bestFit="1" customWidth="1"/>
    <col min="3" max="3" width="12" bestFit="1" customWidth="1"/>
    <col min="4" max="4" width="27.42578125" style="49" customWidth="1"/>
    <col min="5" max="5" width="20.42578125" bestFit="1" customWidth="1"/>
    <col min="6" max="6" width="46.85546875" bestFit="1" customWidth="1"/>
    <col min="7" max="7" width="25.42578125" bestFit="1" customWidth="1"/>
    <col min="8" max="8" width="28.7109375" bestFit="1" customWidth="1"/>
  </cols>
  <sheetData>
    <row r="1" spans="1:9" s="5" customFormat="1" x14ac:dyDescent="0.25">
      <c r="A1" s="54" t="s">
        <v>286</v>
      </c>
      <c r="B1" s="54" t="s">
        <v>291</v>
      </c>
      <c r="C1" s="54" t="s">
        <v>313</v>
      </c>
      <c r="D1" s="54" t="s">
        <v>287</v>
      </c>
      <c r="E1" s="55" t="s">
        <v>288</v>
      </c>
      <c r="F1" s="54" t="s">
        <v>294</v>
      </c>
      <c r="G1" s="54" t="s">
        <v>296</v>
      </c>
      <c r="H1" s="54" t="s">
        <v>295</v>
      </c>
      <c r="I1" s="54" t="s">
        <v>311</v>
      </c>
    </row>
    <row r="2" spans="1:9" s="5" customFormat="1" ht="15" customHeight="1" x14ac:dyDescent="0.25">
      <c r="A2" s="56" t="s">
        <v>97</v>
      </c>
      <c r="B2" s="56" t="s">
        <v>63</v>
      </c>
      <c r="C2" s="56">
        <f>VLOOKUP(kompl[[#This Row],[name_furn]],furn[],3,0)</f>
        <v>27</v>
      </c>
      <c r="D2" s="57" t="s">
        <v>34</v>
      </c>
      <c r="E2" s="58">
        <v>2</v>
      </c>
      <c r="F2" s="54"/>
      <c r="G2" s="54"/>
      <c r="H2" s="54"/>
      <c r="I2" s="54"/>
    </row>
    <row r="3" spans="1:9" s="5" customFormat="1" ht="15" customHeight="1" x14ac:dyDescent="0.25">
      <c r="A3" s="56" t="s">
        <v>97</v>
      </c>
      <c r="B3" s="56" t="s">
        <v>64</v>
      </c>
      <c r="C3" s="56">
        <f>VLOOKUP(kompl[[#This Row],[name_furn]],furn[],3,0)</f>
        <v>28</v>
      </c>
      <c r="D3" s="57" t="s">
        <v>35</v>
      </c>
      <c r="E3" s="58">
        <v>2</v>
      </c>
      <c r="F3" s="54"/>
      <c r="G3" s="54"/>
      <c r="H3" s="54"/>
      <c r="I3" s="54"/>
    </row>
    <row r="4" spans="1:9" s="5" customFormat="1" ht="15" customHeight="1" x14ac:dyDescent="0.25">
      <c r="A4" s="56" t="s">
        <v>97</v>
      </c>
      <c r="B4" s="59" t="s">
        <v>65</v>
      </c>
      <c r="C4" s="56">
        <f>VLOOKUP(kompl[[#This Row],[name_furn]],furn[],3,0)</f>
        <v>28</v>
      </c>
      <c r="D4" s="57" t="s">
        <v>35</v>
      </c>
      <c r="E4" s="58">
        <v>2</v>
      </c>
      <c r="F4" s="54"/>
      <c r="G4" s="54"/>
      <c r="H4" s="54"/>
      <c r="I4" s="54"/>
    </row>
    <row r="5" spans="1:9" s="5" customFormat="1" ht="15" customHeight="1" x14ac:dyDescent="0.25">
      <c r="A5" s="56" t="s">
        <v>100</v>
      </c>
      <c r="B5" s="56" t="s">
        <v>63</v>
      </c>
      <c r="C5" s="56">
        <f>VLOOKUP(kompl[[#This Row],[name_furn]],furn[],3,0)</f>
        <v>27</v>
      </c>
      <c r="D5" s="57" t="s">
        <v>34</v>
      </c>
      <c r="E5" s="58">
        <v>4</v>
      </c>
      <c r="F5" s="54"/>
      <c r="G5" s="54"/>
      <c r="H5" s="54"/>
      <c r="I5" s="54"/>
    </row>
    <row r="6" spans="1:9" s="5" customFormat="1" ht="15" customHeight="1" x14ac:dyDescent="0.25">
      <c r="A6" s="56" t="s">
        <v>100</v>
      </c>
      <c r="B6" s="56" t="s">
        <v>64</v>
      </c>
      <c r="C6" s="56">
        <f>VLOOKUP(kompl[[#This Row],[name_furn]],furn[],3,0)</f>
        <v>28</v>
      </c>
      <c r="D6" s="57" t="s">
        <v>35</v>
      </c>
      <c r="E6" s="58">
        <v>4</v>
      </c>
      <c r="F6" s="54"/>
      <c r="G6" s="54"/>
      <c r="H6" s="54"/>
      <c r="I6" s="54"/>
    </row>
    <row r="7" spans="1:9" s="5" customFormat="1" ht="15" customHeight="1" x14ac:dyDescent="0.25">
      <c r="A7" s="56" t="s">
        <v>100</v>
      </c>
      <c r="B7" s="59" t="s">
        <v>65</v>
      </c>
      <c r="C7" s="56">
        <f>VLOOKUP(kompl[[#This Row],[name_furn]],furn[],3,0)</f>
        <v>28</v>
      </c>
      <c r="D7" s="57" t="s">
        <v>35</v>
      </c>
      <c r="E7" s="58">
        <v>4</v>
      </c>
      <c r="F7" s="54"/>
      <c r="G7" s="54"/>
      <c r="H7" s="54"/>
      <c r="I7" s="54"/>
    </row>
    <row r="8" spans="1:9" s="5" customFormat="1" ht="15" customHeight="1" x14ac:dyDescent="0.25">
      <c r="A8" s="56" t="s">
        <v>102</v>
      </c>
      <c r="B8" s="56" t="s">
        <v>63</v>
      </c>
      <c r="C8" s="56">
        <f>VLOOKUP(kompl[[#This Row],[name_furn]],furn[],3,0)</f>
        <v>46</v>
      </c>
      <c r="D8" s="57" t="s">
        <v>292</v>
      </c>
      <c r="E8" s="58">
        <v>1</v>
      </c>
      <c r="F8" s="54"/>
      <c r="G8" s="54"/>
      <c r="H8" s="54"/>
      <c r="I8" s="54"/>
    </row>
    <row r="9" spans="1:9" s="5" customFormat="1" ht="15" customHeight="1" x14ac:dyDescent="0.25">
      <c r="A9" s="56" t="s">
        <v>105</v>
      </c>
      <c r="B9" s="56" t="s">
        <v>63</v>
      </c>
      <c r="C9" s="56">
        <f>VLOOKUP(kompl[[#This Row],[name_furn]],furn[],3,0)</f>
        <v>47</v>
      </c>
      <c r="D9" s="57" t="s">
        <v>59</v>
      </c>
      <c r="E9" s="58">
        <v>1</v>
      </c>
      <c r="F9" s="54"/>
      <c r="G9" s="54"/>
      <c r="H9" s="54"/>
      <c r="I9" s="54"/>
    </row>
    <row r="10" spans="1:9" s="5" customFormat="1" ht="15" customHeight="1" x14ac:dyDescent="0.25">
      <c r="A10" s="56" t="s">
        <v>107</v>
      </c>
      <c r="B10" s="56" t="s">
        <v>63</v>
      </c>
      <c r="C10" s="56">
        <f>VLOOKUP(kompl[[#This Row],[name_furn]],furn[],3,0)</f>
        <v>27</v>
      </c>
      <c r="D10" s="57" t="s">
        <v>34</v>
      </c>
      <c r="E10" s="58">
        <v>2</v>
      </c>
      <c r="F10" s="54"/>
      <c r="G10" s="54"/>
      <c r="H10" s="54"/>
      <c r="I10" s="54"/>
    </row>
    <row r="11" spans="1:9" s="5" customFormat="1" ht="15" customHeight="1" x14ac:dyDescent="0.25">
      <c r="A11" s="56" t="s">
        <v>107</v>
      </c>
      <c r="B11" s="56" t="s">
        <v>64</v>
      </c>
      <c r="C11" s="56">
        <f>VLOOKUP(kompl[[#This Row],[name_furn]],furn[],3,0)</f>
        <v>28</v>
      </c>
      <c r="D11" s="57" t="s">
        <v>35</v>
      </c>
      <c r="E11" s="58">
        <v>2</v>
      </c>
      <c r="F11" s="54"/>
      <c r="G11" s="54"/>
      <c r="H11" s="54"/>
      <c r="I11" s="54"/>
    </row>
    <row r="12" spans="1:9" s="5" customFormat="1" ht="15" customHeight="1" x14ac:dyDescent="0.25">
      <c r="A12" s="56" t="s">
        <v>107</v>
      </c>
      <c r="B12" s="59" t="s">
        <v>65</v>
      </c>
      <c r="C12" s="56">
        <f>VLOOKUP(kompl[[#This Row],[name_furn]],furn[],3,0)</f>
        <v>28</v>
      </c>
      <c r="D12" s="57" t="s">
        <v>35</v>
      </c>
      <c r="E12" s="58">
        <v>2</v>
      </c>
      <c r="F12" s="54"/>
      <c r="G12" s="54"/>
      <c r="H12" s="54"/>
      <c r="I12" s="54"/>
    </row>
    <row r="13" spans="1:9" s="5" customFormat="1" ht="15" customHeight="1" x14ac:dyDescent="0.25">
      <c r="A13" s="56" t="s">
        <v>111</v>
      </c>
      <c r="B13" s="56" t="s">
        <v>63</v>
      </c>
      <c r="C13" s="56">
        <f>VLOOKUP(kompl[[#This Row],[name_furn]],furn[],3,0)</f>
        <v>27</v>
      </c>
      <c r="D13" s="57" t="s">
        <v>34</v>
      </c>
      <c r="E13" s="58">
        <v>4</v>
      </c>
      <c r="F13" s="54"/>
      <c r="G13" s="54"/>
      <c r="H13" s="54"/>
      <c r="I13" s="54"/>
    </row>
    <row r="14" spans="1:9" s="5" customFormat="1" ht="15" customHeight="1" x14ac:dyDescent="0.25">
      <c r="A14" s="56" t="s">
        <v>111</v>
      </c>
      <c r="B14" s="56" t="s">
        <v>64</v>
      </c>
      <c r="C14" s="56">
        <f>VLOOKUP(kompl[[#This Row],[name_furn]],furn[],3,0)</f>
        <v>28</v>
      </c>
      <c r="D14" s="57" t="s">
        <v>35</v>
      </c>
      <c r="E14" s="58">
        <v>4</v>
      </c>
      <c r="F14" s="54"/>
      <c r="G14" s="54"/>
      <c r="H14" s="54"/>
      <c r="I14" s="54"/>
    </row>
    <row r="15" spans="1:9" s="5" customFormat="1" ht="15" customHeight="1" x14ac:dyDescent="0.25">
      <c r="A15" s="56" t="s">
        <v>111</v>
      </c>
      <c r="B15" s="59" t="s">
        <v>65</v>
      </c>
      <c r="C15" s="56">
        <f>VLOOKUP(kompl[[#This Row],[name_furn]],furn[],3,0)</f>
        <v>28</v>
      </c>
      <c r="D15" s="57" t="s">
        <v>35</v>
      </c>
      <c r="E15" s="58">
        <v>4</v>
      </c>
      <c r="F15" s="54"/>
      <c r="G15" s="54"/>
      <c r="H15" s="54"/>
      <c r="I15" s="54"/>
    </row>
    <row r="16" spans="1:9" s="5" customFormat="1" ht="15" customHeight="1" x14ac:dyDescent="0.25">
      <c r="A16" s="56" t="s">
        <v>113</v>
      </c>
      <c r="B16" s="56" t="s">
        <v>63</v>
      </c>
      <c r="C16" s="56">
        <f>VLOOKUP(kompl[[#This Row],[name_furn]],furn[],3,0)</f>
        <v>29</v>
      </c>
      <c r="D16" s="57" t="s">
        <v>36</v>
      </c>
      <c r="E16" s="58">
        <v>2</v>
      </c>
      <c r="F16" s="54"/>
      <c r="G16" s="54"/>
      <c r="H16" s="54"/>
      <c r="I16" s="54"/>
    </row>
    <row r="17" spans="1:9" s="5" customFormat="1" ht="15" customHeight="1" x14ac:dyDescent="0.25">
      <c r="A17" s="56" t="s">
        <v>113</v>
      </c>
      <c r="B17" s="56" t="s">
        <v>64</v>
      </c>
      <c r="C17" s="56">
        <f>VLOOKUP(kompl[[#This Row],[name_furn]],furn[],3,0)</f>
        <v>30</v>
      </c>
      <c r="D17" s="57" t="s">
        <v>37</v>
      </c>
      <c r="E17" s="58">
        <v>2</v>
      </c>
      <c r="F17" s="54"/>
      <c r="G17" s="54"/>
      <c r="H17" s="54"/>
      <c r="I17" s="54"/>
    </row>
    <row r="18" spans="1:9" s="5" customFormat="1" ht="15" customHeight="1" x14ac:dyDescent="0.25">
      <c r="A18" s="56" t="s">
        <v>113</v>
      </c>
      <c r="B18" s="59" t="s">
        <v>65</v>
      </c>
      <c r="C18" s="56">
        <f>VLOOKUP(kompl[[#This Row],[name_furn]],furn[],3,0)</f>
        <v>30</v>
      </c>
      <c r="D18" s="57" t="s">
        <v>37</v>
      </c>
      <c r="E18" s="58">
        <v>2</v>
      </c>
      <c r="F18" s="54"/>
      <c r="G18" s="54"/>
      <c r="H18" s="54"/>
      <c r="I18" s="54"/>
    </row>
    <row r="19" spans="1:9" s="5" customFormat="1" ht="15" customHeight="1" x14ac:dyDescent="0.25">
      <c r="A19" s="60" t="s">
        <v>116</v>
      </c>
      <c r="B19" s="56" t="s">
        <v>63</v>
      </c>
      <c r="C19" s="56">
        <f>VLOOKUP(kompl[[#This Row],[name_furn]],furn[],3,0)</f>
        <v>29</v>
      </c>
      <c r="D19" s="57" t="s">
        <v>36</v>
      </c>
      <c r="E19" s="58">
        <v>2</v>
      </c>
      <c r="F19" s="54"/>
      <c r="G19" s="54"/>
      <c r="H19" s="54"/>
      <c r="I19" s="54"/>
    </row>
    <row r="20" spans="1:9" s="5" customFormat="1" ht="15" customHeight="1" x14ac:dyDescent="0.25">
      <c r="A20" s="60" t="s">
        <v>116</v>
      </c>
      <c r="B20" s="56" t="s">
        <v>64</v>
      </c>
      <c r="C20" s="56">
        <f>VLOOKUP(kompl[[#This Row],[name_furn]],furn[],3,0)</f>
        <v>30</v>
      </c>
      <c r="D20" s="57" t="s">
        <v>37</v>
      </c>
      <c r="E20" s="58">
        <v>2</v>
      </c>
      <c r="F20" s="54"/>
      <c r="G20" s="54"/>
      <c r="H20" s="54"/>
      <c r="I20" s="54"/>
    </row>
    <row r="21" spans="1:9" s="5" customFormat="1" ht="15" customHeight="1" x14ac:dyDescent="0.25">
      <c r="A21" s="60" t="s">
        <v>116</v>
      </c>
      <c r="B21" s="59" t="s">
        <v>65</v>
      </c>
      <c r="C21" s="56">
        <f>VLOOKUP(kompl[[#This Row],[name_furn]],furn[],3,0)</f>
        <v>30</v>
      </c>
      <c r="D21" s="57" t="s">
        <v>37</v>
      </c>
      <c r="E21" s="58">
        <v>2</v>
      </c>
      <c r="F21" s="54"/>
      <c r="G21" s="54"/>
      <c r="H21" s="54"/>
      <c r="I21" s="54"/>
    </row>
    <row r="22" spans="1:9" s="5" customFormat="1" ht="15" customHeight="1" x14ac:dyDescent="0.25">
      <c r="A22" s="56" t="s">
        <v>118</v>
      </c>
      <c r="B22" s="56" t="s">
        <v>63</v>
      </c>
      <c r="C22" s="56">
        <f>VLOOKUP(kompl[[#This Row],[name_furn]],furn[],3,0)</f>
        <v>29</v>
      </c>
      <c r="D22" s="57" t="s">
        <v>36</v>
      </c>
      <c r="E22" s="58">
        <v>2</v>
      </c>
      <c r="F22" s="54"/>
      <c r="G22" s="54"/>
      <c r="H22" s="54"/>
      <c r="I22" s="54"/>
    </row>
    <row r="23" spans="1:9" s="5" customFormat="1" ht="15" customHeight="1" x14ac:dyDescent="0.25">
      <c r="A23" s="56" t="s">
        <v>118</v>
      </c>
      <c r="B23" s="56" t="s">
        <v>64</v>
      </c>
      <c r="C23" s="56">
        <f>VLOOKUP(kompl[[#This Row],[name_furn]],furn[],3,0)</f>
        <v>30</v>
      </c>
      <c r="D23" s="57" t="s">
        <v>37</v>
      </c>
      <c r="E23" s="58">
        <v>2</v>
      </c>
      <c r="F23" s="54"/>
      <c r="G23" s="54"/>
      <c r="H23" s="54"/>
      <c r="I23" s="54"/>
    </row>
    <row r="24" spans="1:9" s="5" customFormat="1" ht="15" customHeight="1" x14ac:dyDescent="0.25">
      <c r="A24" s="56" t="s">
        <v>118</v>
      </c>
      <c r="B24" s="59" t="s">
        <v>65</v>
      </c>
      <c r="C24" s="56">
        <f>VLOOKUP(kompl[[#This Row],[name_furn]],furn[],3,0)</f>
        <v>30</v>
      </c>
      <c r="D24" s="57" t="s">
        <v>37</v>
      </c>
      <c r="E24" s="58">
        <v>2</v>
      </c>
      <c r="F24" s="54"/>
      <c r="G24" s="54"/>
      <c r="H24" s="54"/>
      <c r="I24" s="54"/>
    </row>
    <row r="25" spans="1:9" s="5" customFormat="1" ht="15" customHeight="1" x14ac:dyDescent="0.25">
      <c r="A25" s="60" t="s">
        <v>120</v>
      </c>
      <c r="B25" s="56" t="s">
        <v>63</v>
      </c>
      <c r="C25" s="56">
        <f>VLOOKUP(kompl[[#This Row],[name_furn]],furn[],3,0)</f>
        <v>29</v>
      </c>
      <c r="D25" s="57" t="s">
        <v>36</v>
      </c>
      <c r="E25" s="58">
        <v>2</v>
      </c>
      <c r="F25" s="54"/>
      <c r="G25" s="54"/>
      <c r="H25" s="54"/>
      <c r="I25" s="54"/>
    </row>
    <row r="26" spans="1:9" s="5" customFormat="1" ht="15" customHeight="1" x14ac:dyDescent="0.25">
      <c r="A26" s="60" t="s">
        <v>120</v>
      </c>
      <c r="B26" s="56" t="s">
        <v>64</v>
      </c>
      <c r="C26" s="56">
        <f>VLOOKUP(kompl[[#This Row],[name_furn]],furn[],3,0)</f>
        <v>30</v>
      </c>
      <c r="D26" s="57" t="s">
        <v>37</v>
      </c>
      <c r="E26" s="58">
        <v>2</v>
      </c>
      <c r="F26" s="54"/>
      <c r="G26" s="54"/>
      <c r="H26" s="54"/>
      <c r="I26" s="54"/>
    </row>
    <row r="27" spans="1:9" s="5" customFormat="1" ht="15" customHeight="1" x14ac:dyDescent="0.25">
      <c r="A27" s="60" t="s">
        <v>120</v>
      </c>
      <c r="B27" s="59" t="s">
        <v>65</v>
      </c>
      <c r="C27" s="56">
        <f>VLOOKUP(kompl[[#This Row],[name_furn]],furn[],3,0)</f>
        <v>30</v>
      </c>
      <c r="D27" s="57" t="s">
        <v>37</v>
      </c>
      <c r="E27" s="58">
        <v>2</v>
      </c>
      <c r="F27" s="54"/>
      <c r="G27" s="54"/>
      <c r="H27" s="54"/>
      <c r="I27" s="54"/>
    </row>
    <row r="28" spans="1:9" s="5" customFormat="1" ht="15" customHeight="1" x14ac:dyDescent="0.25">
      <c r="A28" s="56" t="s">
        <v>122</v>
      </c>
      <c r="B28" s="56" t="s">
        <v>63</v>
      </c>
      <c r="C28" s="56">
        <f>VLOOKUP(kompl[[#This Row],[name_furn]],furn[],3,0)</f>
        <v>27</v>
      </c>
      <c r="D28" s="57" t="s">
        <v>34</v>
      </c>
      <c r="E28" s="58">
        <v>2</v>
      </c>
      <c r="F28" s="54"/>
      <c r="G28" s="54"/>
      <c r="H28" s="54"/>
      <c r="I28" s="54"/>
    </row>
    <row r="29" spans="1:9" s="5" customFormat="1" ht="15" customHeight="1" x14ac:dyDescent="0.25">
      <c r="A29" s="56" t="s">
        <v>122</v>
      </c>
      <c r="B29" s="56" t="s">
        <v>63</v>
      </c>
      <c r="C29" s="56">
        <f>VLOOKUP(kompl[[#This Row],[name_furn]],furn[],3,0)</f>
        <v>31</v>
      </c>
      <c r="D29" s="57" t="s">
        <v>49</v>
      </c>
      <c r="E29" s="58">
        <v>1</v>
      </c>
      <c r="F29" s="54"/>
      <c r="G29" s="54"/>
      <c r="H29" s="54"/>
      <c r="I29" s="54"/>
    </row>
    <row r="30" spans="1:9" s="5" customFormat="1" ht="15" customHeight="1" x14ac:dyDescent="0.25">
      <c r="A30" s="56" t="s">
        <v>122</v>
      </c>
      <c r="B30" s="56" t="s">
        <v>64</v>
      </c>
      <c r="C30" s="56">
        <f>VLOOKUP(kompl[[#This Row],[name_furn]],furn[],3,0)</f>
        <v>28</v>
      </c>
      <c r="D30" s="57" t="s">
        <v>35</v>
      </c>
      <c r="E30" s="58">
        <v>2</v>
      </c>
      <c r="F30" s="54"/>
      <c r="G30" s="54"/>
      <c r="H30" s="54"/>
      <c r="I30" s="54"/>
    </row>
    <row r="31" spans="1:9" s="5" customFormat="1" ht="15" customHeight="1" x14ac:dyDescent="0.25">
      <c r="A31" s="56" t="s">
        <v>122</v>
      </c>
      <c r="B31" s="56" t="s">
        <v>64</v>
      </c>
      <c r="C31" s="56">
        <f>VLOOKUP(kompl[[#This Row],[name_furn]],furn[],3,0)</f>
        <v>32</v>
      </c>
      <c r="D31" s="57" t="s">
        <v>51</v>
      </c>
      <c r="E31" s="58">
        <v>1</v>
      </c>
      <c r="F31" s="54"/>
      <c r="G31" s="54"/>
      <c r="H31" s="54"/>
      <c r="I31" s="54"/>
    </row>
    <row r="32" spans="1:9" s="5" customFormat="1" ht="15" customHeight="1" x14ac:dyDescent="0.25">
      <c r="A32" s="56" t="s">
        <v>122</v>
      </c>
      <c r="B32" s="56" t="s">
        <v>64</v>
      </c>
      <c r="C32" s="56">
        <f>VLOOKUP(kompl[[#This Row],[name_furn]],furn[],3,0)</f>
        <v>33</v>
      </c>
      <c r="D32" s="57" t="s">
        <v>53</v>
      </c>
      <c r="E32" s="58">
        <v>1</v>
      </c>
      <c r="F32" s="54"/>
      <c r="G32" s="54"/>
      <c r="H32" s="54"/>
      <c r="I32" s="54"/>
    </row>
    <row r="33" spans="1:9" s="5" customFormat="1" ht="15" customHeight="1" x14ac:dyDescent="0.25">
      <c r="A33" s="56" t="s">
        <v>126</v>
      </c>
      <c r="B33" s="56" t="s">
        <v>63</v>
      </c>
      <c r="C33" s="56">
        <f>VLOOKUP(kompl[[#This Row],[name_furn]],furn[],3,0)</f>
        <v>27</v>
      </c>
      <c r="D33" s="57" t="s">
        <v>34</v>
      </c>
      <c r="E33" s="58">
        <v>4</v>
      </c>
      <c r="F33" s="54"/>
      <c r="G33" s="54"/>
      <c r="H33" s="54"/>
      <c r="I33" s="54"/>
    </row>
    <row r="34" spans="1:9" s="5" customFormat="1" ht="15" customHeight="1" x14ac:dyDescent="0.25">
      <c r="A34" s="56" t="s">
        <v>126</v>
      </c>
      <c r="B34" s="56" t="s">
        <v>63</v>
      </c>
      <c r="C34" s="56">
        <f>VLOOKUP(kompl[[#This Row],[name_furn]],furn[],3,0)</f>
        <v>31</v>
      </c>
      <c r="D34" s="57" t="s">
        <v>49</v>
      </c>
      <c r="E34" s="58">
        <v>1</v>
      </c>
      <c r="F34" s="54"/>
      <c r="G34" s="54"/>
      <c r="H34" s="54"/>
      <c r="I34" s="54"/>
    </row>
    <row r="35" spans="1:9" s="5" customFormat="1" ht="15" customHeight="1" x14ac:dyDescent="0.25">
      <c r="A35" s="56" t="s">
        <v>126</v>
      </c>
      <c r="B35" s="56" t="s">
        <v>64</v>
      </c>
      <c r="C35" s="56">
        <f>VLOOKUP(kompl[[#This Row],[name_furn]],furn[],3,0)</f>
        <v>28</v>
      </c>
      <c r="D35" s="57" t="s">
        <v>35</v>
      </c>
      <c r="E35" s="58">
        <v>4</v>
      </c>
      <c r="F35" s="54"/>
      <c r="G35" s="54"/>
      <c r="H35" s="54"/>
      <c r="I35" s="54"/>
    </row>
    <row r="36" spans="1:9" s="5" customFormat="1" ht="15" customHeight="1" x14ac:dyDescent="0.25">
      <c r="A36" s="56" t="s">
        <v>126</v>
      </c>
      <c r="B36" s="56" t="s">
        <v>64</v>
      </c>
      <c r="C36" s="56">
        <f>VLOOKUP(kompl[[#This Row],[name_furn]],furn[],3,0)</f>
        <v>32</v>
      </c>
      <c r="D36" s="57" t="s">
        <v>51</v>
      </c>
      <c r="E36" s="58">
        <v>1</v>
      </c>
      <c r="F36" s="54"/>
      <c r="G36" s="54"/>
      <c r="H36" s="54"/>
      <c r="I36" s="54"/>
    </row>
    <row r="37" spans="1:9" s="5" customFormat="1" ht="15" customHeight="1" x14ac:dyDescent="0.25">
      <c r="A37" s="56" t="s">
        <v>126</v>
      </c>
      <c r="B37" s="56" t="s">
        <v>64</v>
      </c>
      <c r="C37" s="56">
        <f>VLOOKUP(kompl[[#This Row],[name_furn]],furn[],3,0)</f>
        <v>33</v>
      </c>
      <c r="D37" s="57" t="s">
        <v>53</v>
      </c>
      <c r="E37" s="58">
        <v>1</v>
      </c>
      <c r="F37" s="54"/>
      <c r="G37" s="54"/>
      <c r="H37" s="54"/>
      <c r="I37" s="54"/>
    </row>
    <row r="38" spans="1:9" s="5" customFormat="1" ht="15" customHeight="1" x14ac:dyDescent="0.25">
      <c r="A38" s="60" t="s">
        <v>128</v>
      </c>
      <c r="B38" s="56" t="s">
        <v>63</v>
      </c>
      <c r="C38" s="56">
        <f>VLOOKUP(kompl[[#This Row],[name_furn]],furn[],3,0)</f>
        <v>31</v>
      </c>
      <c r="D38" s="57" t="s">
        <v>49</v>
      </c>
      <c r="E38" s="58">
        <v>4</v>
      </c>
      <c r="F38" s="54"/>
      <c r="G38" s="54"/>
      <c r="H38" s="54"/>
      <c r="I38" s="54"/>
    </row>
    <row r="39" spans="1:9" s="5" customFormat="1" ht="15" customHeight="1" x14ac:dyDescent="0.25">
      <c r="A39" s="60" t="s">
        <v>128</v>
      </c>
      <c r="B39" s="56" t="s">
        <v>64</v>
      </c>
      <c r="C39" s="56">
        <f>VLOOKUP(kompl[[#This Row],[name_furn]],furn[],3,0)</f>
        <v>32</v>
      </c>
      <c r="D39" s="57" t="s">
        <v>51</v>
      </c>
      <c r="E39" s="58">
        <v>4</v>
      </c>
      <c r="F39" s="54"/>
      <c r="G39" s="54"/>
      <c r="H39" s="54"/>
      <c r="I39" s="54"/>
    </row>
    <row r="40" spans="1:9" s="5" customFormat="1" ht="15" customHeight="1" x14ac:dyDescent="0.25">
      <c r="A40" s="60" t="s">
        <v>128</v>
      </c>
      <c r="B40" s="56" t="s">
        <v>64</v>
      </c>
      <c r="C40" s="56">
        <f>VLOOKUP(kompl[[#This Row],[name_furn]],furn[],3,0)</f>
        <v>33</v>
      </c>
      <c r="D40" s="57" t="s">
        <v>53</v>
      </c>
      <c r="E40" s="58">
        <v>4</v>
      </c>
      <c r="F40" s="54"/>
      <c r="G40" s="54"/>
      <c r="H40" s="54"/>
      <c r="I40" s="54"/>
    </row>
    <row r="41" spans="1:9" s="5" customFormat="1" ht="15" customHeight="1" x14ac:dyDescent="0.25">
      <c r="A41" s="60" t="s">
        <v>128</v>
      </c>
      <c r="B41" s="59" t="s">
        <v>65</v>
      </c>
      <c r="C41" s="56">
        <f>VLOOKUP(kompl[[#This Row],[name_furn]],furn[],3,0)</f>
        <v>34</v>
      </c>
      <c r="D41" s="57" t="s">
        <v>56</v>
      </c>
      <c r="E41" s="58">
        <v>4</v>
      </c>
      <c r="F41" s="54"/>
      <c r="G41" s="54"/>
      <c r="H41" s="54"/>
      <c r="I41" s="54"/>
    </row>
    <row r="42" spans="1:9" s="5" customFormat="1" ht="15" customHeight="1" x14ac:dyDescent="0.25">
      <c r="A42" s="60" t="s">
        <v>130</v>
      </c>
      <c r="B42" s="56" t="s">
        <v>63</v>
      </c>
      <c r="C42" s="56">
        <f>VLOOKUP(kompl[[#This Row],[name_furn]],furn[],3,0)</f>
        <v>31</v>
      </c>
      <c r="D42" s="57" t="s">
        <v>49</v>
      </c>
      <c r="E42" s="58">
        <v>2</v>
      </c>
      <c r="F42" s="54"/>
      <c r="G42" s="54"/>
      <c r="H42" s="54"/>
      <c r="I42" s="54"/>
    </row>
    <row r="43" spans="1:9" s="5" customFormat="1" ht="15" customHeight="1" x14ac:dyDescent="0.25">
      <c r="A43" s="60" t="s">
        <v>130</v>
      </c>
      <c r="B43" s="56" t="s">
        <v>63</v>
      </c>
      <c r="C43" s="56">
        <f>VLOOKUP(kompl[[#This Row],[name_furn]],furn[],3,0)</f>
        <v>35</v>
      </c>
      <c r="D43" s="57" t="s">
        <v>50</v>
      </c>
      <c r="E43" s="58">
        <v>1</v>
      </c>
      <c r="F43" s="54"/>
      <c r="G43" s="54"/>
      <c r="H43" s="54"/>
      <c r="I43" s="54"/>
    </row>
    <row r="44" spans="1:9" s="5" customFormat="1" ht="15" customHeight="1" x14ac:dyDescent="0.25">
      <c r="A44" s="60" t="s">
        <v>130</v>
      </c>
      <c r="B44" s="56" t="s">
        <v>64</v>
      </c>
      <c r="C44" s="56">
        <f>VLOOKUP(kompl[[#This Row],[name_furn]],furn[],3,0)</f>
        <v>32</v>
      </c>
      <c r="D44" s="57" t="s">
        <v>51</v>
      </c>
      <c r="E44" s="58">
        <v>2</v>
      </c>
      <c r="F44" s="54"/>
      <c r="G44" s="54"/>
      <c r="H44" s="54"/>
      <c r="I44" s="54"/>
    </row>
    <row r="45" spans="1:9" s="5" customFormat="1" ht="15" customHeight="1" x14ac:dyDescent="0.25">
      <c r="A45" s="60" t="s">
        <v>130</v>
      </c>
      <c r="B45" s="56" t="s">
        <v>64</v>
      </c>
      <c r="C45" s="56">
        <f>VLOOKUP(kompl[[#This Row],[name_furn]],furn[],3,0)</f>
        <v>36</v>
      </c>
      <c r="D45" s="57" t="s">
        <v>52</v>
      </c>
      <c r="E45" s="58">
        <v>1</v>
      </c>
      <c r="F45" s="54"/>
      <c r="G45" s="54"/>
      <c r="H45" s="54"/>
      <c r="I45" s="54"/>
    </row>
    <row r="46" spans="1:9" s="5" customFormat="1" ht="15" customHeight="1" x14ac:dyDescent="0.25">
      <c r="A46" s="60" t="s">
        <v>130</v>
      </c>
      <c r="B46" s="56" t="s">
        <v>64</v>
      </c>
      <c r="C46" s="56">
        <f>VLOOKUP(kompl[[#This Row],[name_furn]],furn[],3,0)</f>
        <v>33</v>
      </c>
      <c r="D46" s="57" t="s">
        <v>53</v>
      </c>
      <c r="E46" s="58">
        <v>3</v>
      </c>
      <c r="F46" s="54"/>
      <c r="G46" s="54"/>
      <c r="H46" s="54"/>
      <c r="I46" s="54"/>
    </row>
    <row r="47" spans="1:9" s="5" customFormat="1" ht="15" customHeight="1" x14ac:dyDescent="0.25">
      <c r="A47" s="60" t="s">
        <v>130</v>
      </c>
      <c r="B47" s="59" t="s">
        <v>65</v>
      </c>
      <c r="C47" s="56">
        <f>VLOOKUP(kompl[[#This Row],[name_furn]],furn[],3,0)</f>
        <v>34</v>
      </c>
      <c r="D47" s="57" t="s">
        <v>56</v>
      </c>
      <c r="E47" s="58">
        <v>2</v>
      </c>
      <c r="F47" s="54"/>
      <c r="G47" s="54"/>
      <c r="H47" s="54"/>
      <c r="I47" s="54"/>
    </row>
    <row r="48" spans="1:9" s="5" customFormat="1" ht="15" customHeight="1" x14ac:dyDescent="0.25">
      <c r="A48" s="60" t="s">
        <v>130</v>
      </c>
      <c r="B48" s="59" t="s">
        <v>65</v>
      </c>
      <c r="C48" s="56">
        <f>VLOOKUP(kompl[[#This Row],[name_furn]],furn[],3,0)</f>
        <v>37</v>
      </c>
      <c r="D48" s="57" t="s">
        <v>57</v>
      </c>
      <c r="E48" s="58">
        <v>1</v>
      </c>
      <c r="F48" s="54"/>
      <c r="G48" s="54"/>
      <c r="H48" s="54"/>
      <c r="I48" s="54"/>
    </row>
    <row r="49" spans="1:9" s="5" customFormat="1" ht="15" customHeight="1" x14ac:dyDescent="0.25">
      <c r="A49" s="60" t="s">
        <v>132</v>
      </c>
      <c r="B49" s="56" t="s">
        <v>63</v>
      </c>
      <c r="C49" s="56">
        <f>VLOOKUP(kompl[[#This Row],[name_furn]],furn[],3,0)</f>
        <v>35</v>
      </c>
      <c r="D49" s="57" t="s">
        <v>50</v>
      </c>
      <c r="E49" s="58">
        <v>2</v>
      </c>
      <c r="F49" s="54"/>
      <c r="G49" s="54"/>
      <c r="H49" s="54"/>
      <c r="I49" s="54"/>
    </row>
    <row r="50" spans="1:9" s="5" customFormat="1" ht="15" customHeight="1" x14ac:dyDescent="0.25">
      <c r="A50" s="60" t="s">
        <v>132</v>
      </c>
      <c r="B50" s="56" t="s">
        <v>64</v>
      </c>
      <c r="C50" s="56">
        <f>VLOOKUP(kompl[[#This Row],[name_furn]],furn[],3,0)</f>
        <v>36</v>
      </c>
      <c r="D50" s="57" t="s">
        <v>52</v>
      </c>
      <c r="E50" s="58">
        <v>2</v>
      </c>
      <c r="F50" s="54"/>
      <c r="G50" s="54"/>
      <c r="H50" s="54"/>
      <c r="I50" s="54"/>
    </row>
    <row r="51" spans="1:9" s="5" customFormat="1" ht="15" customHeight="1" x14ac:dyDescent="0.25">
      <c r="A51" s="60" t="s">
        <v>132</v>
      </c>
      <c r="B51" s="56" t="s">
        <v>64</v>
      </c>
      <c r="C51" s="56">
        <f>VLOOKUP(kompl[[#This Row],[name_furn]],furn[],3,0)</f>
        <v>33</v>
      </c>
      <c r="D51" s="57" t="s">
        <v>53</v>
      </c>
      <c r="E51" s="58">
        <v>2</v>
      </c>
      <c r="F51" s="54"/>
      <c r="G51" s="54"/>
      <c r="H51" s="54"/>
      <c r="I51" s="54"/>
    </row>
    <row r="52" spans="1:9" s="5" customFormat="1" ht="15" customHeight="1" x14ac:dyDescent="0.25">
      <c r="A52" s="60" t="s">
        <v>132</v>
      </c>
      <c r="B52" s="59" t="s">
        <v>65</v>
      </c>
      <c r="C52" s="56">
        <f>VLOOKUP(kompl[[#This Row],[name_furn]],furn[],3,0)</f>
        <v>37</v>
      </c>
      <c r="D52" s="57" t="s">
        <v>57</v>
      </c>
      <c r="E52" s="58">
        <v>2</v>
      </c>
      <c r="F52" s="54"/>
      <c r="G52" s="54"/>
      <c r="H52" s="54"/>
      <c r="I52" s="54"/>
    </row>
    <row r="53" spans="1:9" s="5" customFormat="1" ht="15" customHeight="1" x14ac:dyDescent="0.25">
      <c r="A53" s="61" t="s">
        <v>134</v>
      </c>
      <c r="B53" s="56" t="s">
        <v>63</v>
      </c>
      <c r="C53" s="56">
        <f>VLOOKUP(kompl[[#This Row],[name_furn]],furn[],3,0)</f>
        <v>37</v>
      </c>
      <c r="D53" s="57" t="s">
        <v>57</v>
      </c>
      <c r="E53" s="58">
        <v>1</v>
      </c>
      <c r="F53" s="54"/>
      <c r="G53" s="54"/>
      <c r="H53" s="54"/>
      <c r="I53" s="54"/>
    </row>
    <row r="54" spans="1:9" s="5" customFormat="1" ht="15" customHeight="1" x14ac:dyDescent="0.25">
      <c r="A54" s="61" t="s">
        <v>134</v>
      </c>
      <c r="B54" s="56" t="s">
        <v>63</v>
      </c>
      <c r="C54" s="56">
        <f>VLOOKUP(kompl[[#This Row],[name_furn]],furn[],3,0)</f>
        <v>38</v>
      </c>
      <c r="D54" s="57" t="s">
        <v>80</v>
      </c>
      <c r="E54" s="58">
        <v>1</v>
      </c>
      <c r="F54" s="54"/>
      <c r="G54" s="54"/>
      <c r="H54" s="54"/>
      <c r="I54" s="54"/>
    </row>
    <row r="55" spans="1:9" s="5" customFormat="1" ht="15" customHeight="1" x14ac:dyDescent="0.25">
      <c r="A55" s="60" t="s">
        <v>138</v>
      </c>
      <c r="B55" s="56" t="s">
        <v>64</v>
      </c>
      <c r="C55" s="56">
        <f>VLOOKUP(kompl[[#This Row],[name_furn]],furn[],3,0)</f>
        <v>39</v>
      </c>
      <c r="D55" s="57" t="s">
        <v>48</v>
      </c>
      <c r="E55" s="58">
        <v>1</v>
      </c>
      <c r="F55" s="54"/>
      <c r="G55" s="54"/>
      <c r="H55" s="54"/>
      <c r="I55" s="54"/>
    </row>
    <row r="56" spans="1:9" s="5" customFormat="1" ht="15" customHeight="1" x14ac:dyDescent="0.25">
      <c r="A56" s="60" t="s">
        <v>138</v>
      </c>
      <c r="B56" s="56" t="s">
        <v>64</v>
      </c>
      <c r="C56" s="56">
        <f>VLOOKUP(kompl[[#This Row],[name_furn]],furn[],3,0)</f>
        <v>33</v>
      </c>
      <c r="D56" s="57" t="s">
        <v>53</v>
      </c>
      <c r="E56" s="58">
        <v>1</v>
      </c>
      <c r="F56" s="54"/>
      <c r="G56" s="54"/>
      <c r="H56" s="54"/>
      <c r="I56" s="54"/>
    </row>
    <row r="57" spans="1:9" s="5" customFormat="1" ht="15" customHeight="1" x14ac:dyDescent="0.25">
      <c r="A57" s="60" t="s">
        <v>142</v>
      </c>
      <c r="B57" s="56" t="s">
        <v>63</v>
      </c>
      <c r="C57" s="56">
        <f>VLOOKUP(kompl[[#This Row],[name_furn]],furn[],3,0)</f>
        <v>40</v>
      </c>
      <c r="D57" s="57" t="s">
        <v>312</v>
      </c>
      <c r="E57" s="58">
        <v>2</v>
      </c>
      <c r="F57" s="54"/>
      <c r="G57" s="54"/>
      <c r="H57" s="54"/>
      <c r="I57" s="54"/>
    </row>
    <row r="58" spans="1:9" s="5" customFormat="1" ht="15" customHeight="1" x14ac:dyDescent="0.25">
      <c r="A58" s="60" t="s">
        <v>142</v>
      </c>
      <c r="B58" s="56" t="s">
        <v>64</v>
      </c>
      <c r="C58" s="56">
        <f>VLOOKUP(kompl[[#This Row],[name_furn]],furn[],3,0)</f>
        <v>41</v>
      </c>
      <c r="D58" s="57" t="s">
        <v>39</v>
      </c>
      <c r="E58" s="58">
        <v>2</v>
      </c>
      <c r="F58" s="54"/>
      <c r="G58" s="54"/>
      <c r="H58" s="54"/>
      <c r="I58" s="54"/>
    </row>
    <row r="59" spans="1:9" s="5" customFormat="1" ht="15" customHeight="1" x14ac:dyDescent="0.25">
      <c r="A59" s="60" t="s">
        <v>142</v>
      </c>
      <c r="B59" s="59" t="s">
        <v>65</v>
      </c>
      <c r="C59" s="56">
        <f>VLOOKUP(kompl[[#This Row],[name_furn]],furn[],3,0)</f>
        <v>41</v>
      </c>
      <c r="D59" s="57" t="s">
        <v>39</v>
      </c>
      <c r="E59" s="58">
        <v>2</v>
      </c>
      <c r="F59" s="54"/>
      <c r="G59" s="54"/>
      <c r="H59" s="54"/>
      <c r="I59" s="54"/>
    </row>
    <row r="60" spans="1:9" s="5" customFormat="1" ht="15" customHeight="1" x14ac:dyDescent="0.25">
      <c r="A60" s="62" t="s">
        <v>148</v>
      </c>
      <c r="B60" s="56" t="s">
        <v>63</v>
      </c>
      <c r="C60" s="56">
        <f>VLOOKUP(kompl[[#This Row],[name_furn]],furn[],3,0)</f>
        <v>29</v>
      </c>
      <c r="D60" s="57" t="s">
        <v>36</v>
      </c>
      <c r="E60" s="58">
        <v>2</v>
      </c>
      <c r="F60" s="54"/>
      <c r="G60" s="54"/>
      <c r="H60" s="54"/>
      <c r="I60" s="54"/>
    </row>
    <row r="61" spans="1:9" s="5" customFormat="1" ht="15" customHeight="1" x14ac:dyDescent="0.25">
      <c r="A61" s="62" t="s">
        <v>148</v>
      </c>
      <c r="B61" s="56" t="s">
        <v>64</v>
      </c>
      <c r="C61" s="56">
        <f>VLOOKUP(kompl[[#This Row],[name_furn]],furn[],3,0)</f>
        <v>30</v>
      </c>
      <c r="D61" s="57" t="s">
        <v>37</v>
      </c>
      <c r="E61" s="58">
        <v>2</v>
      </c>
      <c r="F61" s="54"/>
      <c r="G61" s="54"/>
      <c r="H61" s="54"/>
      <c r="I61" s="54"/>
    </row>
    <row r="62" spans="1:9" s="5" customFormat="1" ht="15" customHeight="1" x14ac:dyDescent="0.25">
      <c r="A62" s="62" t="s">
        <v>150</v>
      </c>
      <c r="B62" s="56" t="s">
        <v>63</v>
      </c>
      <c r="C62" s="56">
        <f>VLOOKUP(kompl[[#This Row],[name_furn]],furn[],3,0)</f>
        <v>27</v>
      </c>
      <c r="D62" s="57" t="s">
        <v>34</v>
      </c>
      <c r="E62" s="58">
        <v>2</v>
      </c>
      <c r="F62" s="54"/>
      <c r="G62" s="54"/>
      <c r="H62" s="54"/>
      <c r="I62" s="54"/>
    </row>
    <row r="63" spans="1:9" s="5" customFormat="1" ht="15" customHeight="1" x14ac:dyDescent="0.25">
      <c r="A63" s="62" t="s">
        <v>152</v>
      </c>
      <c r="B63" s="56" t="s">
        <v>63</v>
      </c>
      <c r="C63" s="56">
        <f>VLOOKUP(kompl[[#This Row],[name_furn]],furn[],3,0)</f>
        <v>27</v>
      </c>
      <c r="D63" s="57" t="s">
        <v>34</v>
      </c>
      <c r="E63" s="58">
        <v>4</v>
      </c>
      <c r="F63" s="54"/>
      <c r="G63" s="54"/>
      <c r="H63" s="54"/>
      <c r="I63" s="54"/>
    </row>
    <row r="64" spans="1:9" s="5" customFormat="1" ht="15" customHeight="1" x14ac:dyDescent="0.25">
      <c r="A64" s="62" t="s">
        <v>154</v>
      </c>
      <c r="B64" s="56" t="s">
        <v>63</v>
      </c>
      <c r="C64" s="56">
        <f>VLOOKUP(kompl[[#This Row],[name_furn]],furn[],3,0)</f>
        <v>37</v>
      </c>
      <c r="D64" s="57" t="s">
        <v>57</v>
      </c>
      <c r="E64" s="58">
        <v>2</v>
      </c>
      <c r="F64" s="54"/>
      <c r="G64" s="54"/>
      <c r="H64" s="54"/>
      <c r="I64" s="54"/>
    </row>
    <row r="65" spans="1:9" s="5" customFormat="1" ht="15" customHeight="1" x14ac:dyDescent="0.25">
      <c r="A65" s="62" t="s">
        <v>156</v>
      </c>
      <c r="B65" s="56" t="s">
        <v>63</v>
      </c>
      <c r="C65" s="56">
        <f>VLOOKUP(kompl[[#This Row],[name_furn]],furn[],3,0)</f>
        <v>31</v>
      </c>
      <c r="D65" s="57" t="s">
        <v>49</v>
      </c>
      <c r="E65" s="58">
        <v>2</v>
      </c>
      <c r="F65" s="54"/>
      <c r="G65" s="54"/>
      <c r="H65" s="54"/>
      <c r="I65" s="54"/>
    </row>
    <row r="66" spans="1:9" s="5" customFormat="1" ht="15" customHeight="1" x14ac:dyDescent="0.25">
      <c r="A66" s="62" t="s">
        <v>156</v>
      </c>
      <c r="B66" s="56" t="s">
        <v>63</v>
      </c>
      <c r="C66" s="56">
        <f>VLOOKUP(kompl[[#This Row],[name_furn]],furn[],3,0)</f>
        <v>35</v>
      </c>
      <c r="D66" s="57" t="s">
        <v>50</v>
      </c>
      <c r="E66" s="58">
        <v>1</v>
      </c>
      <c r="F66" s="54"/>
      <c r="G66" s="54"/>
      <c r="H66" s="54"/>
      <c r="I66" s="54"/>
    </row>
    <row r="67" spans="1:9" s="5" customFormat="1" ht="15" customHeight="1" x14ac:dyDescent="0.25">
      <c r="A67" s="62" t="s">
        <v>158</v>
      </c>
      <c r="B67" s="56" t="s">
        <v>63</v>
      </c>
      <c r="C67" s="56">
        <f>VLOOKUP(kompl[[#This Row],[name_furn]],furn[],3,0)</f>
        <v>46</v>
      </c>
      <c r="D67" s="57" t="s">
        <v>292</v>
      </c>
      <c r="E67" s="58">
        <v>1</v>
      </c>
      <c r="F67" s="54"/>
      <c r="G67" s="54"/>
      <c r="H67" s="54"/>
      <c r="I67" s="54"/>
    </row>
    <row r="68" spans="1:9" s="5" customFormat="1" ht="15" customHeight="1" x14ac:dyDescent="0.25">
      <c r="A68" s="56" t="s">
        <v>160</v>
      </c>
      <c r="B68" s="56" t="s">
        <v>63</v>
      </c>
      <c r="C68" s="56">
        <f>VLOOKUP(kompl[[#This Row],[name_furn]],furn[],3,0)</f>
        <v>47</v>
      </c>
      <c r="D68" s="57" t="s">
        <v>59</v>
      </c>
      <c r="E68" s="58">
        <v>1</v>
      </c>
      <c r="F68" s="54"/>
      <c r="G68" s="54"/>
      <c r="H68" s="54"/>
      <c r="I68" s="54"/>
    </row>
    <row r="69" spans="1:9" s="5" customFormat="1" ht="15" customHeight="1" x14ac:dyDescent="0.25">
      <c r="A69" s="59" t="s">
        <v>162</v>
      </c>
      <c r="B69" s="56" t="s">
        <v>63</v>
      </c>
      <c r="C69" s="56">
        <f>VLOOKUP(kompl[[#This Row],[name_furn]],furn[],3,0)</f>
        <v>27</v>
      </c>
      <c r="D69" s="57" t="s">
        <v>34</v>
      </c>
      <c r="E69" s="58">
        <v>2</v>
      </c>
      <c r="F69" s="54"/>
      <c r="G69" s="54"/>
      <c r="H69" s="54"/>
      <c r="I69" s="54"/>
    </row>
    <row r="70" spans="1:9" s="5" customFormat="1" ht="15" customHeight="1" x14ac:dyDescent="0.25">
      <c r="A70" s="59" t="s">
        <v>162</v>
      </c>
      <c r="B70" s="56" t="s">
        <v>64</v>
      </c>
      <c r="C70" s="56">
        <f>VLOOKUP(kompl[[#This Row],[name_furn]],furn[],3,0)</f>
        <v>28</v>
      </c>
      <c r="D70" s="57" t="s">
        <v>35</v>
      </c>
      <c r="E70" s="58">
        <v>2</v>
      </c>
      <c r="F70" s="54"/>
      <c r="G70" s="54"/>
      <c r="H70" s="54"/>
      <c r="I70" s="54"/>
    </row>
    <row r="71" spans="1:9" s="5" customFormat="1" ht="15" customHeight="1" x14ac:dyDescent="0.25">
      <c r="A71" s="59" t="s">
        <v>164</v>
      </c>
      <c r="B71" s="56" t="s">
        <v>63</v>
      </c>
      <c r="C71" s="56">
        <f>VLOOKUP(kompl[[#This Row],[name_furn]],furn[],3,0)</f>
        <v>27</v>
      </c>
      <c r="D71" s="57" t="s">
        <v>34</v>
      </c>
      <c r="E71" s="58">
        <v>2</v>
      </c>
      <c r="F71" s="54"/>
      <c r="G71" s="54"/>
      <c r="H71" s="54"/>
      <c r="I71" s="54"/>
    </row>
    <row r="72" spans="1:9" s="5" customFormat="1" ht="15" customHeight="1" x14ac:dyDescent="0.25">
      <c r="A72" s="59" t="s">
        <v>164</v>
      </c>
      <c r="B72" s="56" t="s">
        <v>64</v>
      </c>
      <c r="C72" s="56">
        <f>VLOOKUP(kompl[[#This Row],[name_furn]],furn[],3,0)</f>
        <v>28</v>
      </c>
      <c r="D72" s="57" t="s">
        <v>35</v>
      </c>
      <c r="E72" s="58">
        <v>2</v>
      </c>
      <c r="F72" s="54"/>
      <c r="G72" s="54"/>
      <c r="H72" s="54"/>
      <c r="I72" s="54"/>
    </row>
    <row r="73" spans="1:9" s="5" customFormat="1" ht="15" customHeight="1" x14ac:dyDescent="0.25">
      <c r="A73" s="59" t="s">
        <v>166</v>
      </c>
      <c r="B73" s="56" t="s">
        <v>63</v>
      </c>
      <c r="C73" s="56">
        <f>VLOOKUP(kompl[[#This Row],[name_furn]],furn[],3,0)</f>
        <v>29</v>
      </c>
      <c r="D73" s="57" t="s">
        <v>36</v>
      </c>
      <c r="E73" s="58">
        <v>2</v>
      </c>
      <c r="F73" s="54"/>
      <c r="G73" s="54"/>
      <c r="H73" s="54"/>
      <c r="I73" s="54"/>
    </row>
    <row r="74" spans="1:9" s="5" customFormat="1" ht="15" customHeight="1" x14ac:dyDescent="0.25">
      <c r="A74" s="59" t="s">
        <v>168</v>
      </c>
      <c r="B74" s="56" t="s">
        <v>63</v>
      </c>
      <c r="C74" s="56">
        <f>VLOOKUP(kompl[[#This Row],[name_furn]],furn[],3,0)</f>
        <v>29</v>
      </c>
      <c r="D74" s="57" t="s">
        <v>36</v>
      </c>
      <c r="E74" s="58">
        <v>2</v>
      </c>
      <c r="F74" s="54"/>
      <c r="G74" s="54"/>
      <c r="H74" s="54"/>
      <c r="I74" s="54"/>
    </row>
    <row r="75" spans="1:9" s="5" customFormat="1" ht="15" customHeight="1" x14ac:dyDescent="0.25">
      <c r="A75" s="63" t="s">
        <v>176</v>
      </c>
      <c r="B75" s="56" t="s">
        <v>63</v>
      </c>
      <c r="C75" s="56">
        <f>VLOOKUP(kompl[[#This Row],[name_furn]],furn[],3,0)</f>
        <v>27</v>
      </c>
      <c r="D75" s="57" t="s">
        <v>34</v>
      </c>
      <c r="E75" s="58">
        <v>2</v>
      </c>
      <c r="F75" s="54" t="s">
        <v>306</v>
      </c>
      <c r="G75" s="57" t="s">
        <v>34</v>
      </c>
      <c r="H75" s="58">
        <v>3</v>
      </c>
      <c r="I75" s="54"/>
    </row>
    <row r="76" spans="1:9" s="5" customFormat="1" ht="15" customHeight="1" x14ac:dyDescent="0.25">
      <c r="A76" s="63" t="s">
        <v>176</v>
      </c>
      <c r="B76" s="56" t="s">
        <v>64</v>
      </c>
      <c r="C76" s="56">
        <f>VLOOKUP(kompl[[#This Row],[name_furn]],furn[],3,0)</f>
        <v>28</v>
      </c>
      <c r="D76" s="57" t="s">
        <v>35</v>
      </c>
      <c r="E76" s="58">
        <v>2</v>
      </c>
      <c r="F76" s="54" t="s">
        <v>306</v>
      </c>
      <c r="G76" s="57" t="s">
        <v>35</v>
      </c>
      <c r="H76" s="58">
        <v>3</v>
      </c>
      <c r="I76" s="54"/>
    </row>
    <row r="77" spans="1:9" s="5" customFormat="1" ht="15" customHeight="1" x14ac:dyDescent="0.25">
      <c r="A77" s="63" t="s">
        <v>176</v>
      </c>
      <c r="B77" s="59" t="s">
        <v>65</v>
      </c>
      <c r="C77" s="56">
        <f>VLOOKUP(kompl[[#This Row],[name_furn]],furn[],3,0)</f>
        <v>28</v>
      </c>
      <c r="D77" s="57" t="s">
        <v>35</v>
      </c>
      <c r="E77" s="58">
        <v>2</v>
      </c>
      <c r="F77" s="54" t="s">
        <v>306</v>
      </c>
      <c r="G77" s="57" t="s">
        <v>35</v>
      </c>
      <c r="H77" s="58">
        <v>3</v>
      </c>
      <c r="I77" s="54"/>
    </row>
    <row r="78" spans="1:9" s="5" customFormat="1" ht="15" customHeight="1" x14ac:dyDescent="0.25">
      <c r="A78" s="63" t="s">
        <v>178</v>
      </c>
      <c r="B78" s="56" t="s">
        <v>63</v>
      </c>
      <c r="C78" s="56">
        <f>VLOOKUP(kompl[[#This Row],[name_furn]],furn[],3,0)</f>
        <v>27</v>
      </c>
      <c r="D78" s="57" t="s">
        <v>34</v>
      </c>
      <c r="E78" s="58">
        <v>2</v>
      </c>
      <c r="F78" s="54"/>
      <c r="G78" s="54"/>
      <c r="H78" s="54"/>
      <c r="I78" s="54"/>
    </row>
    <row r="79" spans="1:9" s="5" customFormat="1" ht="15" customHeight="1" x14ac:dyDescent="0.25">
      <c r="A79" s="63" t="s">
        <v>178</v>
      </c>
      <c r="B79" s="56" t="s">
        <v>64</v>
      </c>
      <c r="C79" s="56">
        <f>VLOOKUP(kompl[[#This Row],[name_furn]],furn[],3,0)</f>
        <v>28</v>
      </c>
      <c r="D79" s="57" t="s">
        <v>35</v>
      </c>
      <c r="E79" s="58">
        <v>2</v>
      </c>
      <c r="F79" s="54"/>
      <c r="G79" s="54"/>
      <c r="H79" s="54"/>
      <c r="I79" s="54"/>
    </row>
    <row r="80" spans="1:9" s="5" customFormat="1" ht="15" customHeight="1" x14ac:dyDescent="0.25">
      <c r="A80" s="63" t="s">
        <v>178</v>
      </c>
      <c r="B80" s="59" t="s">
        <v>65</v>
      </c>
      <c r="C80" s="56">
        <f>VLOOKUP(kompl[[#This Row],[name_furn]],furn[],3,0)</f>
        <v>28</v>
      </c>
      <c r="D80" s="57" t="s">
        <v>35</v>
      </c>
      <c r="E80" s="58">
        <v>2</v>
      </c>
      <c r="F80" s="54"/>
      <c r="G80" s="54"/>
      <c r="H80" s="54"/>
      <c r="I80" s="54"/>
    </row>
    <row r="81" spans="1:9" s="5" customFormat="1" ht="15" customHeight="1" x14ac:dyDescent="0.25">
      <c r="A81" s="63" t="s">
        <v>181</v>
      </c>
      <c r="B81" s="56" t="s">
        <v>63</v>
      </c>
      <c r="C81" s="56">
        <f>VLOOKUP(kompl[[#This Row],[name_furn]],furn[],3,0)</f>
        <v>48</v>
      </c>
      <c r="D81" s="64" t="s">
        <v>44</v>
      </c>
      <c r="E81" s="58">
        <v>1</v>
      </c>
      <c r="F81" s="54" t="s">
        <v>299</v>
      </c>
      <c r="G81" s="54" t="s">
        <v>293</v>
      </c>
      <c r="H81" s="54">
        <v>1</v>
      </c>
      <c r="I81" s="54"/>
    </row>
    <row r="82" spans="1:9" s="5" customFormat="1" ht="15" customHeight="1" x14ac:dyDescent="0.25">
      <c r="A82" s="63" t="s">
        <v>181</v>
      </c>
      <c r="B82" s="56" t="s">
        <v>64</v>
      </c>
      <c r="C82" s="56">
        <f>VLOOKUP(kompl[[#This Row],[name_furn]],furn[],3,0)</f>
        <v>50</v>
      </c>
      <c r="D82" s="57" t="s">
        <v>46</v>
      </c>
      <c r="E82" s="58">
        <v>1</v>
      </c>
      <c r="F82" s="54"/>
      <c r="G82" s="54"/>
      <c r="H82" s="54"/>
      <c r="I82" s="54"/>
    </row>
    <row r="83" spans="1:9" s="5" customFormat="1" ht="15" customHeight="1" x14ac:dyDescent="0.25">
      <c r="A83" s="63" t="s">
        <v>181</v>
      </c>
      <c r="B83" s="56" t="s">
        <v>64</v>
      </c>
      <c r="C83" s="56">
        <f>VLOOKUP(kompl[[#This Row],[name_furn]],furn[],3,0)</f>
        <v>28</v>
      </c>
      <c r="D83" s="57" t="s">
        <v>35</v>
      </c>
      <c r="E83" s="58">
        <v>2</v>
      </c>
      <c r="F83" s="54"/>
      <c r="G83" s="54"/>
      <c r="H83" s="54"/>
      <c r="I83" s="54"/>
    </row>
    <row r="84" spans="1:9" s="5" customFormat="1" ht="15" customHeight="1" x14ac:dyDescent="0.25">
      <c r="A84" s="63" t="s">
        <v>181</v>
      </c>
      <c r="B84" s="59" t="s">
        <v>65</v>
      </c>
      <c r="C84" s="56">
        <f>VLOOKUP(kompl[[#This Row],[name_furn]],furn[],3,0)</f>
        <v>50</v>
      </c>
      <c r="D84" s="57" t="s">
        <v>46</v>
      </c>
      <c r="E84" s="58">
        <v>1</v>
      </c>
      <c r="F84" s="54"/>
      <c r="G84" s="54"/>
      <c r="H84" s="54"/>
      <c r="I84" s="54"/>
    </row>
    <row r="85" spans="1:9" s="5" customFormat="1" ht="15" customHeight="1" x14ac:dyDescent="0.25">
      <c r="A85" s="63" t="s">
        <v>181</v>
      </c>
      <c r="B85" s="59" t="s">
        <v>65</v>
      </c>
      <c r="C85" s="56">
        <f>VLOOKUP(kompl[[#This Row],[name_furn]],furn[],3,0)</f>
        <v>28</v>
      </c>
      <c r="D85" s="57" t="s">
        <v>35</v>
      </c>
      <c r="E85" s="58">
        <v>2</v>
      </c>
      <c r="F85" s="54"/>
      <c r="G85" s="54"/>
      <c r="H85" s="54"/>
      <c r="I85" s="54"/>
    </row>
    <row r="86" spans="1:9" s="5" customFormat="1" ht="15" customHeight="1" x14ac:dyDescent="0.25">
      <c r="A86" s="63" t="s">
        <v>184</v>
      </c>
      <c r="B86" s="56" t="s">
        <v>63</v>
      </c>
      <c r="C86" s="56">
        <f>VLOOKUP(kompl[[#This Row],[name_furn]],furn[],3,0)</f>
        <v>48</v>
      </c>
      <c r="D86" s="64" t="s">
        <v>44</v>
      </c>
      <c r="E86" s="58">
        <v>1</v>
      </c>
      <c r="F86" s="54" t="s">
        <v>299</v>
      </c>
      <c r="G86" s="54" t="s">
        <v>293</v>
      </c>
      <c r="H86" s="54">
        <v>1</v>
      </c>
      <c r="I86" s="54"/>
    </row>
    <row r="87" spans="1:9" s="5" customFormat="1" ht="15" customHeight="1" x14ac:dyDescent="0.25">
      <c r="A87" s="63" t="s">
        <v>184</v>
      </c>
      <c r="B87" s="56" t="s">
        <v>64</v>
      </c>
      <c r="C87" s="56">
        <f>VLOOKUP(kompl[[#This Row],[name_furn]],furn[],3,0)</f>
        <v>50</v>
      </c>
      <c r="D87" s="57" t="s">
        <v>46</v>
      </c>
      <c r="E87" s="58">
        <v>1</v>
      </c>
      <c r="F87" s="54"/>
      <c r="G87" s="54"/>
      <c r="H87" s="54"/>
      <c r="I87" s="54"/>
    </row>
    <row r="88" spans="1:9" s="5" customFormat="1" ht="15" customHeight="1" x14ac:dyDescent="0.25">
      <c r="A88" s="63" t="s">
        <v>184</v>
      </c>
      <c r="B88" s="56" t="s">
        <v>64</v>
      </c>
      <c r="C88" s="56">
        <f>VLOOKUP(kompl[[#This Row],[name_furn]],furn[],3,0)</f>
        <v>28</v>
      </c>
      <c r="D88" s="57" t="s">
        <v>35</v>
      </c>
      <c r="E88" s="58">
        <v>2</v>
      </c>
      <c r="F88" s="54"/>
      <c r="G88" s="54"/>
      <c r="H88" s="54"/>
      <c r="I88" s="54"/>
    </row>
    <row r="89" spans="1:9" s="5" customFormat="1" ht="15" customHeight="1" x14ac:dyDescent="0.25">
      <c r="A89" s="63" t="s">
        <v>184</v>
      </c>
      <c r="B89" s="59" t="s">
        <v>65</v>
      </c>
      <c r="C89" s="56">
        <f>VLOOKUP(kompl[[#This Row],[name_furn]],furn[],3,0)</f>
        <v>50</v>
      </c>
      <c r="D89" s="57" t="s">
        <v>46</v>
      </c>
      <c r="E89" s="58">
        <v>1</v>
      </c>
      <c r="F89" s="54"/>
      <c r="G89" s="54"/>
      <c r="H89" s="54"/>
      <c r="I89" s="54"/>
    </row>
    <row r="90" spans="1:9" s="5" customFormat="1" ht="15" customHeight="1" x14ac:dyDescent="0.25">
      <c r="A90" s="63" t="s">
        <v>184</v>
      </c>
      <c r="B90" s="59" t="s">
        <v>65</v>
      </c>
      <c r="C90" s="56">
        <f>VLOOKUP(kompl[[#This Row],[name_furn]],furn[],3,0)</f>
        <v>28</v>
      </c>
      <c r="D90" s="57" t="s">
        <v>35</v>
      </c>
      <c r="E90" s="58">
        <v>2</v>
      </c>
      <c r="F90" s="54"/>
      <c r="G90" s="54"/>
      <c r="H90" s="54"/>
      <c r="I90" s="54"/>
    </row>
    <row r="91" spans="1:9" s="5" customFormat="1" ht="15" customHeight="1" x14ac:dyDescent="0.25">
      <c r="A91" s="63" t="s">
        <v>186</v>
      </c>
      <c r="B91" s="56" t="s">
        <v>63</v>
      </c>
      <c r="C91" s="56">
        <f>VLOOKUP(kompl[[#This Row],[name_furn]],furn[],3,0)</f>
        <v>27</v>
      </c>
      <c r="D91" s="57" t="s">
        <v>34</v>
      </c>
      <c r="E91" s="58">
        <v>4</v>
      </c>
      <c r="F91" s="54" t="s">
        <v>306</v>
      </c>
      <c r="G91" s="57" t="s">
        <v>34</v>
      </c>
      <c r="H91" s="58">
        <v>6</v>
      </c>
      <c r="I91" s="54"/>
    </row>
    <row r="92" spans="1:9" s="5" customFormat="1" ht="15" customHeight="1" x14ac:dyDescent="0.25">
      <c r="A92" s="63" t="s">
        <v>186</v>
      </c>
      <c r="B92" s="56" t="s">
        <v>64</v>
      </c>
      <c r="C92" s="56">
        <f>VLOOKUP(kompl[[#This Row],[name_furn]],furn[],3,0)</f>
        <v>28</v>
      </c>
      <c r="D92" s="57" t="s">
        <v>35</v>
      </c>
      <c r="E92" s="58">
        <v>4</v>
      </c>
      <c r="F92" s="54" t="s">
        <v>306</v>
      </c>
      <c r="G92" s="57" t="s">
        <v>35</v>
      </c>
      <c r="H92" s="58">
        <v>6</v>
      </c>
      <c r="I92" s="54"/>
    </row>
    <row r="93" spans="1:9" s="5" customFormat="1" ht="15" customHeight="1" x14ac:dyDescent="0.25">
      <c r="A93" s="63" t="s">
        <v>186</v>
      </c>
      <c r="B93" s="59" t="s">
        <v>65</v>
      </c>
      <c r="C93" s="56">
        <f>VLOOKUP(kompl[[#This Row],[name_furn]],furn[],3,0)</f>
        <v>28</v>
      </c>
      <c r="D93" s="57" t="s">
        <v>35</v>
      </c>
      <c r="E93" s="58">
        <v>4</v>
      </c>
      <c r="F93" s="54" t="s">
        <v>306</v>
      </c>
      <c r="G93" s="57" t="s">
        <v>35</v>
      </c>
      <c r="H93" s="58">
        <v>6</v>
      </c>
      <c r="I93" s="54"/>
    </row>
    <row r="94" spans="1:9" s="5" customFormat="1" ht="15" customHeight="1" x14ac:dyDescent="0.25">
      <c r="A94" s="63" t="s">
        <v>188</v>
      </c>
      <c r="B94" s="56" t="s">
        <v>63</v>
      </c>
      <c r="C94" s="56">
        <f>VLOOKUP(kompl[[#This Row],[name_furn]],furn[],3,0)</f>
        <v>51</v>
      </c>
      <c r="D94" s="57" t="s">
        <v>47</v>
      </c>
      <c r="E94" s="58">
        <v>1</v>
      </c>
      <c r="F94" s="54"/>
      <c r="G94" s="54"/>
      <c r="H94" s="54"/>
      <c r="I94" s="54"/>
    </row>
    <row r="95" spans="1:9" s="5" customFormat="1" ht="15" customHeight="1" x14ac:dyDescent="0.25">
      <c r="A95" s="63" t="s">
        <v>190</v>
      </c>
      <c r="B95" s="56" t="s">
        <v>63</v>
      </c>
      <c r="C95" s="56">
        <f>VLOOKUP(kompl[[#This Row],[name_furn]],furn[],3,0)</f>
        <v>29</v>
      </c>
      <c r="D95" s="57" t="s">
        <v>36</v>
      </c>
      <c r="E95" s="58">
        <v>2</v>
      </c>
      <c r="F95" s="54" t="s">
        <v>306</v>
      </c>
      <c r="G95" s="57" t="s">
        <v>36</v>
      </c>
      <c r="H95" s="58">
        <v>3</v>
      </c>
      <c r="I95" s="54"/>
    </row>
    <row r="96" spans="1:9" s="5" customFormat="1" ht="15" customHeight="1" x14ac:dyDescent="0.25">
      <c r="A96" s="63" t="s">
        <v>190</v>
      </c>
      <c r="B96" s="56" t="s">
        <v>64</v>
      </c>
      <c r="C96" s="56">
        <f>VLOOKUP(kompl[[#This Row],[name_furn]],furn[],3,0)</f>
        <v>30</v>
      </c>
      <c r="D96" s="57" t="s">
        <v>37</v>
      </c>
      <c r="E96" s="58">
        <v>2</v>
      </c>
      <c r="F96" s="54" t="s">
        <v>306</v>
      </c>
      <c r="G96" s="57" t="s">
        <v>37</v>
      </c>
      <c r="H96" s="58">
        <v>3</v>
      </c>
      <c r="I96" s="54"/>
    </row>
    <row r="97" spans="1:9" s="5" customFormat="1" ht="15" customHeight="1" x14ac:dyDescent="0.25">
      <c r="A97" s="63" t="s">
        <v>190</v>
      </c>
      <c r="B97" s="59" t="s">
        <v>65</v>
      </c>
      <c r="C97" s="56">
        <f>VLOOKUP(kompl[[#This Row],[name_furn]],furn[],3,0)</f>
        <v>30</v>
      </c>
      <c r="D97" s="57" t="s">
        <v>37</v>
      </c>
      <c r="E97" s="58">
        <v>2</v>
      </c>
      <c r="F97" s="54" t="s">
        <v>306</v>
      </c>
      <c r="G97" s="57" t="s">
        <v>37</v>
      </c>
      <c r="H97" s="58">
        <v>3</v>
      </c>
      <c r="I97" s="54"/>
    </row>
    <row r="98" spans="1:9" s="5" customFormat="1" ht="15" customHeight="1" x14ac:dyDescent="0.25">
      <c r="A98" s="65" t="s">
        <v>192</v>
      </c>
      <c r="B98" s="56" t="s">
        <v>63</v>
      </c>
      <c r="C98" s="56">
        <f>VLOOKUP(kompl[[#This Row],[name_furn]],furn[],3,0)</f>
        <v>27</v>
      </c>
      <c r="D98" s="57" t="s">
        <v>34</v>
      </c>
      <c r="E98" s="58">
        <v>2</v>
      </c>
      <c r="F98" s="54" t="s">
        <v>303</v>
      </c>
      <c r="G98" s="57" t="s">
        <v>34</v>
      </c>
      <c r="H98" s="58">
        <v>3</v>
      </c>
      <c r="I98" s="54"/>
    </row>
    <row r="99" spans="1:9" s="5" customFormat="1" ht="15" customHeight="1" x14ac:dyDescent="0.25">
      <c r="A99" s="65" t="s">
        <v>192</v>
      </c>
      <c r="B99" s="56" t="s">
        <v>64</v>
      </c>
      <c r="C99" s="56">
        <f>VLOOKUP(kompl[[#This Row],[name_furn]],furn[],3,0)</f>
        <v>28</v>
      </c>
      <c r="D99" s="57" t="s">
        <v>35</v>
      </c>
      <c r="E99" s="58">
        <v>2</v>
      </c>
      <c r="F99" s="54" t="s">
        <v>303</v>
      </c>
      <c r="G99" s="57" t="s">
        <v>35</v>
      </c>
      <c r="H99" s="58">
        <v>3</v>
      </c>
      <c r="I99" s="54"/>
    </row>
    <row r="100" spans="1:9" s="5" customFormat="1" ht="15" customHeight="1" x14ac:dyDescent="0.25">
      <c r="A100" s="65" t="s">
        <v>192</v>
      </c>
      <c r="B100" s="59" t="s">
        <v>65</v>
      </c>
      <c r="C100" s="56">
        <f>VLOOKUP(kompl[[#This Row],[name_furn]],furn[],3,0)</f>
        <v>28</v>
      </c>
      <c r="D100" s="57" t="s">
        <v>35</v>
      </c>
      <c r="E100" s="58">
        <v>2</v>
      </c>
      <c r="F100" s="54" t="s">
        <v>303</v>
      </c>
      <c r="G100" s="57" t="s">
        <v>35</v>
      </c>
      <c r="H100" s="58">
        <v>3</v>
      </c>
      <c r="I100" s="54"/>
    </row>
    <row r="101" spans="1:9" s="5" customFormat="1" ht="15" customHeight="1" x14ac:dyDescent="0.25">
      <c r="A101" s="65" t="s">
        <v>195</v>
      </c>
      <c r="B101" s="56" t="s">
        <v>63</v>
      </c>
      <c r="C101" s="56">
        <f>VLOOKUP(kompl[[#This Row],[name_furn]],furn[],3,0)</f>
        <v>27</v>
      </c>
      <c r="D101" s="57" t="s">
        <v>34</v>
      </c>
      <c r="E101" s="58">
        <v>4</v>
      </c>
      <c r="F101" s="54" t="s">
        <v>303</v>
      </c>
      <c r="G101" s="57" t="s">
        <v>34</v>
      </c>
      <c r="H101" s="58">
        <v>6</v>
      </c>
      <c r="I101" s="54"/>
    </row>
    <row r="102" spans="1:9" s="5" customFormat="1" ht="15" customHeight="1" x14ac:dyDescent="0.25">
      <c r="A102" s="65" t="s">
        <v>195</v>
      </c>
      <c r="B102" s="56" t="s">
        <v>64</v>
      </c>
      <c r="C102" s="56">
        <f>VLOOKUP(kompl[[#This Row],[name_furn]],furn[],3,0)</f>
        <v>28</v>
      </c>
      <c r="D102" s="57" t="s">
        <v>35</v>
      </c>
      <c r="E102" s="58">
        <v>4</v>
      </c>
      <c r="F102" s="54" t="s">
        <v>303</v>
      </c>
      <c r="G102" s="57" t="s">
        <v>35</v>
      </c>
      <c r="H102" s="58">
        <v>6</v>
      </c>
      <c r="I102" s="54"/>
    </row>
    <row r="103" spans="1:9" s="5" customFormat="1" ht="15" customHeight="1" x14ac:dyDescent="0.25">
      <c r="A103" s="65" t="s">
        <v>195</v>
      </c>
      <c r="B103" s="59" t="s">
        <v>65</v>
      </c>
      <c r="C103" s="56">
        <f>VLOOKUP(kompl[[#This Row],[name_furn]],furn[],3,0)</f>
        <v>28</v>
      </c>
      <c r="D103" s="57" t="s">
        <v>35</v>
      </c>
      <c r="E103" s="58">
        <v>4</v>
      </c>
      <c r="F103" s="54" t="s">
        <v>303</v>
      </c>
      <c r="G103" s="57" t="s">
        <v>35</v>
      </c>
      <c r="H103" s="58">
        <v>6</v>
      </c>
      <c r="I103" s="54"/>
    </row>
    <row r="104" spans="1:9" s="5" customFormat="1" ht="15" customHeight="1" x14ac:dyDescent="0.25">
      <c r="A104" s="63" t="s">
        <v>197</v>
      </c>
      <c r="B104" s="56" t="s">
        <v>63</v>
      </c>
      <c r="C104" s="56">
        <f>VLOOKUP(kompl[[#This Row],[name_furn]],furn[],3,0)</f>
        <v>40</v>
      </c>
      <c r="D104" s="57" t="s">
        <v>312</v>
      </c>
      <c r="E104" s="58">
        <v>2</v>
      </c>
      <c r="F104" s="54"/>
      <c r="G104" s="54"/>
      <c r="H104" s="54"/>
      <c r="I104" s="54"/>
    </row>
    <row r="105" spans="1:9" s="5" customFormat="1" ht="15" customHeight="1" x14ac:dyDescent="0.25">
      <c r="A105" s="63" t="s">
        <v>197</v>
      </c>
      <c r="B105" s="56" t="s">
        <v>64</v>
      </c>
      <c r="C105" s="56">
        <f>VLOOKUP(kompl[[#This Row],[name_furn]],furn[],3,0)</f>
        <v>41</v>
      </c>
      <c r="D105" s="57" t="s">
        <v>39</v>
      </c>
      <c r="E105" s="58">
        <v>2</v>
      </c>
      <c r="F105" s="54"/>
      <c r="G105" s="54"/>
      <c r="H105" s="54"/>
      <c r="I105" s="54"/>
    </row>
    <row r="106" spans="1:9" s="5" customFormat="1" ht="15" customHeight="1" x14ac:dyDescent="0.25">
      <c r="A106" s="63" t="s">
        <v>197</v>
      </c>
      <c r="B106" s="59" t="s">
        <v>65</v>
      </c>
      <c r="C106" s="56">
        <f>VLOOKUP(kompl[[#This Row],[name_furn]],furn[],3,0)</f>
        <v>41</v>
      </c>
      <c r="D106" s="57" t="s">
        <v>39</v>
      </c>
      <c r="E106" s="58">
        <v>2</v>
      </c>
      <c r="F106" s="54"/>
      <c r="G106" s="54"/>
      <c r="H106" s="54"/>
      <c r="I106" s="54"/>
    </row>
    <row r="107" spans="1:9" s="5" customFormat="1" ht="15" customHeight="1" x14ac:dyDescent="0.25">
      <c r="A107" s="63" t="s">
        <v>200</v>
      </c>
      <c r="B107" s="56" t="s">
        <v>63</v>
      </c>
      <c r="C107" s="56">
        <f>VLOOKUP(kompl[[#This Row],[name_furn]],furn[],3,0)</f>
        <v>27</v>
      </c>
      <c r="D107" s="57" t="s">
        <v>34</v>
      </c>
      <c r="E107" s="58">
        <v>2</v>
      </c>
      <c r="F107" s="54" t="s">
        <v>306</v>
      </c>
      <c r="G107" s="57" t="s">
        <v>34</v>
      </c>
      <c r="H107" s="58">
        <v>3</v>
      </c>
      <c r="I107" s="54"/>
    </row>
    <row r="108" spans="1:9" s="5" customFormat="1" ht="15" customHeight="1" x14ac:dyDescent="0.25">
      <c r="A108" s="63" t="s">
        <v>200</v>
      </c>
      <c r="B108" s="56" t="s">
        <v>63</v>
      </c>
      <c r="C108" s="56">
        <f>VLOOKUP(kompl[[#This Row],[name_furn]],furn[],3,0)</f>
        <v>43</v>
      </c>
      <c r="D108" s="57" t="s">
        <v>40</v>
      </c>
      <c r="E108" s="58">
        <v>1</v>
      </c>
      <c r="F108" s="54"/>
      <c r="G108" s="54"/>
      <c r="H108" s="54"/>
      <c r="I108" s="54"/>
    </row>
    <row r="109" spans="1:9" s="5" customFormat="1" ht="15" customHeight="1" x14ac:dyDescent="0.25">
      <c r="A109" s="63" t="s">
        <v>200</v>
      </c>
      <c r="B109" s="56" t="s">
        <v>64</v>
      </c>
      <c r="C109" s="56">
        <f>VLOOKUP(kompl[[#This Row],[name_furn]],furn[],3,0)</f>
        <v>28</v>
      </c>
      <c r="D109" s="57" t="s">
        <v>35</v>
      </c>
      <c r="E109" s="58">
        <v>2</v>
      </c>
      <c r="F109" s="54" t="s">
        <v>306</v>
      </c>
      <c r="G109" s="57" t="s">
        <v>35</v>
      </c>
      <c r="H109" s="58">
        <v>3</v>
      </c>
      <c r="I109" s="54"/>
    </row>
    <row r="110" spans="1:9" s="5" customFormat="1" ht="15" customHeight="1" x14ac:dyDescent="0.25">
      <c r="A110" s="63" t="s">
        <v>200</v>
      </c>
      <c r="B110" s="56" t="s">
        <v>64</v>
      </c>
      <c r="C110" s="56">
        <f>VLOOKUP(kompl[[#This Row],[name_furn]],furn[],3,0)</f>
        <v>43</v>
      </c>
      <c r="D110" s="57" t="s">
        <v>40</v>
      </c>
      <c r="E110" s="58">
        <v>1</v>
      </c>
      <c r="F110" s="54"/>
      <c r="G110" s="54"/>
      <c r="H110" s="54"/>
      <c r="I110" s="54"/>
    </row>
    <row r="111" spans="1:9" s="5" customFormat="1" ht="15" customHeight="1" x14ac:dyDescent="0.25">
      <c r="A111" s="63" t="s">
        <v>200</v>
      </c>
      <c r="B111" s="59" t="s">
        <v>65</v>
      </c>
      <c r="C111" s="56">
        <f>VLOOKUP(kompl[[#This Row],[name_furn]],furn[],3,0)</f>
        <v>28</v>
      </c>
      <c r="D111" s="57" t="s">
        <v>35</v>
      </c>
      <c r="E111" s="58">
        <v>2</v>
      </c>
      <c r="F111" s="54" t="s">
        <v>306</v>
      </c>
      <c r="G111" s="57" t="s">
        <v>35</v>
      </c>
      <c r="H111" s="58">
        <v>3</v>
      </c>
      <c r="I111" s="54"/>
    </row>
    <row r="112" spans="1:9" s="5" customFormat="1" ht="15" customHeight="1" x14ac:dyDescent="0.25">
      <c r="A112" s="63" t="s">
        <v>200</v>
      </c>
      <c r="B112" s="59" t="s">
        <v>65</v>
      </c>
      <c r="C112" s="56">
        <f>VLOOKUP(kompl[[#This Row],[name_furn]],furn[],3,0)</f>
        <v>43</v>
      </c>
      <c r="D112" s="57" t="s">
        <v>40</v>
      </c>
      <c r="E112" s="58">
        <v>1</v>
      </c>
      <c r="F112" s="54"/>
      <c r="G112" s="54"/>
      <c r="H112" s="54"/>
      <c r="I112" s="54"/>
    </row>
    <row r="113" spans="1:9" s="5" customFormat="1" ht="15" customHeight="1" x14ac:dyDescent="0.25">
      <c r="A113" s="63" t="s">
        <v>202</v>
      </c>
      <c r="B113" s="56" t="s">
        <v>63</v>
      </c>
      <c r="C113" s="56">
        <f>VLOOKUP(kompl[[#This Row],[name_furn]],furn[],3,0)</f>
        <v>27</v>
      </c>
      <c r="D113" s="57" t="s">
        <v>34</v>
      </c>
      <c r="E113" s="58">
        <v>2</v>
      </c>
      <c r="F113" s="54" t="s">
        <v>306</v>
      </c>
      <c r="G113" s="57" t="s">
        <v>34</v>
      </c>
      <c r="H113" s="58">
        <v>3</v>
      </c>
      <c r="I113" s="54"/>
    </row>
    <row r="114" spans="1:9" s="5" customFormat="1" ht="15" customHeight="1" x14ac:dyDescent="0.25">
      <c r="A114" s="63" t="s">
        <v>202</v>
      </c>
      <c r="B114" s="56" t="s">
        <v>63</v>
      </c>
      <c r="C114" s="56">
        <f>VLOOKUP(kompl[[#This Row],[name_furn]],furn[],3,0)</f>
        <v>42</v>
      </c>
      <c r="D114" s="57" t="s">
        <v>41</v>
      </c>
      <c r="E114" s="58">
        <v>1</v>
      </c>
      <c r="F114" s="54"/>
      <c r="G114" s="54"/>
      <c r="H114" s="54"/>
      <c r="I114" s="54"/>
    </row>
    <row r="115" spans="1:9" s="5" customFormat="1" ht="15" customHeight="1" x14ac:dyDescent="0.25">
      <c r="A115" s="63" t="s">
        <v>202</v>
      </c>
      <c r="B115" s="56" t="s">
        <v>64</v>
      </c>
      <c r="C115" s="56">
        <f>VLOOKUP(kompl[[#This Row],[name_furn]],furn[],3,0)</f>
        <v>28</v>
      </c>
      <c r="D115" s="57" t="s">
        <v>35</v>
      </c>
      <c r="E115" s="58">
        <v>2</v>
      </c>
      <c r="F115" s="54" t="s">
        <v>306</v>
      </c>
      <c r="G115" s="57" t="s">
        <v>35</v>
      </c>
      <c r="H115" s="58">
        <v>3</v>
      </c>
      <c r="I115" s="54"/>
    </row>
    <row r="116" spans="1:9" s="5" customFormat="1" ht="15" customHeight="1" x14ac:dyDescent="0.25">
      <c r="A116" s="63" t="s">
        <v>202</v>
      </c>
      <c r="B116" s="56" t="s">
        <v>64</v>
      </c>
      <c r="C116" s="56">
        <f>VLOOKUP(kompl[[#This Row],[name_furn]],furn[],3,0)</f>
        <v>42</v>
      </c>
      <c r="D116" s="57" t="s">
        <v>41</v>
      </c>
      <c r="E116" s="58">
        <v>1</v>
      </c>
      <c r="F116" s="54"/>
      <c r="G116" s="54"/>
      <c r="H116" s="54"/>
      <c r="I116" s="54"/>
    </row>
    <row r="117" spans="1:9" s="5" customFormat="1" ht="15" customHeight="1" x14ac:dyDescent="0.25">
      <c r="A117" s="63" t="s">
        <v>202</v>
      </c>
      <c r="B117" s="59" t="s">
        <v>65</v>
      </c>
      <c r="C117" s="56">
        <f>VLOOKUP(kompl[[#This Row],[name_furn]],furn[],3,0)</f>
        <v>28</v>
      </c>
      <c r="D117" s="57" t="s">
        <v>35</v>
      </c>
      <c r="E117" s="58">
        <v>2</v>
      </c>
      <c r="F117" s="54" t="s">
        <v>306</v>
      </c>
      <c r="G117" s="57" t="s">
        <v>35</v>
      </c>
      <c r="H117" s="58">
        <v>3</v>
      </c>
      <c r="I117" s="54"/>
    </row>
    <row r="118" spans="1:9" s="5" customFormat="1" ht="15" customHeight="1" x14ac:dyDescent="0.25">
      <c r="A118" s="63" t="s">
        <v>202</v>
      </c>
      <c r="B118" s="59" t="s">
        <v>65</v>
      </c>
      <c r="C118" s="56">
        <f>VLOOKUP(kompl[[#This Row],[name_furn]],furn[],3,0)</f>
        <v>42</v>
      </c>
      <c r="D118" s="57" t="s">
        <v>41</v>
      </c>
      <c r="E118" s="58">
        <v>1</v>
      </c>
      <c r="F118" s="54"/>
      <c r="G118" s="54"/>
      <c r="H118" s="54"/>
      <c r="I118" s="54"/>
    </row>
    <row r="119" spans="1:9" s="5" customFormat="1" ht="15" customHeight="1" x14ac:dyDescent="0.25">
      <c r="A119" s="63" t="s">
        <v>204</v>
      </c>
      <c r="B119" s="56" t="s">
        <v>63</v>
      </c>
      <c r="C119" s="56">
        <f>VLOOKUP(kompl[[#This Row],[name_furn]],furn[],3,0)</f>
        <v>27</v>
      </c>
      <c r="D119" s="57" t="s">
        <v>34</v>
      </c>
      <c r="E119" s="58">
        <v>4</v>
      </c>
      <c r="F119" s="54" t="s">
        <v>306</v>
      </c>
      <c r="G119" s="57" t="s">
        <v>34</v>
      </c>
      <c r="H119" s="58">
        <v>6</v>
      </c>
      <c r="I119" s="54"/>
    </row>
    <row r="120" spans="1:9" s="5" customFormat="1" ht="15" customHeight="1" x14ac:dyDescent="0.25">
      <c r="A120" s="63" t="s">
        <v>204</v>
      </c>
      <c r="B120" s="56" t="s">
        <v>63</v>
      </c>
      <c r="C120" s="56">
        <f>VLOOKUP(kompl[[#This Row],[name_furn]],furn[],3,0)</f>
        <v>42</v>
      </c>
      <c r="D120" s="57" t="s">
        <v>41</v>
      </c>
      <c r="E120" s="58">
        <v>1</v>
      </c>
      <c r="F120" s="54"/>
      <c r="G120" s="54"/>
      <c r="H120" s="54"/>
      <c r="I120" s="54"/>
    </row>
    <row r="121" spans="1:9" s="5" customFormat="1" ht="15" customHeight="1" x14ac:dyDescent="0.25">
      <c r="A121" s="63" t="s">
        <v>204</v>
      </c>
      <c r="B121" s="56" t="s">
        <v>64</v>
      </c>
      <c r="C121" s="56">
        <f>VLOOKUP(kompl[[#This Row],[name_furn]],furn[],3,0)</f>
        <v>28</v>
      </c>
      <c r="D121" s="57" t="s">
        <v>35</v>
      </c>
      <c r="E121" s="58">
        <v>4</v>
      </c>
      <c r="F121" s="54" t="s">
        <v>306</v>
      </c>
      <c r="G121" s="57" t="s">
        <v>35</v>
      </c>
      <c r="H121" s="54">
        <v>6</v>
      </c>
      <c r="I121" s="54"/>
    </row>
    <row r="122" spans="1:9" s="5" customFormat="1" ht="15" customHeight="1" x14ac:dyDescent="0.25">
      <c r="A122" s="63" t="s">
        <v>204</v>
      </c>
      <c r="B122" s="56" t="s">
        <v>64</v>
      </c>
      <c r="C122" s="56">
        <f>VLOOKUP(kompl[[#This Row],[name_furn]],furn[],3,0)</f>
        <v>42</v>
      </c>
      <c r="D122" s="57" t="s">
        <v>41</v>
      </c>
      <c r="E122" s="58">
        <v>1</v>
      </c>
      <c r="F122" s="54"/>
      <c r="G122" s="54"/>
      <c r="H122" s="54"/>
      <c r="I122" s="54"/>
    </row>
    <row r="123" spans="1:9" s="5" customFormat="1" ht="15" customHeight="1" x14ac:dyDescent="0.25">
      <c r="A123" s="63" t="s">
        <v>204</v>
      </c>
      <c r="B123" s="59" t="s">
        <v>65</v>
      </c>
      <c r="C123" s="56">
        <f>VLOOKUP(kompl[[#This Row],[name_furn]],furn[],3,0)</f>
        <v>28</v>
      </c>
      <c r="D123" s="57" t="s">
        <v>35</v>
      </c>
      <c r="E123" s="58">
        <v>4</v>
      </c>
      <c r="F123" s="54" t="s">
        <v>306</v>
      </c>
      <c r="G123" s="57" t="s">
        <v>35</v>
      </c>
      <c r="H123" s="54">
        <v>6</v>
      </c>
      <c r="I123" s="54"/>
    </row>
    <row r="124" spans="1:9" s="5" customFormat="1" ht="15" customHeight="1" x14ac:dyDescent="0.25">
      <c r="A124" s="63" t="s">
        <v>204</v>
      </c>
      <c r="B124" s="59" t="s">
        <v>65</v>
      </c>
      <c r="C124" s="56">
        <f>VLOOKUP(kompl[[#This Row],[name_furn]],furn[],3,0)</f>
        <v>42</v>
      </c>
      <c r="D124" s="57" t="s">
        <v>41</v>
      </c>
      <c r="E124" s="58">
        <v>1</v>
      </c>
      <c r="F124" s="54"/>
      <c r="G124" s="54"/>
      <c r="H124" s="54"/>
      <c r="I124" s="54"/>
    </row>
    <row r="125" spans="1:9" s="5" customFormat="1" ht="15" customHeight="1" x14ac:dyDescent="0.25">
      <c r="A125" s="63" t="s">
        <v>206</v>
      </c>
      <c r="B125" s="56" t="s">
        <v>63</v>
      </c>
      <c r="C125" s="56">
        <f>VLOOKUP(kompl[[#This Row],[name_furn]],furn[],3,0)</f>
        <v>27</v>
      </c>
      <c r="D125" s="57" t="s">
        <v>34</v>
      </c>
      <c r="E125" s="58">
        <v>4</v>
      </c>
      <c r="F125" s="54" t="s">
        <v>306</v>
      </c>
      <c r="G125" s="57" t="s">
        <v>34</v>
      </c>
      <c r="H125" s="58">
        <v>6</v>
      </c>
      <c r="I125" s="54"/>
    </row>
    <row r="126" spans="1:9" s="5" customFormat="1" ht="15" customHeight="1" x14ac:dyDescent="0.25">
      <c r="A126" s="63" t="s">
        <v>206</v>
      </c>
      <c r="B126" s="56" t="s">
        <v>63</v>
      </c>
      <c r="C126" s="56">
        <f>VLOOKUP(kompl[[#This Row],[name_furn]],furn[],3,0)</f>
        <v>44</v>
      </c>
      <c r="D126" s="57" t="s">
        <v>42</v>
      </c>
      <c r="E126" s="58">
        <v>1</v>
      </c>
      <c r="F126" s="54"/>
      <c r="G126" s="54"/>
      <c r="H126" s="54"/>
      <c r="I126" s="54"/>
    </row>
    <row r="127" spans="1:9" s="5" customFormat="1" ht="15" customHeight="1" x14ac:dyDescent="0.25">
      <c r="A127" s="63" t="s">
        <v>206</v>
      </c>
      <c r="B127" s="56" t="s">
        <v>64</v>
      </c>
      <c r="C127" s="56">
        <f>VLOOKUP(kompl[[#This Row],[name_furn]],furn[],3,0)</f>
        <v>28</v>
      </c>
      <c r="D127" s="57" t="s">
        <v>35</v>
      </c>
      <c r="E127" s="58">
        <v>4</v>
      </c>
      <c r="F127" s="54" t="s">
        <v>306</v>
      </c>
      <c r="G127" s="57" t="s">
        <v>35</v>
      </c>
      <c r="H127" s="54">
        <v>6</v>
      </c>
      <c r="I127" s="54"/>
    </row>
    <row r="128" spans="1:9" s="5" customFormat="1" ht="15" customHeight="1" x14ac:dyDescent="0.25">
      <c r="A128" s="63" t="s">
        <v>206</v>
      </c>
      <c r="B128" s="56" t="s">
        <v>64</v>
      </c>
      <c r="C128" s="56">
        <f>VLOOKUP(kompl[[#This Row],[name_furn]],furn[],3,0)</f>
        <v>44</v>
      </c>
      <c r="D128" s="57" t="s">
        <v>42</v>
      </c>
      <c r="E128" s="58">
        <v>1</v>
      </c>
      <c r="F128" s="54"/>
      <c r="G128" s="54"/>
      <c r="H128" s="54"/>
      <c r="I128" s="54"/>
    </row>
    <row r="129" spans="1:9" s="5" customFormat="1" ht="15" customHeight="1" x14ac:dyDescent="0.25">
      <c r="A129" s="63" t="s">
        <v>206</v>
      </c>
      <c r="B129" s="59" t="s">
        <v>65</v>
      </c>
      <c r="C129" s="56">
        <f>VLOOKUP(kompl[[#This Row],[name_furn]],furn[],3,0)</f>
        <v>28</v>
      </c>
      <c r="D129" s="57" t="s">
        <v>35</v>
      </c>
      <c r="E129" s="58">
        <v>4</v>
      </c>
      <c r="F129" s="54" t="s">
        <v>306</v>
      </c>
      <c r="G129" s="57" t="s">
        <v>35</v>
      </c>
      <c r="H129" s="54">
        <v>6</v>
      </c>
      <c r="I129" s="54"/>
    </row>
    <row r="130" spans="1:9" s="5" customFormat="1" ht="15" customHeight="1" x14ac:dyDescent="0.25">
      <c r="A130" s="63" t="s">
        <v>206</v>
      </c>
      <c r="B130" s="59" t="s">
        <v>65</v>
      </c>
      <c r="C130" s="56">
        <f>VLOOKUP(kompl[[#This Row],[name_furn]],furn[],3,0)</f>
        <v>44</v>
      </c>
      <c r="D130" s="57" t="s">
        <v>42</v>
      </c>
      <c r="E130" s="58">
        <v>1</v>
      </c>
      <c r="F130" s="54"/>
      <c r="G130" s="54"/>
      <c r="H130" s="54"/>
      <c r="I130" s="54"/>
    </row>
    <row r="131" spans="1:9" s="5" customFormat="1" ht="15" customHeight="1" x14ac:dyDescent="0.25">
      <c r="A131" s="63" t="s">
        <v>208</v>
      </c>
      <c r="B131" s="56" t="s">
        <v>63</v>
      </c>
      <c r="C131" s="56">
        <f>VLOOKUP(kompl[[#This Row],[name_furn]],furn[],3,0)</f>
        <v>27</v>
      </c>
      <c r="D131" s="57" t="s">
        <v>34</v>
      </c>
      <c r="E131" s="58">
        <v>4</v>
      </c>
      <c r="F131" s="54" t="s">
        <v>306</v>
      </c>
      <c r="G131" s="57" t="s">
        <v>34</v>
      </c>
      <c r="H131" s="58">
        <v>6</v>
      </c>
      <c r="I131" s="54"/>
    </row>
    <row r="132" spans="1:9" s="5" customFormat="1" ht="15" customHeight="1" x14ac:dyDescent="0.25">
      <c r="A132" s="63" t="s">
        <v>208</v>
      </c>
      <c r="B132" s="56" t="s">
        <v>63</v>
      </c>
      <c r="C132" s="56">
        <f>VLOOKUP(kompl[[#This Row],[name_furn]],furn[],3,0)</f>
        <v>45</v>
      </c>
      <c r="D132" s="57" t="s">
        <v>43</v>
      </c>
      <c r="E132" s="58">
        <v>1</v>
      </c>
      <c r="F132" s="54"/>
      <c r="G132" s="54"/>
      <c r="H132" s="54"/>
      <c r="I132" s="54"/>
    </row>
    <row r="133" spans="1:9" s="5" customFormat="1" ht="15" customHeight="1" x14ac:dyDescent="0.25">
      <c r="A133" s="63" t="s">
        <v>208</v>
      </c>
      <c r="B133" s="56" t="s">
        <v>64</v>
      </c>
      <c r="C133" s="56">
        <f>VLOOKUP(kompl[[#This Row],[name_furn]],furn[],3,0)</f>
        <v>28</v>
      </c>
      <c r="D133" s="57" t="s">
        <v>35</v>
      </c>
      <c r="E133" s="58">
        <v>4</v>
      </c>
      <c r="F133" s="54" t="s">
        <v>306</v>
      </c>
      <c r="G133" s="57" t="s">
        <v>35</v>
      </c>
      <c r="H133" s="54">
        <v>6</v>
      </c>
      <c r="I133" s="54"/>
    </row>
    <row r="134" spans="1:9" s="5" customFormat="1" ht="15" customHeight="1" x14ac:dyDescent="0.25">
      <c r="A134" s="63" t="s">
        <v>208</v>
      </c>
      <c r="B134" s="56" t="s">
        <v>64</v>
      </c>
      <c r="C134" s="56">
        <f>VLOOKUP(kompl[[#This Row],[name_furn]],furn[],3,0)</f>
        <v>45</v>
      </c>
      <c r="D134" s="57" t="s">
        <v>43</v>
      </c>
      <c r="E134" s="58">
        <v>1</v>
      </c>
      <c r="F134" s="54"/>
      <c r="G134" s="54"/>
      <c r="H134" s="54"/>
      <c r="I134" s="54"/>
    </row>
    <row r="135" spans="1:9" s="5" customFormat="1" ht="15" customHeight="1" x14ac:dyDescent="0.25">
      <c r="A135" s="63" t="s">
        <v>208</v>
      </c>
      <c r="B135" s="59" t="s">
        <v>65</v>
      </c>
      <c r="C135" s="56">
        <f>VLOOKUP(kompl[[#This Row],[name_furn]],furn[],3,0)</f>
        <v>28</v>
      </c>
      <c r="D135" s="57" t="s">
        <v>35</v>
      </c>
      <c r="E135" s="58">
        <v>4</v>
      </c>
      <c r="F135" s="54" t="s">
        <v>306</v>
      </c>
      <c r="G135" s="57" t="s">
        <v>35</v>
      </c>
      <c r="H135" s="54">
        <v>6</v>
      </c>
      <c r="I135" s="54"/>
    </row>
    <row r="136" spans="1:9" s="5" customFormat="1" ht="15" customHeight="1" x14ac:dyDescent="0.25">
      <c r="A136" s="63" t="s">
        <v>208</v>
      </c>
      <c r="B136" s="59" t="s">
        <v>65</v>
      </c>
      <c r="C136" s="56">
        <f>VLOOKUP(kompl[[#This Row],[name_furn]],furn[],3,0)</f>
        <v>45</v>
      </c>
      <c r="D136" s="57" t="s">
        <v>43</v>
      </c>
      <c r="E136" s="58">
        <v>1</v>
      </c>
      <c r="F136" s="54"/>
      <c r="G136" s="54"/>
      <c r="H136" s="54"/>
      <c r="I136" s="54"/>
    </row>
    <row r="137" spans="1:9" s="5" customFormat="1" ht="15" customHeight="1" x14ac:dyDescent="0.25">
      <c r="A137" s="63" t="s">
        <v>210</v>
      </c>
      <c r="B137" s="56" t="s">
        <v>63</v>
      </c>
      <c r="C137" s="56">
        <f>VLOOKUP(kompl[[#This Row],[name_furn]],furn[],3,0)</f>
        <v>43</v>
      </c>
      <c r="D137" s="57" t="s">
        <v>40</v>
      </c>
      <c r="E137" s="58">
        <v>1</v>
      </c>
      <c r="F137" s="54"/>
      <c r="G137" s="54"/>
      <c r="H137" s="54"/>
      <c r="I137" s="54"/>
    </row>
    <row r="138" spans="1:9" s="5" customFormat="1" ht="15" customHeight="1" x14ac:dyDescent="0.25">
      <c r="A138" s="63" t="s">
        <v>210</v>
      </c>
      <c r="B138" s="56" t="s">
        <v>63</v>
      </c>
      <c r="C138" s="56">
        <f>VLOOKUP(kompl[[#This Row],[name_furn]],furn[],3,0)</f>
        <v>51</v>
      </c>
      <c r="D138" s="57" t="s">
        <v>47</v>
      </c>
      <c r="E138" s="58">
        <v>1</v>
      </c>
      <c r="F138" s="54"/>
      <c r="G138" s="54"/>
      <c r="H138" s="54"/>
      <c r="I138" s="54"/>
    </row>
    <row r="139" spans="1:9" s="5" customFormat="1" ht="15" customHeight="1" x14ac:dyDescent="0.25">
      <c r="A139" s="66" t="s">
        <v>212</v>
      </c>
      <c r="B139" s="56" t="s">
        <v>63</v>
      </c>
      <c r="C139" s="56">
        <f>VLOOKUP(kompl[[#This Row],[name_furn]],furn[],3,0)</f>
        <v>48</v>
      </c>
      <c r="D139" s="64" t="s">
        <v>44</v>
      </c>
      <c r="E139" s="58">
        <v>1</v>
      </c>
      <c r="F139" s="54" t="s">
        <v>305</v>
      </c>
      <c r="G139" s="54" t="s">
        <v>293</v>
      </c>
      <c r="H139" s="54">
        <v>1</v>
      </c>
      <c r="I139" s="54"/>
    </row>
    <row r="140" spans="1:9" s="5" customFormat="1" ht="15" customHeight="1" x14ac:dyDescent="0.25">
      <c r="A140" s="66" t="s">
        <v>212</v>
      </c>
      <c r="B140" s="56" t="s">
        <v>63</v>
      </c>
      <c r="C140" s="56">
        <f>VLOOKUP(kompl[[#This Row],[name_furn]],furn[],3,0)</f>
        <v>43</v>
      </c>
      <c r="D140" s="57" t="s">
        <v>40</v>
      </c>
      <c r="E140" s="58">
        <v>1</v>
      </c>
      <c r="F140" s="54"/>
      <c r="G140" s="54"/>
      <c r="H140" s="54"/>
      <c r="I140" s="54"/>
    </row>
    <row r="141" spans="1:9" s="5" customFormat="1" ht="15" customHeight="1" x14ac:dyDescent="0.25">
      <c r="A141" s="66" t="s">
        <v>214</v>
      </c>
      <c r="B141" s="56" t="s">
        <v>63</v>
      </c>
      <c r="C141" s="56">
        <f>VLOOKUP(kompl[[#This Row],[name_furn]],furn[],3,0)</f>
        <v>48</v>
      </c>
      <c r="D141" s="64" t="s">
        <v>44</v>
      </c>
      <c r="E141" s="58">
        <v>1</v>
      </c>
      <c r="F141" s="54" t="s">
        <v>305</v>
      </c>
      <c r="G141" s="54" t="s">
        <v>293</v>
      </c>
      <c r="H141" s="54">
        <v>1</v>
      </c>
      <c r="I141" s="54"/>
    </row>
    <row r="142" spans="1:9" s="5" customFormat="1" ht="15" customHeight="1" x14ac:dyDescent="0.25">
      <c r="A142" s="66" t="s">
        <v>214</v>
      </c>
      <c r="B142" s="56" t="s">
        <v>63</v>
      </c>
      <c r="C142" s="56">
        <f>VLOOKUP(kompl[[#This Row],[name_furn]],furn[],3,0)</f>
        <v>42</v>
      </c>
      <c r="D142" s="57" t="s">
        <v>41</v>
      </c>
      <c r="E142" s="58">
        <v>1</v>
      </c>
      <c r="F142" s="54"/>
      <c r="G142" s="54"/>
      <c r="H142" s="54"/>
      <c r="I142" s="54"/>
    </row>
    <row r="143" spans="1:9" s="5" customFormat="1" ht="15" customHeight="1" x14ac:dyDescent="0.25">
      <c r="A143" s="66" t="s">
        <v>216</v>
      </c>
      <c r="B143" s="56" t="s">
        <v>63</v>
      </c>
      <c r="C143" s="56">
        <f>VLOOKUP(kompl[[#This Row],[name_furn]],furn[],3,0)</f>
        <v>48</v>
      </c>
      <c r="D143" s="64" t="s">
        <v>44</v>
      </c>
      <c r="E143" s="58">
        <v>1</v>
      </c>
      <c r="F143" s="54" t="s">
        <v>305</v>
      </c>
      <c r="G143" s="54" t="s">
        <v>293</v>
      </c>
      <c r="H143" s="54">
        <v>1</v>
      </c>
      <c r="I143" s="54"/>
    </row>
    <row r="144" spans="1:9" s="5" customFormat="1" ht="15" customHeight="1" x14ac:dyDescent="0.25">
      <c r="A144" s="66" t="s">
        <v>216</v>
      </c>
      <c r="B144" s="56" t="s">
        <v>63</v>
      </c>
      <c r="C144" s="56">
        <f>VLOOKUP(kompl[[#This Row],[name_furn]],furn[],3,0)</f>
        <v>45</v>
      </c>
      <c r="D144" s="57" t="s">
        <v>43</v>
      </c>
      <c r="E144" s="58">
        <v>1</v>
      </c>
      <c r="F144" s="54"/>
      <c r="G144" s="54"/>
      <c r="H144" s="54"/>
      <c r="I144" s="54"/>
    </row>
    <row r="145" spans="1:9" s="5" customFormat="1" ht="15" customHeight="1" x14ac:dyDescent="0.25">
      <c r="A145" s="63" t="s">
        <v>218</v>
      </c>
      <c r="B145" s="56" t="s">
        <v>63</v>
      </c>
      <c r="C145" s="56">
        <f>VLOOKUP(kompl[[#This Row],[name_furn]],furn[],3,0)</f>
        <v>27</v>
      </c>
      <c r="D145" s="57" t="s">
        <v>34</v>
      </c>
      <c r="E145" s="58">
        <v>2</v>
      </c>
      <c r="F145" s="54" t="s">
        <v>302</v>
      </c>
      <c r="G145" s="57" t="s">
        <v>34</v>
      </c>
      <c r="H145" s="54">
        <v>3</v>
      </c>
      <c r="I145" s="54"/>
    </row>
    <row r="146" spans="1:9" s="5" customFormat="1" ht="15" customHeight="1" x14ac:dyDescent="0.25">
      <c r="A146" s="63" t="s">
        <v>218</v>
      </c>
      <c r="B146" s="56" t="s">
        <v>64</v>
      </c>
      <c r="C146" s="56">
        <f>VLOOKUP(kompl[[#This Row],[name_furn]],furn[],3,0)</f>
        <v>28</v>
      </c>
      <c r="D146" s="57" t="s">
        <v>35</v>
      </c>
      <c r="E146" s="58">
        <v>2</v>
      </c>
      <c r="F146" s="54" t="s">
        <v>302</v>
      </c>
      <c r="G146" s="57" t="s">
        <v>35</v>
      </c>
      <c r="H146" s="54">
        <v>3</v>
      </c>
      <c r="I146" s="54"/>
    </row>
    <row r="147" spans="1:9" s="5" customFormat="1" ht="15" customHeight="1" x14ac:dyDescent="0.25">
      <c r="A147" s="63" t="s">
        <v>218</v>
      </c>
      <c r="B147" s="59" t="s">
        <v>65</v>
      </c>
      <c r="C147" s="56">
        <f>VLOOKUP(kompl[[#This Row],[name_furn]],furn[],3,0)</f>
        <v>28</v>
      </c>
      <c r="D147" s="57" t="s">
        <v>35</v>
      </c>
      <c r="E147" s="58">
        <v>2</v>
      </c>
      <c r="F147" s="54" t="s">
        <v>302</v>
      </c>
      <c r="G147" s="57" t="s">
        <v>35</v>
      </c>
      <c r="H147" s="54">
        <v>3</v>
      </c>
      <c r="I147" s="54"/>
    </row>
    <row r="148" spans="1:9" s="5" customFormat="1" ht="15" customHeight="1" x14ac:dyDescent="0.25">
      <c r="A148" s="63" t="s">
        <v>220</v>
      </c>
      <c r="B148" s="56" t="s">
        <v>63</v>
      </c>
      <c r="C148" s="56">
        <f>VLOOKUP(kompl[[#This Row],[name_furn]],furn[],3,0)</f>
        <v>27</v>
      </c>
      <c r="D148" s="57" t="s">
        <v>34</v>
      </c>
      <c r="E148" s="58">
        <v>2</v>
      </c>
      <c r="F148" s="54" t="s">
        <v>306</v>
      </c>
      <c r="G148" s="57" t="s">
        <v>34</v>
      </c>
      <c r="H148" s="58">
        <v>3</v>
      </c>
      <c r="I148" s="54"/>
    </row>
    <row r="149" spans="1:9" s="5" customFormat="1" ht="15" customHeight="1" x14ac:dyDescent="0.25">
      <c r="A149" s="63" t="s">
        <v>220</v>
      </c>
      <c r="B149" s="56" t="s">
        <v>64</v>
      </c>
      <c r="C149" s="56">
        <f>VLOOKUP(kompl[[#This Row],[name_furn]],furn[],3,0)</f>
        <v>28</v>
      </c>
      <c r="D149" s="57" t="s">
        <v>35</v>
      </c>
      <c r="E149" s="58">
        <v>2</v>
      </c>
      <c r="F149" s="54" t="s">
        <v>306</v>
      </c>
      <c r="G149" s="57" t="s">
        <v>35</v>
      </c>
      <c r="H149" s="58">
        <v>3</v>
      </c>
      <c r="I149" s="54"/>
    </row>
    <row r="150" spans="1:9" s="5" customFormat="1" ht="15" customHeight="1" x14ac:dyDescent="0.25">
      <c r="A150" s="63" t="s">
        <v>222</v>
      </c>
      <c r="B150" s="56" t="s">
        <v>63</v>
      </c>
      <c r="C150" s="56">
        <f>VLOOKUP(kompl[[#This Row],[name_furn]],furn[],3,0)</f>
        <v>27</v>
      </c>
      <c r="D150" s="57" t="s">
        <v>34</v>
      </c>
      <c r="E150" s="58">
        <v>4</v>
      </c>
      <c r="F150" s="54" t="s">
        <v>306</v>
      </c>
      <c r="G150" s="57" t="s">
        <v>34</v>
      </c>
      <c r="H150" s="58">
        <v>6</v>
      </c>
      <c r="I150" s="54"/>
    </row>
    <row r="151" spans="1:9" s="5" customFormat="1" ht="15" customHeight="1" x14ac:dyDescent="0.25">
      <c r="A151" s="63" t="s">
        <v>222</v>
      </c>
      <c r="B151" s="56" t="s">
        <v>64</v>
      </c>
      <c r="C151" s="56">
        <f>VLOOKUP(kompl[[#This Row],[name_furn]],furn[],3,0)</f>
        <v>28</v>
      </c>
      <c r="D151" s="57" t="s">
        <v>35</v>
      </c>
      <c r="E151" s="58">
        <v>4</v>
      </c>
      <c r="F151" s="54" t="s">
        <v>306</v>
      </c>
      <c r="G151" s="57" t="s">
        <v>35</v>
      </c>
      <c r="H151" s="58">
        <v>6</v>
      </c>
      <c r="I151" s="54"/>
    </row>
    <row r="152" spans="1:9" s="5" customFormat="1" ht="15" customHeight="1" x14ac:dyDescent="0.25">
      <c r="A152" s="63" t="s">
        <v>224</v>
      </c>
      <c r="B152" s="56" t="s">
        <v>63</v>
      </c>
      <c r="C152" s="56">
        <f>VLOOKUP(kompl[[#This Row],[name_furn]],furn[],3,0)</f>
        <v>51</v>
      </c>
      <c r="D152" s="57" t="s">
        <v>47</v>
      </c>
      <c r="E152" s="58">
        <v>1</v>
      </c>
      <c r="F152" s="54"/>
      <c r="G152" s="54"/>
      <c r="H152" s="54"/>
      <c r="I152" s="54"/>
    </row>
    <row r="153" spans="1:9" s="5" customFormat="1" ht="15" customHeight="1" x14ac:dyDescent="0.25">
      <c r="A153" s="63" t="s">
        <v>226</v>
      </c>
      <c r="B153" s="56" t="s">
        <v>63</v>
      </c>
      <c r="C153" s="56">
        <f>VLOOKUP(kompl[[#This Row],[name_furn]],furn[],3,0)</f>
        <v>29</v>
      </c>
      <c r="D153" s="57" t="s">
        <v>36</v>
      </c>
      <c r="E153" s="58">
        <v>2</v>
      </c>
      <c r="F153" s="54" t="s">
        <v>306</v>
      </c>
      <c r="G153" s="57" t="s">
        <v>36</v>
      </c>
      <c r="H153" s="58">
        <v>2</v>
      </c>
      <c r="I153" s="54"/>
    </row>
    <row r="154" spans="1:9" s="5" customFormat="1" ht="15" customHeight="1" x14ac:dyDescent="0.25">
      <c r="A154" s="63" t="s">
        <v>226</v>
      </c>
      <c r="B154" s="56" t="s">
        <v>64</v>
      </c>
      <c r="C154" s="56">
        <f>VLOOKUP(kompl[[#This Row],[name_furn]],furn[],3,0)</f>
        <v>30</v>
      </c>
      <c r="D154" s="57" t="s">
        <v>37</v>
      </c>
      <c r="E154" s="58">
        <v>2</v>
      </c>
      <c r="F154" s="54" t="s">
        <v>306</v>
      </c>
      <c r="G154" s="57" t="s">
        <v>37</v>
      </c>
      <c r="H154" s="58">
        <v>2</v>
      </c>
      <c r="I154" s="54"/>
    </row>
    <row r="155" spans="1:9" s="5" customFormat="1" ht="15" customHeight="1" x14ac:dyDescent="0.25">
      <c r="A155" s="65" t="s">
        <v>229</v>
      </c>
      <c r="B155" s="56" t="s">
        <v>63</v>
      </c>
      <c r="C155" s="56">
        <f>VLOOKUP(kompl[[#This Row],[name_furn]],furn[],3,0)</f>
        <v>40</v>
      </c>
      <c r="D155" s="57" t="s">
        <v>312</v>
      </c>
      <c r="E155" s="58">
        <v>2</v>
      </c>
      <c r="F155" s="54"/>
      <c r="G155" s="54"/>
      <c r="H155" s="54"/>
      <c r="I155" s="54"/>
    </row>
    <row r="156" spans="1:9" s="5" customFormat="1" ht="15" customHeight="1" x14ac:dyDescent="0.25">
      <c r="A156" s="65" t="s">
        <v>229</v>
      </c>
      <c r="B156" s="56" t="s">
        <v>64</v>
      </c>
      <c r="C156" s="56">
        <f>VLOOKUP(kompl[[#This Row],[name_furn]],furn[],3,0)</f>
        <v>41</v>
      </c>
      <c r="D156" s="57" t="s">
        <v>39</v>
      </c>
      <c r="E156" s="58">
        <v>2</v>
      </c>
      <c r="F156" s="54"/>
      <c r="G156" s="54"/>
      <c r="H156" s="54"/>
      <c r="I156" s="54"/>
    </row>
    <row r="157" spans="1:9" s="5" customFormat="1" ht="15" customHeight="1" x14ac:dyDescent="0.25">
      <c r="A157" s="65" t="s">
        <v>229</v>
      </c>
      <c r="B157" s="59" t="s">
        <v>65</v>
      </c>
      <c r="C157" s="56">
        <f>VLOOKUP(kompl[[#This Row],[name_furn]],furn[],3,0)</f>
        <v>41</v>
      </c>
      <c r="D157" s="57" t="s">
        <v>39</v>
      </c>
      <c r="E157" s="58">
        <v>2</v>
      </c>
      <c r="F157" s="54"/>
      <c r="G157" s="54"/>
      <c r="H157" s="54"/>
      <c r="I157" s="54"/>
    </row>
    <row r="158" spans="1:9" s="5" customFormat="1" ht="15" customHeight="1" x14ac:dyDescent="0.25">
      <c r="A158" s="63" t="s">
        <v>231</v>
      </c>
      <c r="B158" s="56" t="s">
        <v>63</v>
      </c>
      <c r="C158" s="56">
        <f>VLOOKUP(kompl[[#This Row],[name_furn]],furn[],3,0)</f>
        <v>27</v>
      </c>
      <c r="D158" s="57" t="s">
        <v>34</v>
      </c>
      <c r="E158" s="58">
        <v>3</v>
      </c>
      <c r="F158" s="54"/>
      <c r="G158" s="54"/>
      <c r="H158" s="54"/>
      <c r="I158" s="54"/>
    </row>
    <row r="159" spans="1:9" s="5" customFormat="1" ht="15" customHeight="1" x14ac:dyDescent="0.25">
      <c r="A159" s="63" t="s">
        <v>231</v>
      </c>
      <c r="B159" s="56" t="s">
        <v>64</v>
      </c>
      <c r="C159" s="56">
        <f>VLOOKUP(kompl[[#This Row],[name_furn]],furn[],3,0)</f>
        <v>28</v>
      </c>
      <c r="D159" s="57" t="s">
        <v>35</v>
      </c>
      <c r="E159" s="58">
        <v>3</v>
      </c>
      <c r="F159" s="54"/>
      <c r="G159" s="54"/>
      <c r="H159" s="54"/>
      <c r="I159" s="54"/>
    </row>
    <row r="160" spans="1:9" s="5" customFormat="1" ht="15" customHeight="1" x14ac:dyDescent="0.25">
      <c r="A160" s="63" t="s">
        <v>231</v>
      </c>
      <c r="B160" s="59" t="s">
        <v>65</v>
      </c>
      <c r="C160" s="56">
        <f>VLOOKUP(kompl[[#This Row],[name_furn]],furn[],3,0)</f>
        <v>28</v>
      </c>
      <c r="D160" s="57" t="s">
        <v>35</v>
      </c>
      <c r="E160" s="58">
        <v>3</v>
      </c>
      <c r="F160" s="54"/>
      <c r="G160" s="54"/>
      <c r="H160" s="54"/>
      <c r="I160" s="54"/>
    </row>
    <row r="161" spans="1:9" s="5" customFormat="1" ht="15" customHeight="1" x14ac:dyDescent="0.25">
      <c r="A161" s="63" t="s">
        <v>234</v>
      </c>
      <c r="B161" s="56" t="s">
        <v>63</v>
      </c>
      <c r="C161" s="56">
        <f>VLOOKUP(kompl[[#This Row],[name_furn]],furn[],3,0)</f>
        <v>27</v>
      </c>
      <c r="D161" s="57" t="s">
        <v>34</v>
      </c>
      <c r="E161" s="58">
        <v>3</v>
      </c>
      <c r="F161" s="54"/>
      <c r="G161" s="54"/>
      <c r="H161" s="54"/>
      <c r="I161" s="54"/>
    </row>
    <row r="162" spans="1:9" s="5" customFormat="1" ht="15" customHeight="1" x14ac:dyDescent="0.25">
      <c r="A162" s="63" t="s">
        <v>236</v>
      </c>
      <c r="B162" s="56" t="s">
        <v>63</v>
      </c>
      <c r="C162" s="56">
        <f>VLOOKUP(kompl[[#This Row],[name_furn]],furn[],3,0)</f>
        <v>27</v>
      </c>
      <c r="D162" s="57" t="s">
        <v>34</v>
      </c>
      <c r="E162" s="58">
        <v>2</v>
      </c>
      <c r="F162" s="54"/>
      <c r="G162" s="54"/>
      <c r="H162" s="54"/>
      <c r="I162" s="54"/>
    </row>
    <row r="163" spans="1:9" s="5" customFormat="1" ht="15" customHeight="1" x14ac:dyDescent="0.25">
      <c r="A163" s="63" t="s">
        <v>236</v>
      </c>
      <c r="B163" s="56" t="s">
        <v>64</v>
      </c>
      <c r="C163" s="56">
        <f>VLOOKUP(kompl[[#This Row],[name_furn]],furn[],3,0)</f>
        <v>28</v>
      </c>
      <c r="D163" s="57" t="s">
        <v>35</v>
      </c>
      <c r="E163" s="58">
        <v>2</v>
      </c>
      <c r="F163" s="54"/>
      <c r="G163" s="54"/>
      <c r="H163" s="54"/>
      <c r="I163" s="54"/>
    </row>
    <row r="164" spans="1:9" s="5" customFormat="1" ht="15" customHeight="1" x14ac:dyDescent="0.25">
      <c r="A164" s="63" t="s">
        <v>236</v>
      </c>
      <c r="B164" s="59" t="s">
        <v>65</v>
      </c>
      <c r="C164" s="56">
        <f>VLOOKUP(kompl[[#This Row],[name_furn]],furn[],3,0)</f>
        <v>28</v>
      </c>
      <c r="D164" s="57" t="s">
        <v>35</v>
      </c>
      <c r="E164" s="58">
        <v>2</v>
      </c>
      <c r="F164" s="54"/>
      <c r="G164" s="54"/>
      <c r="H164" s="54"/>
      <c r="I164" s="54"/>
    </row>
    <row r="165" spans="1:9" s="5" customFormat="1" ht="15" customHeight="1" x14ac:dyDescent="0.25">
      <c r="A165" s="63" t="s">
        <v>239</v>
      </c>
      <c r="B165" s="56" t="s">
        <v>63</v>
      </c>
      <c r="C165" s="56">
        <f>VLOOKUP(kompl[[#This Row],[name_furn]],furn[],3,0)</f>
        <v>27</v>
      </c>
      <c r="D165" s="57" t="s">
        <v>34</v>
      </c>
      <c r="E165" s="58">
        <v>2</v>
      </c>
      <c r="F165" s="54"/>
      <c r="G165" s="54"/>
      <c r="H165" s="54"/>
      <c r="I165" s="54"/>
    </row>
    <row r="166" spans="1:9" s="5" customFormat="1" ht="15" customHeight="1" x14ac:dyDescent="0.25">
      <c r="A166" s="63" t="s">
        <v>239</v>
      </c>
      <c r="B166" s="56" t="s">
        <v>64</v>
      </c>
      <c r="C166" s="56">
        <f>VLOOKUP(kompl[[#This Row],[name_furn]],furn[],3,0)</f>
        <v>28</v>
      </c>
      <c r="D166" s="57" t="s">
        <v>35</v>
      </c>
      <c r="E166" s="58">
        <v>2</v>
      </c>
      <c r="F166" s="54"/>
      <c r="G166" s="54"/>
      <c r="H166" s="54"/>
      <c r="I166" s="54"/>
    </row>
    <row r="167" spans="1:9" s="5" customFormat="1" ht="15" customHeight="1" x14ac:dyDescent="0.25">
      <c r="A167" s="63" t="s">
        <v>239</v>
      </c>
      <c r="B167" s="59" t="s">
        <v>65</v>
      </c>
      <c r="C167" s="56">
        <f>VLOOKUP(kompl[[#This Row],[name_furn]],furn[],3,0)</f>
        <v>28</v>
      </c>
      <c r="D167" s="57" t="s">
        <v>35</v>
      </c>
      <c r="E167" s="58">
        <v>2</v>
      </c>
      <c r="F167" s="54"/>
      <c r="G167" s="54"/>
      <c r="H167" s="54"/>
      <c r="I167" s="54"/>
    </row>
    <row r="168" spans="1:9" s="5" customFormat="1" ht="15" customHeight="1" x14ac:dyDescent="0.25">
      <c r="A168" s="67" t="s">
        <v>241</v>
      </c>
      <c r="B168" s="56" t="s">
        <v>63</v>
      </c>
      <c r="C168" s="56">
        <f>VLOOKUP(kompl[[#This Row],[name_furn]],furn[],3,0)</f>
        <v>35</v>
      </c>
      <c r="D168" s="57" t="s">
        <v>50</v>
      </c>
      <c r="E168" s="58">
        <v>1</v>
      </c>
      <c r="F168" s="54"/>
      <c r="G168" s="54"/>
      <c r="H168" s="54"/>
      <c r="I168" s="54"/>
    </row>
    <row r="169" spans="1:9" s="5" customFormat="1" ht="15" customHeight="1" x14ac:dyDescent="0.25">
      <c r="A169" s="67" t="s">
        <v>241</v>
      </c>
      <c r="B169" s="56" t="s">
        <v>64</v>
      </c>
      <c r="C169" s="56">
        <f>VLOOKUP(kompl[[#This Row],[name_furn]],furn[],3,0)</f>
        <v>36</v>
      </c>
      <c r="D169" s="57" t="s">
        <v>52</v>
      </c>
      <c r="E169" s="58">
        <v>1</v>
      </c>
      <c r="F169" s="54"/>
      <c r="G169" s="54"/>
      <c r="H169" s="54"/>
      <c r="I169" s="54"/>
    </row>
    <row r="170" spans="1:9" s="5" customFormat="1" ht="15" customHeight="1" x14ac:dyDescent="0.25">
      <c r="A170" s="67" t="s">
        <v>241</v>
      </c>
      <c r="B170" s="56" t="s">
        <v>64</v>
      </c>
      <c r="C170" s="56">
        <f>VLOOKUP(kompl[[#This Row],[name_furn]],furn[],3,0)</f>
        <v>33</v>
      </c>
      <c r="D170" s="57" t="s">
        <v>53</v>
      </c>
      <c r="E170" s="58">
        <v>1</v>
      </c>
      <c r="F170" s="54"/>
      <c r="G170" s="54"/>
      <c r="H170" s="54"/>
      <c r="I170" s="54"/>
    </row>
    <row r="171" spans="1:9" s="5" customFormat="1" ht="15" customHeight="1" x14ac:dyDescent="0.25">
      <c r="A171" s="67" t="s">
        <v>241</v>
      </c>
      <c r="B171" s="59" t="s">
        <v>65</v>
      </c>
      <c r="C171" s="56">
        <f>VLOOKUP(kompl[[#This Row],[name_furn]],furn[],3,0)</f>
        <v>34</v>
      </c>
      <c r="D171" s="57" t="s">
        <v>56</v>
      </c>
      <c r="E171" s="58">
        <v>1</v>
      </c>
      <c r="F171" s="54"/>
      <c r="G171" s="54"/>
      <c r="H171" s="54"/>
      <c r="I171" s="54"/>
    </row>
    <row r="172" spans="1:9" s="5" customFormat="1" ht="15" customHeight="1" x14ac:dyDescent="0.25">
      <c r="A172" s="63" t="s">
        <v>243</v>
      </c>
      <c r="B172" s="56" t="s">
        <v>63</v>
      </c>
      <c r="C172" s="56">
        <f>VLOOKUP(kompl[[#This Row],[name_furn]],furn[],3,0)</f>
        <v>27</v>
      </c>
      <c r="D172" s="57" t="s">
        <v>34</v>
      </c>
      <c r="E172" s="58">
        <v>5</v>
      </c>
      <c r="F172" s="54" t="s">
        <v>298</v>
      </c>
      <c r="G172" s="57" t="s">
        <v>34</v>
      </c>
      <c r="H172" s="58">
        <v>5</v>
      </c>
      <c r="I172" s="54"/>
    </row>
    <row r="173" spans="1:9" s="5" customFormat="1" ht="15" customHeight="1" x14ac:dyDescent="0.25">
      <c r="A173" s="63" t="s">
        <v>243</v>
      </c>
      <c r="B173" s="56" t="s">
        <v>64</v>
      </c>
      <c r="C173" s="56">
        <f>VLOOKUP(kompl[[#This Row],[name_furn]],furn[],3,0)</f>
        <v>28</v>
      </c>
      <c r="D173" s="57" t="s">
        <v>35</v>
      </c>
      <c r="E173" s="58">
        <v>5</v>
      </c>
      <c r="F173" s="54" t="s">
        <v>298</v>
      </c>
      <c r="G173" s="57" t="s">
        <v>35</v>
      </c>
      <c r="H173" s="58">
        <v>5</v>
      </c>
      <c r="I173" s="54"/>
    </row>
    <row r="174" spans="1:9" s="5" customFormat="1" ht="15" customHeight="1" x14ac:dyDescent="0.25">
      <c r="A174" s="63" t="s">
        <v>243</v>
      </c>
      <c r="B174" s="59" t="s">
        <v>65</v>
      </c>
      <c r="C174" s="56">
        <f>VLOOKUP(kompl[[#This Row],[name_furn]],furn[],3,0)</f>
        <v>28</v>
      </c>
      <c r="D174" s="57" t="s">
        <v>35</v>
      </c>
      <c r="E174" s="58">
        <v>5</v>
      </c>
      <c r="F174" s="54" t="s">
        <v>298</v>
      </c>
      <c r="G174" s="57" t="s">
        <v>35</v>
      </c>
      <c r="H174" s="58">
        <v>5</v>
      </c>
      <c r="I174" s="54"/>
    </row>
    <row r="175" spans="1:9" s="5" customFormat="1" ht="15" customHeight="1" x14ac:dyDescent="0.25">
      <c r="A175" s="63" t="s">
        <v>245</v>
      </c>
      <c r="B175" s="56" t="s">
        <v>63</v>
      </c>
      <c r="C175" s="56">
        <f>VLOOKUP(kompl[[#This Row],[name_furn]],furn[],3,0)</f>
        <v>27</v>
      </c>
      <c r="D175" s="57" t="s">
        <v>34</v>
      </c>
      <c r="E175" s="58">
        <v>5</v>
      </c>
      <c r="F175" s="54" t="s">
        <v>300</v>
      </c>
      <c r="G175" s="57" t="s">
        <v>34</v>
      </c>
      <c r="H175" s="58">
        <v>6</v>
      </c>
      <c r="I175" s="54"/>
    </row>
    <row r="176" spans="1:9" s="5" customFormat="1" ht="15" customHeight="1" x14ac:dyDescent="0.25">
      <c r="A176" s="63" t="s">
        <v>247</v>
      </c>
      <c r="B176" s="56" t="s">
        <v>63</v>
      </c>
      <c r="C176" s="56">
        <f>VLOOKUP(kompl[[#This Row],[name_furn]],furn[],3,0)</f>
        <v>27</v>
      </c>
      <c r="D176" s="57" t="s">
        <v>34</v>
      </c>
      <c r="E176" s="58">
        <v>5</v>
      </c>
      <c r="F176" s="54" t="s">
        <v>301</v>
      </c>
      <c r="G176" s="57" t="s">
        <v>34</v>
      </c>
      <c r="H176" s="58">
        <v>6</v>
      </c>
      <c r="I176" s="54"/>
    </row>
    <row r="177" spans="1:9" s="5" customFormat="1" ht="15" customHeight="1" x14ac:dyDescent="0.25">
      <c r="A177" s="63" t="s">
        <v>247</v>
      </c>
      <c r="B177" s="56" t="s">
        <v>64</v>
      </c>
      <c r="C177" s="56">
        <f>VLOOKUP(kompl[[#This Row],[name_furn]],furn[],3,0)</f>
        <v>28</v>
      </c>
      <c r="D177" s="57" t="s">
        <v>35</v>
      </c>
      <c r="E177" s="58">
        <v>5</v>
      </c>
      <c r="F177" s="54" t="s">
        <v>301</v>
      </c>
      <c r="G177" s="57" t="s">
        <v>35</v>
      </c>
      <c r="H177" s="58">
        <v>6</v>
      </c>
      <c r="I177" s="54"/>
    </row>
    <row r="178" spans="1:9" s="5" customFormat="1" ht="15" customHeight="1" x14ac:dyDescent="0.25">
      <c r="A178" s="63" t="s">
        <v>250</v>
      </c>
      <c r="B178" s="56" t="s">
        <v>63</v>
      </c>
      <c r="C178" s="56">
        <f>VLOOKUP(kompl[[#This Row],[name_furn]],furn[],3,0)</f>
        <v>27</v>
      </c>
      <c r="D178" s="57" t="s">
        <v>34</v>
      </c>
      <c r="E178" s="58">
        <v>5</v>
      </c>
      <c r="F178" s="54" t="s">
        <v>301</v>
      </c>
      <c r="G178" s="57" t="s">
        <v>34</v>
      </c>
      <c r="H178" s="54">
        <v>6</v>
      </c>
      <c r="I178" s="54"/>
    </row>
    <row r="179" spans="1:9" s="5" customFormat="1" ht="15" customHeight="1" x14ac:dyDescent="0.25">
      <c r="A179" s="68" t="s">
        <v>252</v>
      </c>
      <c r="B179" s="56" t="s">
        <v>63</v>
      </c>
      <c r="C179" s="56">
        <f>VLOOKUP(kompl[[#This Row],[name_furn]],furn[],3,0)</f>
        <v>31</v>
      </c>
      <c r="D179" s="57" t="s">
        <v>49</v>
      </c>
      <c r="E179" s="58">
        <v>2</v>
      </c>
      <c r="F179" s="54"/>
      <c r="G179" s="54"/>
      <c r="H179" s="54"/>
      <c r="I179" s="54"/>
    </row>
    <row r="180" spans="1:9" s="5" customFormat="1" ht="15" customHeight="1" x14ac:dyDescent="0.25">
      <c r="A180" s="68" t="s">
        <v>252</v>
      </c>
      <c r="B180" s="56" t="s">
        <v>63</v>
      </c>
      <c r="C180" s="56">
        <f>VLOOKUP(kompl[[#This Row],[name_furn]],furn[],3,0)</f>
        <v>35</v>
      </c>
      <c r="D180" s="57" t="s">
        <v>50</v>
      </c>
      <c r="E180" s="58">
        <v>1</v>
      </c>
      <c r="F180" s="54"/>
      <c r="G180" s="54"/>
      <c r="H180" s="54"/>
      <c r="I180" s="54"/>
    </row>
    <row r="181" spans="1:9" s="5" customFormat="1" ht="15" customHeight="1" x14ac:dyDescent="0.25">
      <c r="A181" s="68" t="s">
        <v>252</v>
      </c>
      <c r="B181" s="56" t="s">
        <v>63</v>
      </c>
      <c r="C181" s="56">
        <f>VLOOKUP(kompl[[#This Row],[name_furn]],furn[],3,0)</f>
        <v>27</v>
      </c>
      <c r="D181" s="57" t="s">
        <v>34</v>
      </c>
      <c r="E181" s="58">
        <v>3</v>
      </c>
      <c r="F181" s="54" t="s">
        <v>298</v>
      </c>
      <c r="G181" s="57" t="s">
        <v>34</v>
      </c>
      <c r="H181" s="58">
        <v>4</v>
      </c>
      <c r="I181" s="54"/>
    </row>
    <row r="182" spans="1:9" s="5" customFormat="1" ht="15" customHeight="1" x14ac:dyDescent="0.25">
      <c r="A182" s="68" t="s">
        <v>252</v>
      </c>
      <c r="B182" s="56" t="s">
        <v>64</v>
      </c>
      <c r="C182" s="56">
        <f>VLOOKUP(kompl[[#This Row],[name_furn]],furn[],3,0)</f>
        <v>32</v>
      </c>
      <c r="D182" s="57" t="s">
        <v>51</v>
      </c>
      <c r="E182" s="58">
        <v>2</v>
      </c>
      <c r="F182" s="54"/>
      <c r="G182" s="54"/>
      <c r="H182" s="54"/>
      <c r="I182" s="54"/>
    </row>
    <row r="183" spans="1:9" s="5" customFormat="1" ht="15" customHeight="1" x14ac:dyDescent="0.25">
      <c r="A183" s="68" t="s">
        <v>252</v>
      </c>
      <c r="B183" s="56" t="s">
        <v>64</v>
      </c>
      <c r="C183" s="56">
        <f>VLOOKUP(kompl[[#This Row],[name_furn]],furn[],3,0)</f>
        <v>36</v>
      </c>
      <c r="D183" s="57" t="s">
        <v>52</v>
      </c>
      <c r="E183" s="58">
        <v>1</v>
      </c>
      <c r="F183" s="54"/>
      <c r="G183" s="54"/>
      <c r="H183" s="54"/>
      <c r="I183" s="54"/>
    </row>
    <row r="184" spans="1:9" s="5" customFormat="1" ht="15" customHeight="1" x14ac:dyDescent="0.25">
      <c r="A184" s="68" t="s">
        <v>252</v>
      </c>
      <c r="B184" s="56" t="s">
        <v>64</v>
      </c>
      <c r="C184" s="56">
        <f>VLOOKUP(kompl[[#This Row],[name_furn]],furn[],3,0)</f>
        <v>33</v>
      </c>
      <c r="D184" s="57" t="s">
        <v>53</v>
      </c>
      <c r="E184" s="58">
        <v>3</v>
      </c>
      <c r="F184" s="54"/>
      <c r="G184" s="54"/>
      <c r="H184" s="54"/>
      <c r="I184" s="54"/>
    </row>
    <row r="185" spans="1:9" s="5" customFormat="1" ht="15" customHeight="1" x14ac:dyDescent="0.25">
      <c r="A185" s="68" t="s">
        <v>252</v>
      </c>
      <c r="B185" s="56" t="s">
        <v>64</v>
      </c>
      <c r="C185" s="56">
        <f>VLOOKUP(kompl[[#This Row],[name_furn]],furn[],3,0)</f>
        <v>28</v>
      </c>
      <c r="D185" s="57" t="s">
        <v>35</v>
      </c>
      <c r="E185" s="58">
        <v>3</v>
      </c>
      <c r="F185" s="54" t="s">
        <v>298</v>
      </c>
      <c r="G185" s="57" t="s">
        <v>35</v>
      </c>
      <c r="H185" s="58">
        <v>4</v>
      </c>
      <c r="I185" s="54"/>
    </row>
    <row r="186" spans="1:9" s="5" customFormat="1" ht="15" customHeight="1" x14ac:dyDescent="0.25">
      <c r="A186" s="68" t="s">
        <v>252</v>
      </c>
      <c r="B186" s="59" t="s">
        <v>65</v>
      </c>
      <c r="C186" s="56">
        <f>VLOOKUP(kompl[[#This Row],[name_furn]],furn[],3,0)</f>
        <v>34</v>
      </c>
      <c r="D186" s="57" t="s">
        <v>56</v>
      </c>
      <c r="E186" s="58">
        <v>2</v>
      </c>
      <c r="F186" s="54"/>
      <c r="G186" s="54"/>
      <c r="H186" s="54"/>
      <c r="I186" s="54"/>
    </row>
    <row r="187" spans="1:9" s="5" customFormat="1" ht="15" customHeight="1" x14ac:dyDescent="0.25">
      <c r="A187" s="68" t="s">
        <v>252</v>
      </c>
      <c r="B187" s="59" t="s">
        <v>65</v>
      </c>
      <c r="C187" s="56">
        <f>VLOOKUP(kompl[[#This Row],[name_furn]],furn[],3,0)</f>
        <v>37</v>
      </c>
      <c r="D187" s="57" t="s">
        <v>57</v>
      </c>
      <c r="E187" s="58">
        <v>1</v>
      </c>
      <c r="F187" s="54"/>
      <c r="G187" s="54"/>
      <c r="H187" s="54"/>
      <c r="I187" s="54"/>
    </row>
    <row r="188" spans="1:9" s="5" customFormat="1" ht="15" customHeight="1" x14ac:dyDescent="0.25">
      <c r="A188" s="68" t="s">
        <v>252</v>
      </c>
      <c r="B188" s="59" t="s">
        <v>65</v>
      </c>
      <c r="C188" s="56">
        <f>VLOOKUP(kompl[[#This Row],[name_furn]],furn[],3,0)</f>
        <v>28</v>
      </c>
      <c r="D188" s="57" t="s">
        <v>35</v>
      </c>
      <c r="E188" s="58">
        <v>3</v>
      </c>
      <c r="F188" s="54" t="s">
        <v>298</v>
      </c>
      <c r="G188" s="57" t="s">
        <v>35</v>
      </c>
      <c r="H188" s="58">
        <v>4</v>
      </c>
      <c r="I188" s="54"/>
    </row>
    <row r="189" spans="1:9" s="5" customFormat="1" ht="15" customHeight="1" x14ac:dyDescent="0.25">
      <c r="A189" s="63" t="s">
        <v>254</v>
      </c>
      <c r="B189" s="56" t="s">
        <v>63</v>
      </c>
      <c r="C189" s="56">
        <f>VLOOKUP(kompl[[#This Row],[name_furn]],furn[],3,0)</f>
        <v>35</v>
      </c>
      <c r="D189" s="57" t="s">
        <v>50</v>
      </c>
      <c r="E189" s="58">
        <v>2</v>
      </c>
      <c r="F189" s="54"/>
      <c r="G189" s="54"/>
      <c r="H189" s="54"/>
      <c r="I189" s="54"/>
    </row>
    <row r="190" spans="1:9" s="5" customFormat="1" ht="15" customHeight="1" x14ac:dyDescent="0.25">
      <c r="A190" s="63" t="s">
        <v>254</v>
      </c>
      <c r="B190" s="56" t="s">
        <v>63</v>
      </c>
      <c r="C190" s="56">
        <f>VLOOKUP(kompl[[#This Row],[name_furn]],furn[],3,0)</f>
        <v>27</v>
      </c>
      <c r="D190" s="57" t="s">
        <v>34</v>
      </c>
      <c r="E190" s="58">
        <v>3</v>
      </c>
      <c r="F190" s="54" t="s">
        <v>307</v>
      </c>
      <c r="G190" s="57" t="s">
        <v>34</v>
      </c>
      <c r="H190" s="58">
        <v>4</v>
      </c>
      <c r="I190" s="54"/>
    </row>
    <row r="191" spans="1:9" s="5" customFormat="1" ht="15" customHeight="1" x14ac:dyDescent="0.25">
      <c r="A191" s="63" t="s">
        <v>254</v>
      </c>
      <c r="B191" s="56" t="s">
        <v>64</v>
      </c>
      <c r="C191" s="56">
        <f>VLOOKUP(kompl[[#This Row],[name_furn]],furn[],3,0)</f>
        <v>36</v>
      </c>
      <c r="D191" s="57" t="s">
        <v>52</v>
      </c>
      <c r="E191" s="58">
        <v>2</v>
      </c>
      <c r="F191" s="54"/>
      <c r="G191" s="54"/>
      <c r="H191" s="54"/>
      <c r="I191" s="54"/>
    </row>
    <row r="192" spans="1:9" s="5" customFormat="1" ht="15" customHeight="1" x14ac:dyDescent="0.25">
      <c r="A192" s="63" t="s">
        <v>254</v>
      </c>
      <c r="B192" s="56" t="s">
        <v>64</v>
      </c>
      <c r="C192" s="56">
        <f>VLOOKUP(kompl[[#This Row],[name_furn]],furn[],3,0)</f>
        <v>33</v>
      </c>
      <c r="D192" s="57" t="s">
        <v>53</v>
      </c>
      <c r="E192" s="58">
        <v>2</v>
      </c>
      <c r="F192" s="54"/>
      <c r="G192" s="54"/>
      <c r="H192" s="54"/>
      <c r="I192" s="54"/>
    </row>
    <row r="193" spans="1:9" s="5" customFormat="1" ht="15" customHeight="1" x14ac:dyDescent="0.25">
      <c r="A193" s="63" t="s">
        <v>254</v>
      </c>
      <c r="B193" s="56" t="s">
        <v>64</v>
      </c>
      <c r="C193" s="56">
        <f>VLOOKUP(kompl[[#This Row],[name_furn]],furn[],3,0)</f>
        <v>28</v>
      </c>
      <c r="D193" s="57" t="s">
        <v>35</v>
      </c>
      <c r="E193" s="58">
        <v>3</v>
      </c>
      <c r="F193" s="54" t="s">
        <v>307</v>
      </c>
      <c r="G193" s="57" t="s">
        <v>35</v>
      </c>
      <c r="H193" s="58">
        <v>4</v>
      </c>
      <c r="I193" s="54"/>
    </row>
    <row r="194" spans="1:9" s="5" customFormat="1" ht="15" customHeight="1" x14ac:dyDescent="0.25">
      <c r="A194" s="63" t="s">
        <v>254</v>
      </c>
      <c r="B194" s="59" t="s">
        <v>65</v>
      </c>
      <c r="C194" s="56">
        <f>VLOOKUP(kompl[[#This Row],[name_furn]],furn[],3,0)</f>
        <v>37</v>
      </c>
      <c r="D194" s="57" t="s">
        <v>57</v>
      </c>
      <c r="E194" s="58">
        <v>1</v>
      </c>
      <c r="F194" s="54"/>
      <c r="G194" s="54"/>
      <c r="H194" s="54"/>
      <c r="I194" s="54"/>
    </row>
    <row r="195" spans="1:9" s="5" customFormat="1" ht="15" customHeight="1" x14ac:dyDescent="0.25">
      <c r="A195" s="63" t="s">
        <v>254</v>
      </c>
      <c r="B195" s="59" t="s">
        <v>65</v>
      </c>
      <c r="C195" s="56">
        <f>VLOOKUP(kompl[[#This Row],[name_furn]],furn[],3,0)</f>
        <v>28</v>
      </c>
      <c r="D195" s="57" t="s">
        <v>35</v>
      </c>
      <c r="E195" s="58">
        <v>3</v>
      </c>
      <c r="F195" s="54" t="s">
        <v>307</v>
      </c>
      <c r="G195" s="57" t="s">
        <v>35</v>
      </c>
      <c r="H195" s="58">
        <v>4</v>
      </c>
      <c r="I195" s="54"/>
    </row>
    <row r="196" spans="1:9" s="5" customFormat="1" ht="15" customHeight="1" x14ac:dyDescent="0.25">
      <c r="A196" s="63" t="s">
        <v>256</v>
      </c>
      <c r="B196" s="56" t="s">
        <v>63</v>
      </c>
      <c r="C196" s="56">
        <f>VLOOKUP(kompl[[#This Row],[name_furn]],furn[],3,0)</f>
        <v>27</v>
      </c>
      <c r="D196" s="57" t="s">
        <v>34</v>
      </c>
      <c r="E196" s="58">
        <v>4</v>
      </c>
      <c r="F196" s="54" t="s">
        <v>297</v>
      </c>
      <c r="G196" s="57" t="s">
        <v>34</v>
      </c>
      <c r="H196" s="54">
        <v>5</v>
      </c>
      <c r="I196" s="54"/>
    </row>
    <row r="197" spans="1:9" s="5" customFormat="1" ht="15" customHeight="1" x14ac:dyDescent="0.25">
      <c r="A197" s="63" t="s">
        <v>258</v>
      </c>
      <c r="B197" s="56" t="s">
        <v>63</v>
      </c>
      <c r="C197" s="56">
        <f>VLOOKUP(kompl[[#This Row],[name_furn]],furn[],3,0)</f>
        <v>27</v>
      </c>
      <c r="D197" s="57" t="s">
        <v>34</v>
      </c>
      <c r="E197" s="58">
        <v>4</v>
      </c>
      <c r="F197" s="54" t="s">
        <v>297</v>
      </c>
      <c r="G197" s="57" t="s">
        <v>34</v>
      </c>
      <c r="H197" s="54">
        <v>5</v>
      </c>
      <c r="I197" s="54"/>
    </row>
    <row r="198" spans="1:9" s="5" customFormat="1" ht="15" customHeight="1" x14ac:dyDescent="0.25">
      <c r="A198" s="63" t="s">
        <v>260</v>
      </c>
      <c r="B198" s="56" t="s">
        <v>63</v>
      </c>
      <c r="C198" s="56">
        <f>VLOOKUP(kompl[[#This Row],[name_furn]],furn[],3,0)</f>
        <v>35</v>
      </c>
      <c r="D198" s="57" t="s">
        <v>50</v>
      </c>
      <c r="E198" s="58">
        <v>2</v>
      </c>
      <c r="F198" s="54"/>
      <c r="G198" s="54"/>
      <c r="H198" s="54"/>
      <c r="I198" s="54"/>
    </row>
    <row r="199" spans="1:9" s="5" customFormat="1" ht="15" customHeight="1" x14ac:dyDescent="0.25">
      <c r="A199" s="63" t="s">
        <v>260</v>
      </c>
      <c r="B199" s="56" t="s">
        <v>63</v>
      </c>
      <c r="C199" s="56">
        <f>VLOOKUP(kompl[[#This Row],[name_furn]],furn[],3,0)</f>
        <v>27</v>
      </c>
      <c r="D199" s="57" t="s">
        <v>34</v>
      </c>
      <c r="E199" s="58">
        <v>2</v>
      </c>
      <c r="F199" s="54" t="s">
        <v>307</v>
      </c>
      <c r="G199" s="57" t="s">
        <v>34</v>
      </c>
      <c r="H199" s="58">
        <v>3</v>
      </c>
      <c r="I199" s="54"/>
    </row>
    <row r="200" spans="1:9" s="5" customFormat="1" ht="15" customHeight="1" x14ac:dyDescent="0.25">
      <c r="A200" s="63" t="s">
        <v>260</v>
      </c>
      <c r="B200" s="56" t="s">
        <v>64</v>
      </c>
      <c r="C200" s="56">
        <f>VLOOKUP(kompl[[#This Row],[name_furn]],furn[],3,0)</f>
        <v>36</v>
      </c>
      <c r="D200" s="57" t="s">
        <v>52</v>
      </c>
      <c r="E200" s="58">
        <v>2</v>
      </c>
      <c r="F200" s="54"/>
      <c r="G200" s="54"/>
      <c r="H200" s="54"/>
      <c r="I200" s="54"/>
    </row>
    <row r="201" spans="1:9" s="5" customFormat="1" ht="15" customHeight="1" x14ac:dyDescent="0.25">
      <c r="A201" s="63" t="s">
        <v>260</v>
      </c>
      <c r="B201" s="56" t="s">
        <v>64</v>
      </c>
      <c r="C201" s="56">
        <f>VLOOKUP(kompl[[#This Row],[name_furn]],furn[],3,0)</f>
        <v>33</v>
      </c>
      <c r="D201" s="57" t="s">
        <v>53</v>
      </c>
      <c r="E201" s="58">
        <v>2</v>
      </c>
      <c r="F201" s="54"/>
      <c r="G201" s="54"/>
      <c r="H201" s="54"/>
      <c r="I201" s="54"/>
    </row>
    <row r="202" spans="1:9" s="5" customFormat="1" ht="15" customHeight="1" x14ac:dyDescent="0.25">
      <c r="A202" s="63" t="s">
        <v>260</v>
      </c>
      <c r="B202" s="56" t="s">
        <v>64</v>
      </c>
      <c r="C202" s="56">
        <f>VLOOKUP(kompl[[#This Row],[name_furn]],furn[],3,0)</f>
        <v>28</v>
      </c>
      <c r="D202" s="57" t="s">
        <v>35</v>
      </c>
      <c r="E202" s="58">
        <v>2</v>
      </c>
      <c r="F202" s="54" t="s">
        <v>307</v>
      </c>
      <c r="G202" s="57" t="s">
        <v>35</v>
      </c>
      <c r="H202" s="58">
        <v>3</v>
      </c>
      <c r="I202" s="54"/>
    </row>
    <row r="203" spans="1:9" s="5" customFormat="1" ht="15" customHeight="1" x14ac:dyDescent="0.25">
      <c r="A203" s="63" t="s">
        <v>260</v>
      </c>
      <c r="B203" s="59" t="s">
        <v>65</v>
      </c>
      <c r="C203" s="56">
        <f>VLOOKUP(kompl[[#This Row],[name_furn]],furn[],3,0)</f>
        <v>34</v>
      </c>
      <c r="D203" s="57" t="s">
        <v>56</v>
      </c>
      <c r="E203" s="58">
        <v>2</v>
      </c>
      <c r="F203" s="54"/>
      <c r="G203" s="54"/>
      <c r="H203" s="54"/>
      <c r="I203" s="54"/>
    </row>
    <row r="204" spans="1:9" s="5" customFormat="1" ht="15" customHeight="1" x14ac:dyDescent="0.25">
      <c r="A204" s="63" t="s">
        <v>260</v>
      </c>
      <c r="B204" s="59" t="s">
        <v>65</v>
      </c>
      <c r="C204" s="56">
        <f>VLOOKUP(kompl[[#This Row],[name_furn]],furn[],3,0)</f>
        <v>28</v>
      </c>
      <c r="D204" s="57" t="s">
        <v>35</v>
      </c>
      <c r="E204" s="58">
        <v>2</v>
      </c>
      <c r="F204" s="54" t="s">
        <v>307</v>
      </c>
      <c r="G204" s="57" t="s">
        <v>35</v>
      </c>
      <c r="H204" s="58">
        <v>3</v>
      </c>
      <c r="I204" s="54"/>
    </row>
    <row r="205" spans="1:9" s="5" customFormat="1" ht="15" customHeight="1" x14ac:dyDescent="0.25">
      <c r="A205" s="63" t="s">
        <v>262</v>
      </c>
      <c r="B205" s="56" t="s">
        <v>63</v>
      </c>
      <c r="C205" s="56">
        <f>VLOOKUP(kompl[[#This Row],[name_furn]],furn[],3,0)</f>
        <v>35</v>
      </c>
      <c r="D205" s="57" t="s">
        <v>50</v>
      </c>
      <c r="E205" s="58">
        <v>2</v>
      </c>
      <c r="F205" s="54"/>
      <c r="G205" s="54"/>
      <c r="H205" s="54"/>
      <c r="I205" s="54"/>
    </row>
    <row r="206" spans="1:9" s="5" customFormat="1" ht="15" customHeight="1" x14ac:dyDescent="0.25">
      <c r="A206" s="63" t="s">
        <v>262</v>
      </c>
      <c r="B206" s="56" t="s">
        <v>63</v>
      </c>
      <c r="C206" s="56">
        <f>VLOOKUP(kompl[[#This Row],[name_furn]],furn[],3,0)</f>
        <v>27</v>
      </c>
      <c r="D206" s="57" t="s">
        <v>34</v>
      </c>
      <c r="E206" s="58">
        <v>2</v>
      </c>
      <c r="F206" s="54" t="s">
        <v>307</v>
      </c>
      <c r="G206" s="57" t="s">
        <v>34</v>
      </c>
      <c r="H206" s="58">
        <v>3</v>
      </c>
      <c r="I206" s="54"/>
    </row>
    <row r="207" spans="1:9" s="5" customFormat="1" ht="15" customHeight="1" x14ac:dyDescent="0.25">
      <c r="A207" s="63" t="s">
        <v>262</v>
      </c>
      <c r="B207" s="56" t="s">
        <v>64</v>
      </c>
      <c r="C207" s="56">
        <f>VLOOKUP(kompl[[#This Row],[name_furn]],furn[],3,0)</f>
        <v>36</v>
      </c>
      <c r="D207" s="57" t="s">
        <v>52</v>
      </c>
      <c r="E207" s="58">
        <v>2</v>
      </c>
      <c r="F207" s="54"/>
      <c r="G207" s="54"/>
      <c r="H207" s="54"/>
      <c r="I207" s="54"/>
    </row>
    <row r="208" spans="1:9" s="5" customFormat="1" ht="15" customHeight="1" x14ac:dyDescent="0.25">
      <c r="A208" s="63" t="s">
        <v>262</v>
      </c>
      <c r="B208" s="56" t="s">
        <v>64</v>
      </c>
      <c r="C208" s="56">
        <f>VLOOKUP(kompl[[#This Row],[name_furn]],furn[],3,0)</f>
        <v>33</v>
      </c>
      <c r="D208" s="57" t="s">
        <v>53</v>
      </c>
      <c r="E208" s="58">
        <v>2</v>
      </c>
      <c r="F208" s="54"/>
      <c r="G208" s="54"/>
      <c r="H208" s="54"/>
      <c r="I208" s="54"/>
    </row>
    <row r="209" spans="1:9" s="5" customFormat="1" ht="15" customHeight="1" x14ac:dyDescent="0.25">
      <c r="A209" s="63" t="s">
        <v>262</v>
      </c>
      <c r="B209" s="56" t="s">
        <v>64</v>
      </c>
      <c r="C209" s="56">
        <f>VLOOKUP(kompl[[#This Row],[name_furn]],furn[],3,0)</f>
        <v>28</v>
      </c>
      <c r="D209" s="57" t="s">
        <v>35</v>
      </c>
      <c r="E209" s="58">
        <v>2</v>
      </c>
      <c r="F209" s="54" t="s">
        <v>307</v>
      </c>
      <c r="G209" s="57" t="s">
        <v>35</v>
      </c>
      <c r="H209" s="58">
        <v>3</v>
      </c>
      <c r="I209" s="54"/>
    </row>
    <row r="210" spans="1:9" s="5" customFormat="1" ht="15" customHeight="1" x14ac:dyDescent="0.25">
      <c r="A210" s="63" t="s">
        <v>262</v>
      </c>
      <c r="B210" s="59" t="s">
        <v>65</v>
      </c>
      <c r="C210" s="56">
        <f>VLOOKUP(kompl[[#This Row],[name_furn]],furn[],3,0)</f>
        <v>34</v>
      </c>
      <c r="D210" s="57" t="s">
        <v>56</v>
      </c>
      <c r="E210" s="58">
        <v>2</v>
      </c>
      <c r="F210" s="54"/>
      <c r="G210" s="54"/>
      <c r="H210" s="54"/>
      <c r="I210" s="54"/>
    </row>
    <row r="211" spans="1:9" s="5" customFormat="1" ht="15" customHeight="1" x14ac:dyDescent="0.25">
      <c r="A211" s="63" t="s">
        <v>262</v>
      </c>
      <c r="B211" s="59" t="s">
        <v>65</v>
      </c>
      <c r="C211" s="56">
        <f>VLOOKUP(kompl[[#This Row],[name_furn]],furn[],3,0)</f>
        <v>28</v>
      </c>
      <c r="D211" s="57" t="s">
        <v>35</v>
      </c>
      <c r="E211" s="58">
        <v>2</v>
      </c>
      <c r="F211" s="54" t="s">
        <v>307</v>
      </c>
      <c r="G211" s="57" t="s">
        <v>35</v>
      </c>
      <c r="H211" s="58">
        <v>3</v>
      </c>
      <c r="I211" s="54"/>
    </row>
    <row r="212" spans="1:9" s="5" customFormat="1" ht="15" customHeight="1" x14ac:dyDescent="0.25">
      <c r="A212" s="63" t="s">
        <v>264</v>
      </c>
      <c r="B212" s="56" t="s">
        <v>63</v>
      </c>
      <c r="C212" s="56">
        <f>VLOOKUP(kompl[[#This Row],[name_furn]],furn[],3,0)</f>
        <v>35</v>
      </c>
      <c r="D212" s="57" t="s">
        <v>50</v>
      </c>
      <c r="E212" s="58">
        <v>2</v>
      </c>
      <c r="F212" s="54"/>
      <c r="G212" s="54"/>
      <c r="H212" s="54"/>
      <c r="I212" s="54"/>
    </row>
    <row r="213" spans="1:9" s="5" customFormat="1" ht="15" customHeight="1" x14ac:dyDescent="0.25">
      <c r="A213" s="63" t="s">
        <v>264</v>
      </c>
      <c r="B213" s="56" t="s">
        <v>63</v>
      </c>
      <c r="C213" s="56">
        <f>VLOOKUP(kompl[[#This Row],[name_furn]],furn[],3,0)</f>
        <v>27</v>
      </c>
      <c r="D213" s="57" t="s">
        <v>34</v>
      </c>
      <c r="E213" s="58">
        <v>2</v>
      </c>
      <c r="F213" s="54" t="s">
        <v>307</v>
      </c>
      <c r="G213" s="57" t="s">
        <v>34</v>
      </c>
      <c r="H213" s="58">
        <v>2</v>
      </c>
      <c r="I213" s="54"/>
    </row>
    <row r="214" spans="1:9" s="5" customFormat="1" ht="15" customHeight="1" x14ac:dyDescent="0.25">
      <c r="A214" s="63" t="s">
        <v>264</v>
      </c>
      <c r="B214" s="56" t="s">
        <v>64</v>
      </c>
      <c r="C214" s="56">
        <f>VLOOKUP(kompl[[#This Row],[name_furn]],furn[],3,0)</f>
        <v>36</v>
      </c>
      <c r="D214" s="57" t="s">
        <v>52</v>
      </c>
      <c r="E214" s="58">
        <v>2</v>
      </c>
      <c r="F214" s="54"/>
      <c r="G214" s="54"/>
      <c r="H214" s="54"/>
      <c r="I214" s="54"/>
    </row>
    <row r="215" spans="1:9" s="5" customFormat="1" ht="15" customHeight="1" x14ac:dyDescent="0.25">
      <c r="A215" s="63" t="s">
        <v>264</v>
      </c>
      <c r="B215" s="56" t="s">
        <v>64</v>
      </c>
      <c r="C215" s="56">
        <f>VLOOKUP(kompl[[#This Row],[name_furn]],furn[],3,0)</f>
        <v>33</v>
      </c>
      <c r="D215" s="57" t="s">
        <v>53</v>
      </c>
      <c r="E215" s="58">
        <v>2</v>
      </c>
      <c r="F215" s="54"/>
      <c r="G215" s="54"/>
      <c r="H215" s="54"/>
      <c r="I215" s="54"/>
    </row>
    <row r="216" spans="1:9" s="5" customFormat="1" ht="15" customHeight="1" x14ac:dyDescent="0.25">
      <c r="A216" s="63" t="s">
        <v>264</v>
      </c>
      <c r="B216" s="56" t="s">
        <v>64</v>
      </c>
      <c r="C216" s="56">
        <f>VLOOKUP(kompl[[#This Row],[name_furn]],furn[],3,0)</f>
        <v>28</v>
      </c>
      <c r="D216" s="57" t="s">
        <v>35</v>
      </c>
      <c r="E216" s="58">
        <v>2</v>
      </c>
      <c r="F216" s="54" t="s">
        <v>307</v>
      </c>
      <c r="G216" s="57" t="s">
        <v>35</v>
      </c>
      <c r="H216" s="58">
        <v>3</v>
      </c>
      <c r="I216" s="54"/>
    </row>
    <row r="217" spans="1:9" s="5" customFormat="1" ht="15" customHeight="1" x14ac:dyDescent="0.25">
      <c r="A217" s="63" t="s">
        <v>264</v>
      </c>
      <c r="B217" s="59" t="s">
        <v>65</v>
      </c>
      <c r="C217" s="56">
        <f>VLOOKUP(kompl[[#This Row],[name_furn]],furn[],3,0)</f>
        <v>34</v>
      </c>
      <c r="D217" s="57" t="s">
        <v>56</v>
      </c>
      <c r="E217" s="58">
        <v>2</v>
      </c>
      <c r="F217" s="54"/>
      <c r="G217" s="54"/>
      <c r="H217" s="54"/>
      <c r="I217" s="54"/>
    </row>
    <row r="218" spans="1:9" s="5" customFormat="1" ht="15" customHeight="1" x14ac:dyDescent="0.25">
      <c r="A218" s="63" t="s">
        <v>264</v>
      </c>
      <c r="B218" s="59" t="s">
        <v>65</v>
      </c>
      <c r="C218" s="56">
        <f>VLOOKUP(kompl[[#This Row],[name_furn]],furn[],3,0)</f>
        <v>28</v>
      </c>
      <c r="D218" s="57" t="s">
        <v>35</v>
      </c>
      <c r="E218" s="58">
        <v>2</v>
      </c>
      <c r="F218" s="54" t="s">
        <v>307</v>
      </c>
      <c r="G218" s="57" t="s">
        <v>35</v>
      </c>
      <c r="H218" s="58">
        <v>3</v>
      </c>
      <c r="I218" s="54"/>
    </row>
    <row r="219" spans="1:9" s="5" customFormat="1" ht="15" customHeight="1" x14ac:dyDescent="0.25">
      <c r="A219" s="63" t="s">
        <v>266</v>
      </c>
      <c r="B219" s="56" t="s">
        <v>63</v>
      </c>
      <c r="C219" s="56">
        <f>VLOOKUP(kompl[[#This Row],[name_furn]],furn[],3,0)</f>
        <v>48</v>
      </c>
      <c r="D219" s="57" t="s">
        <v>44</v>
      </c>
      <c r="E219" s="58">
        <v>1</v>
      </c>
      <c r="F219" s="54" t="s">
        <v>298</v>
      </c>
      <c r="G219" s="54" t="s">
        <v>293</v>
      </c>
      <c r="H219" s="54">
        <v>1</v>
      </c>
      <c r="I219" s="54"/>
    </row>
    <row r="220" spans="1:9" s="5" customFormat="1" ht="15" customHeight="1" x14ac:dyDescent="0.25">
      <c r="A220" s="63" t="s">
        <v>266</v>
      </c>
      <c r="B220" s="56" t="s">
        <v>63</v>
      </c>
      <c r="C220" s="56">
        <f>VLOOKUP(kompl[[#This Row],[name_furn]],furn[],3,0)</f>
        <v>27</v>
      </c>
      <c r="D220" s="57" t="s">
        <v>34</v>
      </c>
      <c r="E220" s="58">
        <v>2</v>
      </c>
      <c r="F220" s="54"/>
      <c r="G220" s="54"/>
      <c r="H220" s="54"/>
      <c r="I220" s="54"/>
    </row>
    <row r="221" spans="1:9" s="5" customFormat="1" ht="15" customHeight="1" x14ac:dyDescent="0.25">
      <c r="A221" s="63" t="s">
        <v>266</v>
      </c>
      <c r="B221" s="56" t="s">
        <v>64</v>
      </c>
      <c r="C221" s="56">
        <f>VLOOKUP(kompl[[#This Row],[name_furn]],furn[],3,0)</f>
        <v>50</v>
      </c>
      <c r="D221" s="57" t="s">
        <v>46</v>
      </c>
      <c r="E221" s="58">
        <v>1</v>
      </c>
      <c r="F221" s="54"/>
      <c r="G221" s="54"/>
      <c r="H221" s="54"/>
      <c r="I221" s="54"/>
    </row>
    <row r="222" spans="1:9" s="5" customFormat="1" ht="15" customHeight="1" x14ac:dyDescent="0.25">
      <c r="A222" s="63" t="s">
        <v>266</v>
      </c>
      <c r="B222" s="56" t="s">
        <v>64</v>
      </c>
      <c r="C222" s="56">
        <f>VLOOKUP(kompl[[#This Row],[name_furn]],furn[],3,0)</f>
        <v>28</v>
      </c>
      <c r="D222" s="57" t="s">
        <v>35</v>
      </c>
      <c r="E222" s="58">
        <v>4</v>
      </c>
      <c r="F222" s="54"/>
      <c r="G222" s="54"/>
      <c r="H222" s="54"/>
      <c r="I222" s="54"/>
    </row>
    <row r="223" spans="1:9" s="5" customFormat="1" ht="15" customHeight="1" x14ac:dyDescent="0.25">
      <c r="A223" s="63" t="s">
        <v>269</v>
      </c>
      <c r="B223" s="56" t="s">
        <v>63</v>
      </c>
      <c r="C223" s="56">
        <f>VLOOKUP(kompl[[#This Row],[name_furn]],furn[],3,0)</f>
        <v>27</v>
      </c>
      <c r="D223" s="57" t="s">
        <v>34</v>
      </c>
      <c r="E223" s="58">
        <v>2</v>
      </c>
      <c r="F223" s="54"/>
      <c r="G223" s="54"/>
      <c r="H223" s="54"/>
      <c r="I223" s="54"/>
    </row>
    <row r="224" spans="1:9" s="5" customFormat="1" ht="15" customHeight="1" x14ac:dyDescent="0.25">
      <c r="A224" s="63" t="s">
        <v>269</v>
      </c>
      <c r="B224" s="56" t="s">
        <v>63</v>
      </c>
      <c r="C224" s="56">
        <f>VLOOKUP(kompl[[#This Row],[name_furn]],furn[],3,0)</f>
        <v>35</v>
      </c>
      <c r="D224" s="57" t="s">
        <v>50</v>
      </c>
      <c r="E224" s="58">
        <v>2</v>
      </c>
      <c r="F224" s="54"/>
      <c r="G224" s="54"/>
      <c r="H224" s="54"/>
      <c r="I224" s="54"/>
    </row>
    <row r="225" spans="1:9" s="5" customFormat="1" ht="15" customHeight="1" x14ac:dyDescent="0.25">
      <c r="A225" s="63" t="s">
        <v>271</v>
      </c>
      <c r="B225" s="56" t="s">
        <v>63</v>
      </c>
      <c r="C225" s="56">
        <f>VLOOKUP(kompl[[#This Row],[name_furn]],furn[],3,0)</f>
        <v>48</v>
      </c>
      <c r="D225" s="57" t="s">
        <v>44</v>
      </c>
      <c r="E225" s="58">
        <v>1</v>
      </c>
      <c r="F225" s="54"/>
      <c r="G225" s="54"/>
      <c r="H225" s="54"/>
      <c r="I225" s="54"/>
    </row>
    <row r="226" spans="1:9" s="5" customFormat="1" ht="15" customHeight="1" x14ac:dyDescent="0.25">
      <c r="A226" s="63" t="s">
        <v>271</v>
      </c>
      <c r="B226" s="56" t="s">
        <v>63</v>
      </c>
      <c r="C226" s="56">
        <f>VLOOKUP(kompl[[#This Row],[name_furn]],furn[],3,0)</f>
        <v>27</v>
      </c>
      <c r="D226" s="57" t="s">
        <v>34</v>
      </c>
      <c r="E226" s="58">
        <v>5</v>
      </c>
      <c r="F226" s="54"/>
      <c r="G226" s="54"/>
      <c r="H226" s="54"/>
      <c r="I226" s="54"/>
    </row>
    <row r="227" spans="1:9" s="5" customFormat="1" ht="15" customHeight="1" x14ac:dyDescent="0.25">
      <c r="A227" s="63" t="s">
        <v>271</v>
      </c>
      <c r="B227" s="56" t="s">
        <v>64</v>
      </c>
      <c r="C227" s="56">
        <f>VLOOKUP(kompl[[#This Row],[name_furn]],furn[],3,0)</f>
        <v>50</v>
      </c>
      <c r="D227" s="57" t="s">
        <v>46</v>
      </c>
      <c r="E227" s="58">
        <v>1</v>
      </c>
      <c r="F227" s="54"/>
      <c r="G227" s="54"/>
      <c r="H227" s="54"/>
      <c r="I227" s="54"/>
    </row>
    <row r="228" spans="1:9" s="5" customFormat="1" ht="15" customHeight="1" x14ac:dyDescent="0.25">
      <c r="A228" s="63" t="s">
        <v>271</v>
      </c>
      <c r="B228" s="56" t="s">
        <v>64</v>
      </c>
      <c r="C228" s="56">
        <f>VLOOKUP(kompl[[#This Row],[name_furn]],furn[],3,0)</f>
        <v>28</v>
      </c>
      <c r="D228" s="57" t="s">
        <v>35</v>
      </c>
      <c r="E228" s="58">
        <v>7</v>
      </c>
      <c r="F228" s="54"/>
      <c r="G228" s="54"/>
      <c r="H228" s="54"/>
      <c r="I228" s="54"/>
    </row>
    <row r="229" spans="1:9" s="5" customFormat="1" ht="15" customHeight="1" x14ac:dyDescent="0.25">
      <c r="A229" s="69" t="s">
        <v>273</v>
      </c>
      <c r="B229" s="69" t="s">
        <v>82</v>
      </c>
      <c r="C229" s="56">
        <f>VLOOKUP(kompl[[#This Row],[name_furn]],furn[],3,0)</f>
        <v>52</v>
      </c>
      <c r="D229" s="57" t="s">
        <v>87</v>
      </c>
      <c r="E229" s="58">
        <v>2</v>
      </c>
      <c r="F229" s="54" t="s">
        <v>306</v>
      </c>
      <c r="G229" s="57" t="s">
        <v>87</v>
      </c>
      <c r="H229" s="54">
        <v>3</v>
      </c>
      <c r="I229" s="54"/>
    </row>
    <row r="230" spans="1:9" s="5" customFormat="1" ht="15" customHeight="1" x14ac:dyDescent="0.25">
      <c r="A230" s="69" t="s">
        <v>273</v>
      </c>
      <c r="B230" s="69" t="s">
        <v>83</v>
      </c>
      <c r="C230" s="56">
        <f>VLOOKUP(kompl[[#This Row],[name_furn]],furn[],3,0)</f>
        <v>52</v>
      </c>
      <c r="D230" s="57" t="s">
        <v>87</v>
      </c>
      <c r="E230" s="58">
        <v>2</v>
      </c>
      <c r="F230" s="54" t="s">
        <v>306</v>
      </c>
      <c r="G230" s="57" t="s">
        <v>87</v>
      </c>
      <c r="H230" s="54">
        <v>3</v>
      </c>
      <c r="I230" s="54"/>
    </row>
    <row r="231" spans="1:9" s="5" customFormat="1" ht="15" customHeight="1" x14ac:dyDescent="0.25">
      <c r="A231" s="69" t="s">
        <v>273</v>
      </c>
      <c r="B231" s="56" t="s">
        <v>63</v>
      </c>
      <c r="C231" s="56">
        <f>VLOOKUP(kompl[[#This Row],[name_furn]],furn[],3,0)</f>
        <v>27</v>
      </c>
      <c r="D231" s="57" t="s">
        <v>34</v>
      </c>
      <c r="E231" s="58">
        <v>2</v>
      </c>
      <c r="F231" s="54" t="s">
        <v>306</v>
      </c>
      <c r="G231" s="57" t="s">
        <v>34</v>
      </c>
      <c r="H231" s="54">
        <v>3</v>
      </c>
      <c r="I231" s="54"/>
    </row>
    <row r="232" spans="1:9" s="5" customFormat="1" ht="15" customHeight="1" x14ac:dyDescent="0.25">
      <c r="A232" s="69" t="s">
        <v>273</v>
      </c>
      <c r="B232" s="56" t="s">
        <v>64</v>
      </c>
      <c r="C232" s="56">
        <f>VLOOKUP(kompl[[#This Row],[name_furn]],furn[],3,0)</f>
        <v>28</v>
      </c>
      <c r="D232" s="57" t="s">
        <v>35</v>
      </c>
      <c r="E232" s="58">
        <v>2</v>
      </c>
      <c r="F232" s="54" t="s">
        <v>306</v>
      </c>
      <c r="G232" s="57" t="s">
        <v>35</v>
      </c>
      <c r="H232" s="54">
        <v>3</v>
      </c>
      <c r="I232" s="54"/>
    </row>
    <row r="233" spans="1:9" s="5" customFormat="1" ht="15" customHeight="1" x14ac:dyDescent="0.25">
      <c r="A233" s="69" t="s">
        <v>273</v>
      </c>
      <c r="B233" s="59" t="s">
        <v>65</v>
      </c>
      <c r="C233" s="56">
        <f>VLOOKUP(kompl[[#This Row],[name_furn]],furn[],3,0)</f>
        <v>28</v>
      </c>
      <c r="D233" s="57" t="s">
        <v>35</v>
      </c>
      <c r="E233" s="58">
        <v>2</v>
      </c>
      <c r="F233" s="54" t="s">
        <v>306</v>
      </c>
      <c r="G233" s="57" t="s">
        <v>35</v>
      </c>
      <c r="H233" s="54">
        <v>3</v>
      </c>
      <c r="I233" s="54"/>
    </row>
    <row r="234" spans="1:9" s="5" customFormat="1" ht="15" customHeight="1" x14ac:dyDescent="0.25">
      <c r="A234" s="69" t="s">
        <v>276</v>
      </c>
      <c r="B234" s="69" t="s">
        <v>82</v>
      </c>
      <c r="C234" s="56">
        <f>VLOOKUP(kompl[[#This Row],[name_furn]],furn[],3,0)</f>
        <v>52</v>
      </c>
      <c r="D234" s="57" t="s">
        <v>87</v>
      </c>
      <c r="E234" s="58">
        <v>4</v>
      </c>
      <c r="F234" s="54" t="s">
        <v>306</v>
      </c>
      <c r="G234" s="57" t="s">
        <v>87</v>
      </c>
      <c r="H234" s="54">
        <v>6</v>
      </c>
      <c r="I234" s="54"/>
    </row>
    <row r="235" spans="1:9" s="5" customFormat="1" ht="15" customHeight="1" x14ac:dyDescent="0.25">
      <c r="A235" s="69" t="s">
        <v>276</v>
      </c>
      <c r="B235" s="69" t="s">
        <v>83</v>
      </c>
      <c r="C235" s="56">
        <f>VLOOKUP(kompl[[#This Row],[name_furn]],furn[],3,0)</f>
        <v>52</v>
      </c>
      <c r="D235" s="57" t="s">
        <v>87</v>
      </c>
      <c r="E235" s="58">
        <v>4</v>
      </c>
      <c r="F235" s="54" t="s">
        <v>306</v>
      </c>
      <c r="G235" s="57" t="s">
        <v>87</v>
      </c>
      <c r="H235" s="54">
        <v>6</v>
      </c>
      <c r="I235" s="54"/>
    </row>
    <row r="236" spans="1:9" s="5" customFormat="1" ht="15" customHeight="1" x14ac:dyDescent="0.25">
      <c r="A236" s="69" t="s">
        <v>276</v>
      </c>
      <c r="B236" s="56" t="s">
        <v>63</v>
      </c>
      <c r="C236" s="56">
        <f>VLOOKUP(kompl[[#This Row],[name_furn]],furn[],3,0)</f>
        <v>27</v>
      </c>
      <c r="D236" s="57" t="s">
        <v>34</v>
      </c>
      <c r="E236" s="58">
        <v>4</v>
      </c>
      <c r="F236" s="54" t="s">
        <v>306</v>
      </c>
      <c r="G236" s="57" t="s">
        <v>34</v>
      </c>
      <c r="H236" s="54">
        <v>6</v>
      </c>
      <c r="I236" s="54"/>
    </row>
    <row r="237" spans="1:9" s="5" customFormat="1" ht="15" customHeight="1" x14ac:dyDescent="0.25">
      <c r="A237" s="69" t="s">
        <v>276</v>
      </c>
      <c r="B237" s="56" t="s">
        <v>64</v>
      </c>
      <c r="C237" s="56">
        <f>VLOOKUP(kompl[[#This Row],[name_furn]],furn[],3,0)</f>
        <v>28</v>
      </c>
      <c r="D237" s="57" t="s">
        <v>35</v>
      </c>
      <c r="E237" s="58">
        <v>4</v>
      </c>
      <c r="F237" s="54" t="s">
        <v>306</v>
      </c>
      <c r="G237" s="57" t="s">
        <v>35</v>
      </c>
      <c r="H237" s="54">
        <v>6</v>
      </c>
      <c r="I237" s="54"/>
    </row>
    <row r="238" spans="1:9" s="5" customFormat="1" ht="15" customHeight="1" x14ac:dyDescent="0.25">
      <c r="A238" s="69" t="s">
        <v>276</v>
      </c>
      <c r="B238" s="59" t="s">
        <v>65</v>
      </c>
      <c r="C238" s="56">
        <f>VLOOKUP(kompl[[#This Row],[name_furn]],furn[],3,0)</f>
        <v>28</v>
      </c>
      <c r="D238" s="57" t="s">
        <v>35</v>
      </c>
      <c r="E238" s="58">
        <v>4</v>
      </c>
      <c r="F238" s="54" t="s">
        <v>306</v>
      </c>
      <c r="G238" s="57" t="s">
        <v>35</v>
      </c>
      <c r="H238" s="54">
        <v>6</v>
      </c>
      <c r="I238" s="54"/>
    </row>
    <row r="239" spans="1:9" s="5" customFormat="1" ht="15" customHeight="1" x14ac:dyDescent="0.25">
      <c r="A239" s="69" t="s">
        <v>278</v>
      </c>
      <c r="B239" s="56" t="s">
        <v>63</v>
      </c>
      <c r="C239" s="56">
        <f>VLOOKUP(kompl[[#This Row],[name_furn]],furn[],3,0)</f>
        <v>27</v>
      </c>
      <c r="D239" s="57" t="s">
        <v>34</v>
      </c>
      <c r="E239" s="58">
        <v>2</v>
      </c>
      <c r="F239" s="54" t="s">
        <v>304</v>
      </c>
      <c r="G239" s="57" t="s">
        <v>34</v>
      </c>
      <c r="H239" s="58">
        <v>3</v>
      </c>
      <c r="I239" s="54"/>
    </row>
    <row r="240" spans="1:9" s="5" customFormat="1" ht="15" customHeight="1" x14ac:dyDescent="0.25">
      <c r="A240" s="69" t="s">
        <v>278</v>
      </c>
      <c r="B240" s="56" t="s">
        <v>64</v>
      </c>
      <c r="C240" s="56">
        <f>VLOOKUP(kompl[[#This Row],[name_furn]],furn[],3,0)</f>
        <v>28</v>
      </c>
      <c r="D240" s="57" t="s">
        <v>35</v>
      </c>
      <c r="E240" s="58">
        <v>2</v>
      </c>
      <c r="F240" s="54" t="s">
        <v>304</v>
      </c>
      <c r="G240" s="57" t="s">
        <v>35</v>
      </c>
      <c r="H240" s="58">
        <v>3</v>
      </c>
      <c r="I240" s="54"/>
    </row>
    <row r="241" spans="1:9" s="5" customFormat="1" ht="15" customHeight="1" x14ac:dyDescent="0.25">
      <c r="A241" s="69" t="s">
        <v>278</v>
      </c>
      <c r="B241" s="59" t="s">
        <v>65</v>
      </c>
      <c r="C241" s="56">
        <f>VLOOKUP(kompl[[#This Row],[name_furn]],furn[],3,0)</f>
        <v>28</v>
      </c>
      <c r="D241" s="57" t="s">
        <v>35</v>
      </c>
      <c r="E241" s="58">
        <v>2</v>
      </c>
      <c r="F241" s="54" t="s">
        <v>304</v>
      </c>
      <c r="G241" s="57" t="s">
        <v>35</v>
      </c>
      <c r="H241" s="58">
        <v>3</v>
      </c>
      <c r="I241" s="54"/>
    </row>
    <row r="242" spans="1:9" s="5" customFormat="1" ht="15" customHeight="1" x14ac:dyDescent="0.25">
      <c r="A242" s="69" t="s">
        <v>280</v>
      </c>
      <c r="B242" s="56" t="s">
        <v>63</v>
      </c>
      <c r="C242" s="56">
        <f>VLOOKUP(kompl[[#This Row],[name_furn]],furn[],3,0)</f>
        <v>27</v>
      </c>
      <c r="D242" s="57" t="s">
        <v>34</v>
      </c>
      <c r="E242" s="58">
        <v>4</v>
      </c>
      <c r="F242" s="54" t="s">
        <v>304</v>
      </c>
      <c r="G242" s="57" t="s">
        <v>34</v>
      </c>
      <c r="H242" s="58">
        <v>6</v>
      </c>
      <c r="I242" s="54"/>
    </row>
    <row r="243" spans="1:9" s="5" customFormat="1" ht="15" customHeight="1" x14ac:dyDescent="0.25">
      <c r="A243" s="69" t="s">
        <v>280</v>
      </c>
      <c r="B243" s="56" t="s">
        <v>64</v>
      </c>
      <c r="C243" s="56">
        <f>VLOOKUP(kompl[[#This Row],[name_furn]],furn[],3,0)</f>
        <v>28</v>
      </c>
      <c r="D243" s="57" t="s">
        <v>35</v>
      </c>
      <c r="E243" s="58">
        <v>4</v>
      </c>
      <c r="F243" s="54" t="s">
        <v>304</v>
      </c>
      <c r="G243" s="57" t="s">
        <v>35</v>
      </c>
      <c r="H243" s="58">
        <v>6</v>
      </c>
      <c r="I243" s="54"/>
    </row>
    <row r="244" spans="1:9" s="5" customFormat="1" ht="15" customHeight="1" x14ac:dyDescent="0.25">
      <c r="A244" s="69" t="s">
        <v>280</v>
      </c>
      <c r="B244" s="59" t="s">
        <v>65</v>
      </c>
      <c r="C244" s="56">
        <f>VLOOKUP(kompl[[#This Row],[name_furn]],furn[],3,0)</f>
        <v>28</v>
      </c>
      <c r="D244" s="57" t="s">
        <v>35</v>
      </c>
      <c r="E244" s="58">
        <v>4</v>
      </c>
      <c r="F244" s="54" t="s">
        <v>304</v>
      </c>
      <c r="G244" s="57" t="s">
        <v>35</v>
      </c>
      <c r="H244" s="58">
        <v>6</v>
      </c>
      <c r="I244" s="54"/>
    </row>
    <row r="245" spans="1:9" s="5" customFormat="1" ht="15" customHeight="1" x14ac:dyDescent="0.25">
      <c r="A245" s="59" t="s">
        <v>282</v>
      </c>
      <c r="B245" s="56" t="s">
        <v>63</v>
      </c>
      <c r="C245" s="56">
        <f>VLOOKUP(kompl[[#This Row],[name_furn]],furn[],3,0)</f>
        <v>27</v>
      </c>
      <c r="D245" s="57" t="s">
        <v>34</v>
      </c>
      <c r="E245" s="58">
        <v>4</v>
      </c>
      <c r="F245" s="54" t="s">
        <v>309</v>
      </c>
      <c r="G245" s="57" t="s">
        <v>34</v>
      </c>
      <c r="H245" s="58">
        <v>5</v>
      </c>
      <c r="I245" s="54"/>
    </row>
    <row r="246" spans="1:9" s="5" customFormat="1" ht="15" customHeight="1" x14ac:dyDescent="0.25">
      <c r="A246" s="59" t="s">
        <v>282</v>
      </c>
      <c r="B246" s="56" t="s">
        <v>64</v>
      </c>
      <c r="C246" s="56">
        <f>VLOOKUP(kompl[[#This Row],[name_furn]],furn[],3,0)</f>
        <v>28</v>
      </c>
      <c r="D246" s="57" t="s">
        <v>35</v>
      </c>
      <c r="E246" s="58">
        <v>4</v>
      </c>
      <c r="F246" s="54" t="s">
        <v>309</v>
      </c>
      <c r="G246" s="57" t="s">
        <v>35</v>
      </c>
      <c r="H246" s="58">
        <v>5</v>
      </c>
      <c r="I246" s="54"/>
    </row>
    <row r="247" spans="1:9" s="5" customFormat="1" ht="15" customHeight="1" x14ac:dyDescent="0.25">
      <c r="A247" s="59" t="s">
        <v>282</v>
      </c>
      <c r="B247" s="59" t="s">
        <v>65</v>
      </c>
      <c r="C247" s="56">
        <f>VLOOKUP(kompl[[#This Row],[name_furn]],furn[],3,0)</f>
        <v>28</v>
      </c>
      <c r="D247" s="57" t="s">
        <v>35</v>
      </c>
      <c r="E247" s="58">
        <v>4</v>
      </c>
      <c r="F247" s="54" t="s">
        <v>309</v>
      </c>
      <c r="G247" s="57" t="s">
        <v>35</v>
      </c>
      <c r="H247" s="58">
        <v>5</v>
      </c>
      <c r="I247" s="54"/>
    </row>
    <row r="248" spans="1:9" s="5" customFormat="1" ht="15" customHeight="1" x14ac:dyDescent="0.25">
      <c r="A248" s="59" t="s">
        <v>284</v>
      </c>
      <c r="B248" s="56" t="s">
        <v>63</v>
      </c>
      <c r="C248" s="56">
        <f>VLOOKUP(kompl[[#This Row],[name_furn]],furn[],3,0)</f>
        <v>27</v>
      </c>
      <c r="D248" s="57" t="s">
        <v>34</v>
      </c>
      <c r="E248" s="58">
        <v>2</v>
      </c>
      <c r="F248" s="54" t="s">
        <v>310</v>
      </c>
      <c r="G248" s="57" t="s">
        <v>34</v>
      </c>
      <c r="H248" s="58">
        <v>3</v>
      </c>
      <c r="I248" s="54">
        <v>4</v>
      </c>
    </row>
    <row r="249" spans="1:9" s="5" customFormat="1" ht="15" customHeight="1" x14ac:dyDescent="0.25">
      <c r="A249" s="59" t="s">
        <v>284</v>
      </c>
      <c r="B249" s="56" t="s">
        <v>63</v>
      </c>
      <c r="C249" s="56">
        <f>VLOOKUP(kompl[[#This Row],[name_furn]],furn[],3,0)</f>
        <v>35</v>
      </c>
      <c r="D249" s="57" t="s">
        <v>50</v>
      </c>
      <c r="E249" s="58">
        <v>1</v>
      </c>
      <c r="F249" s="54"/>
      <c r="G249" s="54"/>
      <c r="H249" s="54"/>
      <c r="I249" s="54"/>
    </row>
    <row r="250" spans="1:9" s="5" customFormat="1" x14ac:dyDescent="0.25">
      <c r="A250" s="59" t="s">
        <v>284</v>
      </c>
      <c r="B250" s="56" t="s">
        <v>64</v>
      </c>
      <c r="C250" s="56">
        <f>VLOOKUP(kompl[[#This Row],[name_furn]],furn[],3,0)</f>
        <v>28</v>
      </c>
      <c r="D250" s="57" t="s">
        <v>35</v>
      </c>
      <c r="E250" s="58">
        <v>2</v>
      </c>
      <c r="F250" s="54" t="s">
        <v>310</v>
      </c>
      <c r="G250" s="57" t="s">
        <v>35</v>
      </c>
      <c r="H250" s="58">
        <v>3</v>
      </c>
      <c r="I250" s="54">
        <v>4</v>
      </c>
    </row>
    <row r="251" spans="1:9" s="5" customFormat="1" x14ac:dyDescent="0.25">
      <c r="A251" s="59" t="s">
        <v>284</v>
      </c>
      <c r="B251" s="56" t="s">
        <v>64</v>
      </c>
      <c r="C251" s="56">
        <f>VLOOKUP(kompl[[#This Row],[name_furn]],furn[],3,0)</f>
        <v>36</v>
      </c>
      <c r="D251" s="57" t="s">
        <v>52</v>
      </c>
      <c r="E251" s="58">
        <v>1</v>
      </c>
      <c r="F251" s="54"/>
      <c r="G251" s="54"/>
      <c r="H251" s="54"/>
      <c r="I251" s="54"/>
    </row>
    <row r="252" spans="1:9" s="5" customFormat="1" x14ac:dyDescent="0.25">
      <c r="A252" s="59" t="s">
        <v>284</v>
      </c>
      <c r="B252" s="56" t="s">
        <v>64</v>
      </c>
      <c r="C252" s="56">
        <f>VLOOKUP(kompl[[#This Row],[name_furn]],furn[],3,0)</f>
        <v>33</v>
      </c>
      <c r="D252" s="57" t="s">
        <v>53</v>
      </c>
      <c r="E252" s="58">
        <v>1</v>
      </c>
      <c r="F252" s="54"/>
      <c r="G252" s="54"/>
      <c r="H252" s="54"/>
      <c r="I252" s="54"/>
    </row>
    <row r="253" spans="1:9" s="5" customFormat="1" x14ac:dyDescent="0.25">
      <c r="A253" s="59" t="s">
        <v>284</v>
      </c>
      <c r="B253" s="59" t="s">
        <v>65</v>
      </c>
      <c r="C253" s="56">
        <f>VLOOKUP(kompl[[#This Row],[name_furn]],furn[],3,0)</f>
        <v>28</v>
      </c>
      <c r="D253" s="57" t="s">
        <v>35</v>
      </c>
      <c r="E253" s="58">
        <v>2</v>
      </c>
      <c r="F253" s="54" t="s">
        <v>310</v>
      </c>
      <c r="G253" s="57" t="s">
        <v>35</v>
      </c>
      <c r="H253" s="58">
        <v>3</v>
      </c>
      <c r="I253" s="54">
        <v>4</v>
      </c>
    </row>
    <row r="254" spans="1:9" s="5" customFormat="1" x14ac:dyDescent="0.25">
      <c r="A254" s="59" t="s">
        <v>284</v>
      </c>
      <c r="B254" s="59" t="s">
        <v>65</v>
      </c>
      <c r="C254" s="56">
        <f>VLOOKUP(kompl[[#This Row],[name_furn]],furn[],3,0)</f>
        <v>37</v>
      </c>
      <c r="D254" s="57" t="s">
        <v>57</v>
      </c>
      <c r="E254" s="58">
        <v>1</v>
      </c>
      <c r="F254" s="54"/>
      <c r="G254" s="54"/>
      <c r="H254" s="54"/>
      <c r="I254" s="5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E7269-0ED6-4033-BA10-70EE2D7CC92F}">
  <sheetPr codeName="Лист3"/>
  <dimension ref="A1:C53"/>
  <sheetViews>
    <sheetView zoomScale="145" zoomScaleNormal="145" workbookViewId="0">
      <selection activeCell="B5" sqref="B5"/>
    </sheetView>
  </sheetViews>
  <sheetFormatPr defaultRowHeight="15" x14ac:dyDescent="0.25"/>
  <cols>
    <col min="1" max="1" width="12" style="46" bestFit="1" customWidth="1"/>
    <col min="2" max="2" width="38.85546875" style="47" customWidth="1"/>
    <col min="3" max="3" width="9.140625" style="46"/>
  </cols>
  <sheetData>
    <row r="1" spans="1:3" x14ac:dyDescent="0.25">
      <c r="A1" s="46" t="s">
        <v>287</v>
      </c>
      <c r="B1" s="47" t="s">
        <v>290</v>
      </c>
      <c r="C1" s="46" t="s">
        <v>313</v>
      </c>
    </row>
    <row r="2" spans="1:3" x14ac:dyDescent="0.25">
      <c r="A2" s="46" t="s">
        <v>15</v>
      </c>
      <c r="B2" s="47">
        <v>550</v>
      </c>
      <c r="C2" s="46">
        <v>1</v>
      </c>
    </row>
    <row r="3" spans="1:3" x14ac:dyDescent="0.25">
      <c r="A3" s="46" t="s">
        <v>16</v>
      </c>
      <c r="B3" s="47">
        <v>460</v>
      </c>
      <c r="C3" s="46">
        <v>2</v>
      </c>
    </row>
    <row r="4" spans="1:3" x14ac:dyDescent="0.25">
      <c r="A4" s="46" t="s">
        <v>17</v>
      </c>
      <c r="B4" s="47">
        <v>810</v>
      </c>
      <c r="C4" s="46">
        <v>3</v>
      </c>
    </row>
    <row r="5" spans="1:3" x14ac:dyDescent="0.25">
      <c r="A5" s="46" t="s">
        <v>18</v>
      </c>
      <c r="B5" s="47">
        <v>750</v>
      </c>
      <c r="C5" s="46">
        <v>4</v>
      </c>
    </row>
    <row r="6" spans="1:3" x14ac:dyDescent="0.25">
      <c r="A6" s="46" t="s">
        <v>19</v>
      </c>
      <c r="B6" s="47">
        <v>950</v>
      </c>
      <c r="C6" s="46">
        <v>5</v>
      </c>
    </row>
    <row r="7" spans="1:3" x14ac:dyDescent="0.25">
      <c r="A7" s="46" t="s">
        <v>20</v>
      </c>
      <c r="B7" s="47">
        <v>650</v>
      </c>
      <c r="C7" s="46">
        <v>6</v>
      </c>
    </row>
    <row r="8" spans="1:3" x14ac:dyDescent="0.25">
      <c r="A8" s="46" t="s">
        <v>21</v>
      </c>
      <c r="B8" s="47">
        <v>850</v>
      </c>
      <c r="C8" s="46">
        <v>7</v>
      </c>
    </row>
    <row r="9" spans="1:3" x14ac:dyDescent="0.25">
      <c r="A9" s="46" t="s">
        <v>22</v>
      </c>
      <c r="B9" s="47">
        <v>740</v>
      </c>
      <c r="C9" s="46">
        <v>8</v>
      </c>
    </row>
    <row r="10" spans="1:3" x14ac:dyDescent="0.25">
      <c r="A10" s="46" t="s">
        <v>23</v>
      </c>
      <c r="B10" s="47">
        <v>940</v>
      </c>
      <c r="C10" s="46">
        <v>9</v>
      </c>
    </row>
    <row r="11" spans="1:3" x14ac:dyDescent="0.25">
      <c r="A11" s="46" t="s">
        <v>24</v>
      </c>
      <c r="B11" s="47">
        <v>1130</v>
      </c>
      <c r="C11" s="46">
        <v>10</v>
      </c>
    </row>
    <row r="12" spans="1:3" x14ac:dyDescent="0.25">
      <c r="A12" s="46" t="s">
        <v>26</v>
      </c>
      <c r="B12" s="47">
        <v>760</v>
      </c>
      <c r="C12" s="46">
        <v>11</v>
      </c>
    </row>
    <row r="13" spans="1:3" x14ac:dyDescent="0.25">
      <c r="A13" s="46" t="s">
        <v>27</v>
      </c>
      <c r="B13" s="47">
        <v>600</v>
      </c>
      <c r="C13" s="46">
        <v>12</v>
      </c>
    </row>
    <row r="14" spans="1:3" x14ac:dyDescent="0.25">
      <c r="A14" s="46" t="s">
        <v>14</v>
      </c>
      <c r="B14" s="47">
        <v>540</v>
      </c>
      <c r="C14" s="46">
        <v>13</v>
      </c>
    </row>
    <row r="15" spans="1:3" x14ac:dyDescent="0.25">
      <c r="A15" s="46" t="s">
        <v>13</v>
      </c>
      <c r="B15" s="47">
        <v>740</v>
      </c>
      <c r="C15" s="46">
        <v>14</v>
      </c>
    </row>
    <row r="16" spans="1:3" x14ac:dyDescent="0.25">
      <c r="A16" s="46" t="s">
        <v>85</v>
      </c>
      <c r="B16" s="47">
        <v>940</v>
      </c>
      <c r="C16" s="46">
        <v>15</v>
      </c>
    </row>
    <row r="17" spans="1:3" x14ac:dyDescent="0.25">
      <c r="A17" s="46" t="s">
        <v>25</v>
      </c>
      <c r="B17" s="47">
        <v>340</v>
      </c>
      <c r="C17" s="46">
        <v>16</v>
      </c>
    </row>
    <row r="18" spans="1:3" x14ac:dyDescent="0.25">
      <c r="A18" s="46" t="s">
        <v>79</v>
      </c>
      <c r="B18" s="47">
        <v>540</v>
      </c>
      <c r="C18" s="46">
        <v>17</v>
      </c>
    </row>
    <row r="19" spans="1:3" x14ac:dyDescent="0.25">
      <c r="A19" s="46" t="s">
        <v>84</v>
      </c>
      <c r="B19" s="47">
        <v>940</v>
      </c>
      <c r="C19" s="46">
        <v>18</v>
      </c>
    </row>
    <row r="20" spans="1:3" x14ac:dyDescent="0.25">
      <c r="A20" s="46" t="s">
        <v>86</v>
      </c>
      <c r="B20" s="47">
        <v>1690</v>
      </c>
      <c r="C20" s="46">
        <v>19</v>
      </c>
    </row>
    <row r="21" spans="1:3" x14ac:dyDescent="0.25">
      <c r="A21" s="46" t="s">
        <v>289</v>
      </c>
      <c r="B21" s="47">
        <v>40</v>
      </c>
      <c r="C21" s="46">
        <v>20</v>
      </c>
    </row>
    <row r="22" spans="1:3" x14ac:dyDescent="0.25">
      <c r="A22" s="46" t="s">
        <v>33</v>
      </c>
      <c r="B22" s="47">
        <v>290</v>
      </c>
      <c r="C22" s="46">
        <v>21</v>
      </c>
    </row>
    <row r="23" spans="1:3" x14ac:dyDescent="0.25">
      <c r="A23" s="46" t="s">
        <v>28</v>
      </c>
      <c r="B23" s="47">
        <v>280</v>
      </c>
      <c r="C23" s="46">
        <v>22</v>
      </c>
    </row>
    <row r="24" spans="1:3" x14ac:dyDescent="0.25">
      <c r="A24" s="46" t="s">
        <v>32</v>
      </c>
      <c r="B24" s="47">
        <v>20</v>
      </c>
      <c r="C24" s="46">
        <v>23</v>
      </c>
    </row>
    <row r="25" spans="1:3" x14ac:dyDescent="0.25">
      <c r="A25" s="46" t="s">
        <v>29</v>
      </c>
      <c r="B25" s="47">
        <v>210</v>
      </c>
      <c r="C25" s="46">
        <v>24</v>
      </c>
    </row>
    <row r="26" spans="1:3" x14ac:dyDescent="0.25">
      <c r="A26" s="46" t="s">
        <v>30</v>
      </c>
      <c r="B26" s="47">
        <v>30</v>
      </c>
      <c r="C26" s="46">
        <v>25</v>
      </c>
    </row>
    <row r="27" spans="1:3" x14ac:dyDescent="0.25">
      <c r="A27" s="46" t="s">
        <v>31</v>
      </c>
      <c r="B27" s="47">
        <v>30</v>
      </c>
      <c r="C27" s="46">
        <v>26</v>
      </c>
    </row>
    <row r="28" spans="1:3" x14ac:dyDescent="0.25">
      <c r="A28" s="46" t="s">
        <v>34</v>
      </c>
      <c r="B28" s="47">
        <v>620</v>
      </c>
      <c r="C28" s="46">
        <v>27</v>
      </c>
    </row>
    <row r="29" spans="1:3" x14ac:dyDescent="0.25">
      <c r="A29" s="46" t="s">
        <v>35</v>
      </c>
      <c r="B29" s="47">
        <v>130</v>
      </c>
      <c r="C29" s="46">
        <v>28</v>
      </c>
    </row>
    <row r="30" spans="1:3" x14ac:dyDescent="0.25">
      <c r="A30" s="46" t="s">
        <v>36</v>
      </c>
      <c r="B30" s="47">
        <v>1300</v>
      </c>
      <c r="C30" s="46">
        <v>29</v>
      </c>
    </row>
    <row r="31" spans="1:3" x14ac:dyDescent="0.25">
      <c r="A31" s="46" t="s">
        <v>37</v>
      </c>
      <c r="B31" s="47">
        <v>480</v>
      </c>
      <c r="C31" s="46">
        <v>30</v>
      </c>
    </row>
    <row r="32" spans="1:3" x14ac:dyDescent="0.25">
      <c r="A32" s="46" t="s">
        <v>49</v>
      </c>
      <c r="B32" s="47">
        <v>5100</v>
      </c>
      <c r="C32" s="46">
        <v>31</v>
      </c>
    </row>
    <row r="33" spans="1:3" x14ac:dyDescent="0.25">
      <c r="A33" s="46" t="s">
        <v>51</v>
      </c>
      <c r="B33" s="47">
        <v>370</v>
      </c>
      <c r="C33" s="46">
        <v>32</v>
      </c>
    </row>
    <row r="34" spans="1:3" x14ac:dyDescent="0.25">
      <c r="A34" s="46" t="s">
        <v>53</v>
      </c>
      <c r="B34" s="47">
        <v>170</v>
      </c>
      <c r="C34" s="46">
        <v>33</v>
      </c>
    </row>
    <row r="35" spans="1:3" x14ac:dyDescent="0.25">
      <c r="A35" s="46" t="s">
        <v>56</v>
      </c>
      <c r="B35" s="47">
        <v>6440</v>
      </c>
      <c r="C35" s="46">
        <v>34</v>
      </c>
    </row>
    <row r="36" spans="1:3" x14ac:dyDescent="0.25">
      <c r="A36" s="46" t="s">
        <v>50</v>
      </c>
      <c r="B36" s="47">
        <v>6660</v>
      </c>
      <c r="C36" s="46">
        <v>35</v>
      </c>
    </row>
    <row r="37" spans="1:3" x14ac:dyDescent="0.25">
      <c r="A37" s="46" t="s">
        <v>52</v>
      </c>
      <c r="B37" s="47">
        <v>950</v>
      </c>
      <c r="C37" s="46">
        <v>36</v>
      </c>
    </row>
    <row r="38" spans="1:3" x14ac:dyDescent="0.25">
      <c r="A38" s="46" t="s">
        <v>57</v>
      </c>
      <c r="B38" s="47">
        <v>7970</v>
      </c>
      <c r="C38" s="46">
        <v>37</v>
      </c>
    </row>
    <row r="39" spans="1:3" x14ac:dyDescent="0.25">
      <c r="A39" s="46" t="s">
        <v>80</v>
      </c>
      <c r="B39" s="47">
        <v>8790</v>
      </c>
      <c r="C39" s="46">
        <v>38</v>
      </c>
    </row>
    <row r="40" spans="1:3" x14ac:dyDescent="0.25">
      <c r="A40" s="46" t="s">
        <v>48</v>
      </c>
      <c r="B40" s="47">
        <v>480</v>
      </c>
      <c r="C40" s="46">
        <v>39</v>
      </c>
    </row>
    <row r="41" spans="1:3" x14ac:dyDescent="0.25">
      <c r="A41" s="46" t="s">
        <v>312</v>
      </c>
      <c r="B41" s="47">
        <v>1560</v>
      </c>
      <c r="C41" s="46">
        <v>40</v>
      </c>
    </row>
    <row r="42" spans="1:3" x14ac:dyDescent="0.25">
      <c r="A42" s="46" t="s">
        <v>39</v>
      </c>
      <c r="B42" s="47">
        <v>190</v>
      </c>
      <c r="C42" s="46">
        <v>41</v>
      </c>
    </row>
    <row r="43" spans="1:3" x14ac:dyDescent="0.25">
      <c r="A43" s="46" t="s">
        <v>41</v>
      </c>
      <c r="B43" s="47">
        <v>4920</v>
      </c>
      <c r="C43" s="46">
        <v>42</v>
      </c>
    </row>
    <row r="44" spans="1:3" x14ac:dyDescent="0.25">
      <c r="A44" s="46" t="s">
        <v>40</v>
      </c>
      <c r="B44" s="47">
        <v>1600</v>
      </c>
      <c r="C44" s="46">
        <v>43</v>
      </c>
    </row>
    <row r="45" spans="1:3" x14ac:dyDescent="0.25">
      <c r="A45" s="46" t="s">
        <v>42</v>
      </c>
      <c r="B45" s="47">
        <v>5530</v>
      </c>
      <c r="C45" s="46">
        <v>44</v>
      </c>
    </row>
    <row r="46" spans="1:3" x14ac:dyDescent="0.25">
      <c r="A46" s="46" t="s">
        <v>43</v>
      </c>
      <c r="B46" s="47">
        <v>6130</v>
      </c>
      <c r="C46" s="46">
        <v>45</v>
      </c>
    </row>
    <row r="47" spans="1:3" x14ac:dyDescent="0.25">
      <c r="A47" s="46" t="s">
        <v>292</v>
      </c>
      <c r="B47" s="47">
        <v>6340</v>
      </c>
      <c r="C47" s="46">
        <v>46</v>
      </c>
    </row>
    <row r="48" spans="1:3" x14ac:dyDescent="0.25">
      <c r="A48" s="46" t="s">
        <v>59</v>
      </c>
      <c r="B48" s="47">
        <v>10520</v>
      </c>
      <c r="C48" s="46">
        <v>47</v>
      </c>
    </row>
    <row r="49" spans="1:3" x14ac:dyDescent="0.25">
      <c r="A49" s="46" t="s">
        <v>44</v>
      </c>
      <c r="B49" s="47">
        <v>6080</v>
      </c>
      <c r="C49" s="46">
        <v>48</v>
      </c>
    </row>
    <row r="50" spans="1:3" x14ac:dyDescent="0.25">
      <c r="A50" s="46" t="s">
        <v>293</v>
      </c>
      <c r="B50" s="47">
        <v>6940</v>
      </c>
      <c r="C50" s="46">
        <v>49</v>
      </c>
    </row>
    <row r="51" spans="1:3" x14ac:dyDescent="0.25">
      <c r="A51" s="46" t="s">
        <v>46</v>
      </c>
      <c r="B51" s="47">
        <v>2290</v>
      </c>
      <c r="C51" s="46">
        <v>50</v>
      </c>
    </row>
    <row r="52" spans="1:3" x14ac:dyDescent="0.25">
      <c r="A52" s="46" t="s">
        <v>47</v>
      </c>
      <c r="B52" s="47">
        <v>13990</v>
      </c>
      <c r="C52" s="46">
        <v>51</v>
      </c>
    </row>
    <row r="53" spans="1:3" x14ac:dyDescent="0.25">
      <c r="A53" s="46" t="s">
        <v>87</v>
      </c>
      <c r="B53" s="47">
        <v>1200</v>
      </c>
      <c r="C53" s="46">
        <v>52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modules</vt:lpstr>
      <vt:lpstr>kf_korp</vt:lpstr>
      <vt:lpstr>kompl</vt:lpstr>
      <vt:lpstr>furn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2025-09-30T18:15:45Z</dcterms:created>
  <dcterms:modified xsi:type="dcterms:W3CDTF">2025-10-05T05:32:49Z</dcterms:modified>
</cp:coreProperties>
</file>