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3F2B10B7-F4D0-477B-BC4C-B49301FC3AE7}" xr6:coauthVersionLast="45" xr6:coauthVersionMax="45" xr10:uidLastSave="{00000000-0000-0000-0000-000000000000}"/>
  <bookViews>
    <workbookView xWindow="-120" yWindow="-120" windowWidth="29040" windowHeight="15840" xr2:uid="{38627D7D-736F-4D1A-9ABD-DADB48A4DBD5}"/>
  </bookViews>
  <sheets>
    <sheet name="modules" sheetId="2" r:id="rId1"/>
  </sheets>
  <externalReferences>
    <externalReference r:id="rId2"/>
    <externalReference r:id="rId3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5" i="2" l="1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3" i="2"/>
  <c r="Q42" i="2"/>
  <c r="Q40" i="2"/>
  <c r="Q39" i="2"/>
  <c r="Q37" i="2"/>
  <c r="Q36" i="2"/>
  <c r="Q35" i="2"/>
  <c r="Q34" i="2"/>
  <c r="Q30" i="2"/>
  <c r="Q29" i="2"/>
  <c r="Q28" i="2"/>
  <c r="Q27" i="2"/>
  <c r="Q26" i="2"/>
  <c r="Q25" i="2"/>
  <c r="Q24" i="2"/>
  <c r="Q23" i="2"/>
  <c r="Q22" i="2"/>
  <c r="Q21" i="2"/>
  <c r="Q19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CN85" i="2" l="1"/>
  <c r="CJ85" i="2"/>
  <c r="BO85" i="2"/>
  <c r="BJ85" i="2"/>
  <c r="BH85" i="2"/>
  <c r="AS85" i="2"/>
  <c r="AR85" i="2"/>
  <c r="AJ85" i="2"/>
  <c r="AM85" i="2" s="1"/>
  <c r="CN84" i="2"/>
  <c r="CJ84" i="2"/>
  <c r="AS84" i="2"/>
  <c r="BW84" i="2" s="1"/>
  <c r="AR84" i="2"/>
  <c r="BU84" i="2" s="1"/>
  <c r="AJ84" i="2"/>
  <c r="CN83" i="2"/>
  <c r="CI83" i="2"/>
  <c r="AS83" i="2"/>
  <c r="BW83" i="2" s="1"/>
  <c r="AR83" i="2"/>
  <c r="BU83" i="2" s="1"/>
  <c r="AL83" i="2"/>
  <c r="AK83" i="2"/>
  <c r="CN82" i="2"/>
  <c r="CI82" i="2"/>
  <c r="AS82" i="2"/>
  <c r="BW82" i="2" s="1"/>
  <c r="AR82" i="2"/>
  <c r="BU82" i="2" s="1"/>
  <c r="AL82" i="2"/>
  <c r="AK82" i="2"/>
  <c r="CN81" i="2"/>
  <c r="CL81" i="2"/>
  <c r="CH81" i="2" s="1"/>
  <c r="CK81" i="2"/>
  <c r="AS81" i="2"/>
  <c r="BV81" i="2" s="1"/>
  <c r="AR81" i="2"/>
  <c r="BU81" i="2" s="1"/>
  <c r="AL81" i="2"/>
  <c r="AK81" i="2"/>
  <c r="CN80" i="2"/>
  <c r="CL80" i="2"/>
  <c r="CH80" i="2" s="1"/>
  <c r="CK80" i="2"/>
  <c r="AS80" i="2"/>
  <c r="BW80" i="2" s="1"/>
  <c r="AR80" i="2"/>
  <c r="BU80" i="2" s="1"/>
  <c r="AL80" i="2"/>
  <c r="AK80" i="2"/>
  <c r="CN79" i="2"/>
  <c r="BD79" i="2"/>
  <c r="BB79" i="2"/>
  <c r="AS79" i="2"/>
  <c r="AR79" i="2"/>
  <c r="AJ79" i="2"/>
  <c r="AF79" i="2"/>
  <c r="CN78" i="2"/>
  <c r="CJ78" i="2"/>
  <c r="BM78" i="2"/>
  <c r="BH78" i="2"/>
  <c r="AR78" i="2"/>
  <c r="AQ78" i="2"/>
  <c r="AJ78" i="2"/>
  <c r="CN77" i="2"/>
  <c r="BD77" i="2"/>
  <c r="BC77" i="2"/>
  <c r="BB77" i="2"/>
  <c r="AS77" i="2"/>
  <c r="AR77" i="2"/>
  <c r="AJ77" i="2"/>
  <c r="AF77" i="2"/>
  <c r="CN76" i="2"/>
  <c r="BN76" i="2"/>
  <c r="BM76" i="2"/>
  <c r="BK76" i="2"/>
  <c r="BJ76" i="2"/>
  <c r="BH76" i="2"/>
  <c r="AS76" i="2"/>
  <c r="AR76" i="2"/>
  <c r="AJ76" i="2"/>
  <c r="AE76" i="2"/>
  <c r="CN75" i="2"/>
  <c r="BN75" i="2"/>
  <c r="BM75" i="2"/>
  <c r="BK75" i="2"/>
  <c r="BJ75" i="2"/>
  <c r="BH75" i="2"/>
  <c r="AS75" i="2"/>
  <c r="AR75" i="2"/>
  <c r="AJ75" i="2"/>
  <c r="AE75" i="2"/>
  <c r="CN74" i="2"/>
  <c r="BN74" i="2"/>
  <c r="BM74" i="2"/>
  <c r="BK74" i="2"/>
  <c r="BJ74" i="2"/>
  <c r="BH74" i="2"/>
  <c r="AS74" i="2"/>
  <c r="AR74" i="2"/>
  <c r="AJ74" i="2"/>
  <c r="AE74" i="2"/>
  <c r="CN73" i="2"/>
  <c r="AR73" i="2"/>
  <c r="AQ73" i="2"/>
  <c r="AJ73" i="2"/>
  <c r="AE73" i="2"/>
  <c r="CN72" i="2"/>
  <c r="AR72" i="2"/>
  <c r="AQ72" i="2"/>
  <c r="AJ72" i="2"/>
  <c r="AE72" i="2"/>
  <c r="CN71" i="2"/>
  <c r="BO71" i="2"/>
  <c r="BN71" i="2"/>
  <c r="BM71" i="2"/>
  <c r="BK71" i="2"/>
  <c r="BJ71" i="2"/>
  <c r="BH71" i="2"/>
  <c r="AS71" i="2"/>
  <c r="AR71" i="2"/>
  <c r="AJ71" i="2"/>
  <c r="AE71" i="2"/>
  <c r="CN70" i="2"/>
  <c r="BO70" i="2"/>
  <c r="BN70" i="2"/>
  <c r="BM70" i="2"/>
  <c r="BL70" i="2"/>
  <c r="BK70" i="2"/>
  <c r="BJ70" i="2"/>
  <c r="BI70" i="2"/>
  <c r="BH70" i="2"/>
  <c r="BG70" i="2"/>
  <c r="AS70" i="2"/>
  <c r="AR70" i="2"/>
  <c r="AJ70" i="2"/>
  <c r="AE70" i="2"/>
  <c r="CN69" i="2"/>
  <c r="AR69" i="2"/>
  <c r="AQ69" i="2"/>
  <c r="AJ69" i="2"/>
  <c r="AE69" i="2"/>
  <c r="CN68" i="2"/>
  <c r="AS68" i="2"/>
  <c r="BW68" i="2" s="1"/>
  <c r="AR68" i="2"/>
  <c r="BU68" i="2" s="1"/>
  <c r="AJ68" i="2"/>
  <c r="AE68" i="2"/>
  <c r="CN67" i="2"/>
  <c r="AR67" i="2"/>
  <c r="AQ67" i="2"/>
  <c r="AJ67" i="2"/>
  <c r="AM67" i="2" s="1"/>
  <c r="CN66" i="2"/>
  <c r="AS66" i="2"/>
  <c r="BW66" i="2" s="1"/>
  <c r="AR66" i="2"/>
  <c r="BU66" i="2" s="1"/>
  <c r="AJ66" i="2"/>
  <c r="AD66" i="2"/>
  <c r="CN65" i="2"/>
  <c r="BN65" i="2"/>
  <c r="BW65" i="2" s="1"/>
  <c r="BK65" i="2"/>
  <c r="BJ65" i="2"/>
  <c r="BH65" i="2"/>
  <c r="BU65" i="2" s="1"/>
  <c r="AJ65" i="2"/>
  <c r="AD65" i="2"/>
  <c r="CN64" i="2"/>
  <c r="AS64" i="2"/>
  <c r="BV64" i="2" s="1"/>
  <c r="AR64" i="2"/>
  <c r="BU64" i="2" s="1"/>
  <c r="AJ64" i="2"/>
  <c r="AD64" i="2"/>
  <c r="CN63" i="2"/>
  <c r="AS63" i="2"/>
  <c r="BW63" i="2" s="1"/>
  <c r="AR63" i="2"/>
  <c r="BU63" i="2" s="1"/>
  <c r="AJ63" i="2"/>
  <c r="AD63" i="2"/>
  <c r="CN62" i="2"/>
  <c r="AR62" i="2"/>
  <c r="AQ62" i="2"/>
  <c r="AJ62" i="2"/>
  <c r="AM62" i="2" s="1"/>
  <c r="CN61" i="2"/>
  <c r="AS61" i="2"/>
  <c r="BV61" i="2" s="1"/>
  <c r="AR61" i="2"/>
  <c r="BU61" i="2" s="1"/>
  <c r="AJ61" i="2"/>
  <c r="AD61" i="2"/>
  <c r="CN60" i="2"/>
  <c r="AW60" i="2"/>
  <c r="BW60" i="2" s="1"/>
  <c r="AV60" i="2"/>
  <c r="AN60" i="2"/>
  <c r="AA60" i="2"/>
  <c r="AM60" i="2" s="1"/>
  <c r="CN59" i="2"/>
  <c r="AI59" i="2"/>
  <c r="AM59" i="2" s="1"/>
  <c r="CN58" i="2"/>
  <c r="BT58" i="2"/>
  <c r="AU58" i="2"/>
  <c r="BW58" i="2" s="1"/>
  <c r="AT58" i="2"/>
  <c r="AO58" i="2"/>
  <c r="AL58" i="2"/>
  <c r="AK58" i="2"/>
  <c r="AF58" i="2"/>
  <c r="CN57" i="2"/>
  <c r="BT57" i="2"/>
  <c r="BE57" i="2"/>
  <c r="BW57" i="2" s="1"/>
  <c r="AL57" i="2"/>
  <c r="AK57" i="2"/>
  <c r="W57" i="2"/>
  <c r="CN56" i="2"/>
  <c r="BT56" i="2"/>
  <c r="AS56" i="2"/>
  <c r="BV56" i="2" s="1"/>
  <c r="AR56" i="2"/>
  <c r="BU56" i="2" s="1"/>
  <c r="AL56" i="2"/>
  <c r="AK56" i="2"/>
  <c r="W56" i="2"/>
  <c r="CN55" i="2"/>
  <c r="BT55" i="2"/>
  <c r="AS55" i="2"/>
  <c r="BW55" i="2" s="1"/>
  <c r="AR55" i="2"/>
  <c r="BU55" i="2" s="1"/>
  <c r="AL55" i="2"/>
  <c r="AK55" i="2"/>
  <c r="W55" i="2"/>
  <c r="CN54" i="2"/>
  <c r="AS54" i="2"/>
  <c r="AR54" i="2"/>
  <c r="AN54" i="2"/>
  <c r="AC54" i="2"/>
  <c r="AM54" i="2" s="1"/>
  <c r="CN53" i="2"/>
  <c r="BC53" i="2"/>
  <c r="BB53" i="2"/>
  <c r="BW53" i="2" s="1"/>
  <c r="AY53" i="2"/>
  <c r="AL53" i="2"/>
  <c r="AK53" i="2"/>
  <c r="AG53" i="2"/>
  <c r="CN52" i="2"/>
  <c r="BC52" i="2"/>
  <c r="BB52" i="2"/>
  <c r="AY52" i="2"/>
  <c r="AL52" i="2"/>
  <c r="AK52" i="2"/>
  <c r="AG52" i="2"/>
  <c r="CN51" i="2"/>
  <c r="BC51" i="2"/>
  <c r="BB51" i="2"/>
  <c r="AX51" i="2"/>
  <c r="AL51" i="2"/>
  <c r="AK51" i="2"/>
  <c r="AG51" i="2"/>
  <c r="CN50" i="2"/>
  <c r="BE50" i="2"/>
  <c r="AX50" i="2"/>
  <c r="AL50" i="2"/>
  <c r="AK50" i="2"/>
  <c r="AG50" i="2"/>
  <c r="CN49" i="2"/>
  <c r="BA49" i="2"/>
  <c r="AS49" i="2"/>
  <c r="AR49" i="2"/>
  <c r="AL49" i="2"/>
  <c r="AK49" i="2"/>
  <c r="AG49" i="2"/>
  <c r="CN48" i="2"/>
  <c r="AZ48" i="2"/>
  <c r="AS48" i="2"/>
  <c r="AR48" i="2"/>
  <c r="AL48" i="2"/>
  <c r="AK48" i="2"/>
  <c r="AG48" i="2"/>
  <c r="CN47" i="2"/>
  <c r="AY47" i="2"/>
  <c r="AS47" i="2"/>
  <c r="AR47" i="2"/>
  <c r="AL47" i="2"/>
  <c r="AK47" i="2"/>
  <c r="AG47" i="2"/>
  <c r="CN46" i="2"/>
  <c r="AY46" i="2"/>
  <c r="AS46" i="2"/>
  <c r="AR46" i="2"/>
  <c r="AL46" i="2"/>
  <c r="AK46" i="2"/>
  <c r="AG46" i="2"/>
  <c r="CN45" i="2"/>
  <c r="AX45" i="2"/>
  <c r="AS45" i="2"/>
  <c r="AR45" i="2"/>
  <c r="AL45" i="2"/>
  <c r="AK45" i="2"/>
  <c r="AG45" i="2"/>
  <c r="CN44" i="2"/>
  <c r="AW44" i="2"/>
  <c r="BV44" i="2" s="1"/>
  <c r="AV44" i="2"/>
  <c r="BU44" i="2" s="1"/>
  <c r="AL44" i="2"/>
  <c r="AK44" i="2"/>
  <c r="AD44" i="2"/>
  <c r="CN43" i="2"/>
  <c r="AS43" i="2"/>
  <c r="BW43" i="2" s="1"/>
  <c r="AR43" i="2"/>
  <c r="BU43" i="2" s="1"/>
  <c r="AL43" i="2"/>
  <c r="AK43" i="2"/>
  <c r="AH43" i="2"/>
  <c r="CN42" i="2"/>
  <c r="AS42" i="2"/>
  <c r="BW42" i="2" s="1"/>
  <c r="AR42" i="2"/>
  <c r="BU42" i="2" s="1"/>
  <c r="AL42" i="2"/>
  <c r="AK42" i="2"/>
  <c r="AH42" i="2"/>
  <c r="CN41" i="2"/>
  <c r="AU41" i="2"/>
  <c r="AT41" i="2"/>
  <c r="AP41" i="2"/>
  <c r="AO41" i="2"/>
  <c r="AL41" i="2"/>
  <c r="AK41" i="2"/>
  <c r="AF41" i="2"/>
  <c r="CN40" i="2"/>
  <c r="BE40" i="2"/>
  <c r="BW40" i="2" s="1"/>
  <c r="AL40" i="2"/>
  <c r="AK40" i="2"/>
  <c r="W40" i="2"/>
  <c r="CN39" i="2"/>
  <c r="AS39" i="2"/>
  <c r="BW39" i="2" s="1"/>
  <c r="AR39" i="2"/>
  <c r="BU39" i="2" s="1"/>
  <c r="AL39" i="2"/>
  <c r="AK39" i="2"/>
  <c r="CN38" i="2"/>
  <c r="BD38" i="2"/>
  <c r="BB38" i="2"/>
  <c r="BU38" i="2" s="1"/>
  <c r="AS38" i="2"/>
  <c r="AL38" i="2"/>
  <c r="AK38" i="2"/>
  <c r="AD38" i="2"/>
  <c r="CN37" i="2"/>
  <c r="BD37" i="2"/>
  <c r="BC37" i="2"/>
  <c r="BB37" i="2"/>
  <c r="BU37" i="2" s="1"/>
  <c r="AS37" i="2"/>
  <c r="AL37" i="2"/>
  <c r="AK37" i="2"/>
  <c r="W37" i="2"/>
  <c r="CN36" i="2"/>
  <c r="AS36" i="2"/>
  <c r="BW36" i="2" s="1"/>
  <c r="AR36" i="2"/>
  <c r="BU36" i="2" s="1"/>
  <c r="AL36" i="2"/>
  <c r="AK36" i="2"/>
  <c r="CN35" i="2"/>
  <c r="AS35" i="2"/>
  <c r="BW35" i="2" s="1"/>
  <c r="AR35" i="2"/>
  <c r="BU35" i="2" s="1"/>
  <c r="AL35" i="2"/>
  <c r="AK35" i="2"/>
  <c r="CN34" i="2"/>
  <c r="AL34" i="2"/>
  <c r="AK34" i="2"/>
  <c r="W34" i="2"/>
  <c r="CN33" i="2"/>
  <c r="AI33" i="2"/>
  <c r="AM33" i="2" s="1"/>
  <c r="CN32" i="2"/>
  <c r="BS32" i="2"/>
  <c r="AT32" i="2"/>
  <c r="AO32" i="2"/>
  <c r="AJ32" i="2"/>
  <c r="Y32" i="2"/>
  <c r="CN31" i="2"/>
  <c r="BS31" i="2"/>
  <c r="AT31" i="2"/>
  <c r="AO31" i="2"/>
  <c r="AJ31" i="2"/>
  <c r="Y31" i="2"/>
  <c r="CN30" i="2"/>
  <c r="BS30" i="2"/>
  <c r="AS30" i="2"/>
  <c r="AR30" i="2"/>
  <c r="AJ30" i="2"/>
  <c r="W30" i="2"/>
  <c r="CN29" i="2"/>
  <c r="BS29" i="2"/>
  <c r="AS29" i="2"/>
  <c r="AR29" i="2"/>
  <c r="AJ29" i="2"/>
  <c r="W29" i="2"/>
  <c r="CN28" i="2"/>
  <c r="BS28" i="2"/>
  <c r="BR28" i="2"/>
  <c r="BQ28" i="2"/>
  <c r="AJ28" i="2"/>
  <c r="W28" i="2"/>
  <c r="CN27" i="2"/>
  <c r="BS27" i="2"/>
  <c r="BP27" i="2"/>
  <c r="W27" i="2"/>
  <c r="AM27" i="2" s="1"/>
  <c r="CN26" i="2"/>
  <c r="BS26" i="2"/>
  <c r="BH26" i="2"/>
  <c r="BG26" i="2"/>
  <c r="AJ26" i="2"/>
  <c r="W26" i="2"/>
  <c r="CN25" i="2"/>
  <c r="BS25" i="2"/>
  <c r="BH25" i="2"/>
  <c r="AJ25" i="2"/>
  <c r="W25" i="2"/>
  <c r="CN24" i="2"/>
  <c r="BS24" i="2"/>
  <c r="AS24" i="2"/>
  <c r="AR24" i="2"/>
  <c r="AJ24" i="2"/>
  <c r="W24" i="2"/>
  <c r="CN23" i="2"/>
  <c r="BS23" i="2"/>
  <c r="AS23" i="2"/>
  <c r="AR23" i="2"/>
  <c r="AJ23" i="2"/>
  <c r="W23" i="2"/>
  <c r="CN22" i="2"/>
  <c r="AU22" i="2"/>
  <c r="BV22" i="2" s="1"/>
  <c r="AT22" i="2"/>
  <c r="BU22" i="2" s="1"/>
  <c r="AJ22" i="2"/>
  <c r="AA22" i="2"/>
  <c r="CN21" i="2"/>
  <c r="AJ21" i="2"/>
  <c r="AB21" i="2"/>
  <c r="CN20" i="2"/>
  <c r="AW20" i="2"/>
  <c r="BW20" i="2" s="1"/>
  <c r="AV20" i="2"/>
  <c r="BU20" i="2" s="1"/>
  <c r="AJ20" i="2"/>
  <c r="AD20" i="2"/>
  <c r="CN19" i="2"/>
  <c r="BK19" i="2"/>
  <c r="BF19" i="2"/>
  <c r="AJ19" i="2"/>
  <c r="X19" i="2"/>
  <c r="CN18" i="2"/>
  <c r="CE18" i="2"/>
  <c r="CD18" i="2"/>
  <c r="BH18" i="2"/>
  <c r="AJ18" i="2"/>
  <c r="CN17" i="2"/>
  <c r="BO17" i="2"/>
  <c r="BW17" i="2" s="1"/>
  <c r="BM17" i="2"/>
  <c r="BK17" i="2"/>
  <c r="BJ17" i="2"/>
  <c r="BH17" i="2"/>
  <c r="BU17" i="2" s="1"/>
  <c r="AJ17" i="2"/>
  <c r="W17" i="2"/>
  <c r="CN16" i="2"/>
  <c r="BO16" i="2"/>
  <c r="BN16" i="2"/>
  <c r="BM16" i="2"/>
  <c r="BK16" i="2"/>
  <c r="BJ16" i="2"/>
  <c r="BI16" i="2"/>
  <c r="BH16" i="2"/>
  <c r="BG16" i="2"/>
  <c r="AJ16" i="2"/>
  <c r="W16" i="2"/>
  <c r="CN15" i="2"/>
  <c r="BN15" i="2"/>
  <c r="BW15" i="2" s="1"/>
  <c r="BK15" i="2"/>
  <c r="BI15" i="2"/>
  <c r="BG15" i="2"/>
  <c r="BU15" i="2" s="1"/>
  <c r="AJ15" i="2"/>
  <c r="W15" i="2"/>
  <c r="CN14" i="2"/>
  <c r="BL14" i="2"/>
  <c r="BK14" i="2"/>
  <c r="BI14" i="2"/>
  <c r="BG14" i="2"/>
  <c r="AS14" i="2"/>
  <c r="AR14" i="2"/>
  <c r="AJ14" i="2"/>
  <c r="W14" i="2"/>
  <c r="CN13" i="2"/>
  <c r="BL13" i="2"/>
  <c r="BK13" i="2"/>
  <c r="BI13" i="2"/>
  <c r="BG13" i="2"/>
  <c r="AS13" i="2"/>
  <c r="AR13" i="2"/>
  <c r="AJ13" i="2"/>
  <c r="W13" i="2"/>
  <c r="CN12" i="2"/>
  <c r="AU12" i="2"/>
  <c r="AT12" i="2"/>
  <c r="AO12" i="2"/>
  <c r="AJ12" i="2"/>
  <c r="Z12" i="2"/>
  <c r="CN11" i="2"/>
  <c r="AU11" i="2"/>
  <c r="AT11" i="2"/>
  <c r="AO11" i="2"/>
  <c r="AJ11" i="2"/>
  <c r="Z11" i="2"/>
  <c r="CN10" i="2"/>
  <c r="AU10" i="2"/>
  <c r="AT10" i="2"/>
  <c r="AP10" i="2"/>
  <c r="AO10" i="2"/>
  <c r="AJ10" i="2"/>
  <c r="Y10" i="2"/>
  <c r="CN9" i="2"/>
  <c r="AU9" i="2"/>
  <c r="AT9" i="2"/>
  <c r="AP9" i="2"/>
  <c r="AO9" i="2"/>
  <c r="AJ9" i="2"/>
  <c r="Y9" i="2"/>
  <c r="CN8" i="2"/>
  <c r="AS8" i="2"/>
  <c r="BW8" i="2" s="1"/>
  <c r="AR8" i="2"/>
  <c r="BU8" i="2" s="1"/>
  <c r="AJ8" i="2"/>
  <c r="X8" i="2"/>
  <c r="CN7" i="2"/>
  <c r="AS7" i="2"/>
  <c r="BV7" i="2" s="1"/>
  <c r="AR7" i="2"/>
  <c r="BU7" i="2" s="1"/>
  <c r="AJ7" i="2"/>
  <c r="X7" i="2"/>
  <c r="CN6" i="2"/>
  <c r="BQ6" i="2"/>
  <c r="BW6" i="2" s="1"/>
  <c r="AJ6" i="2"/>
  <c r="W6" i="2"/>
  <c r="CN5" i="2"/>
  <c r="BP5" i="2"/>
  <c r="BW5" i="2" s="1"/>
  <c r="AJ5" i="2"/>
  <c r="W5" i="2"/>
  <c r="CN4" i="2"/>
  <c r="AS4" i="2"/>
  <c r="BW4" i="2" s="1"/>
  <c r="AR4" i="2"/>
  <c r="BU4" i="2" s="1"/>
  <c r="AJ4" i="2"/>
  <c r="W4" i="2"/>
  <c r="CN3" i="2"/>
  <c r="AS3" i="2"/>
  <c r="BW3" i="2" s="1"/>
  <c r="AR3" i="2"/>
  <c r="BU3" i="2" s="1"/>
  <c r="AJ3" i="2"/>
  <c r="W3" i="2"/>
  <c r="CN2" i="2"/>
  <c r="BW2" i="2"/>
  <c r="BV2" i="2"/>
  <c r="BU2" i="2"/>
  <c r="AJ2" i="2"/>
  <c r="W2" i="2"/>
  <c r="AM39" i="2" l="1"/>
  <c r="BW29" i="2"/>
  <c r="AM64" i="2"/>
  <c r="BV25" i="2"/>
  <c r="AM31" i="2"/>
  <c r="BW51" i="2"/>
  <c r="BW71" i="2"/>
  <c r="AM8" i="2"/>
  <c r="BW10" i="2"/>
  <c r="AM16" i="2"/>
  <c r="AM17" i="2"/>
  <c r="BV79" i="2"/>
  <c r="AM7" i="2"/>
  <c r="AM40" i="2"/>
  <c r="BW62" i="2"/>
  <c r="BW32" i="2"/>
  <c r="BV38" i="2"/>
  <c r="AM76" i="2"/>
  <c r="BW37" i="2"/>
  <c r="BU85" i="2"/>
  <c r="BW85" i="2"/>
  <c r="AM79" i="2"/>
  <c r="BU71" i="2"/>
  <c r="AM4" i="2"/>
  <c r="AM38" i="2"/>
  <c r="BV63" i="2"/>
  <c r="BU69" i="2"/>
  <c r="AM78" i="2"/>
  <c r="BW64" i="2"/>
  <c r="BU52" i="2"/>
  <c r="BW81" i="2"/>
  <c r="AM9" i="2"/>
  <c r="BU16" i="2"/>
  <c r="AM21" i="2"/>
  <c r="BU23" i="2"/>
  <c r="BW49" i="2"/>
  <c r="BV58" i="2"/>
  <c r="BW76" i="2"/>
  <c r="BU77" i="2"/>
  <c r="BU12" i="2"/>
  <c r="BV17" i="2"/>
  <c r="AM19" i="2"/>
  <c r="AM37" i="2"/>
  <c r="AM3" i="2"/>
  <c r="AM68" i="2"/>
  <c r="AM82" i="2"/>
  <c r="BU25" i="2"/>
  <c r="BW45" i="2"/>
  <c r="BW48" i="2"/>
  <c r="BV65" i="2"/>
  <c r="BV74" i="2"/>
  <c r="AM84" i="2"/>
  <c r="BU14" i="2"/>
  <c r="BV50" i="2"/>
  <c r="BW56" i="2"/>
  <c r="AM58" i="2"/>
  <c r="BW54" i="2"/>
  <c r="AM72" i="2"/>
  <c r="BW77" i="2"/>
  <c r="BW72" i="2"/>
  <c r="BW16" i="2"/>
  <c r="AM34" i="2"/>
  <c r="BV37" i="2"/>
  <c r="AM44" i="2"/>
  <c r="AM55" i="2"/>
  <c r="AM20" i="2"/>
  <c r="BU60" i="2"/>
  <c r="BV71" i="2"/>
  <c r="BU74" i="2"/>
  <c r="AM23" i="2"/>
  <c r="BW26" i="2"/>
  <c r="BW28" i="2"/>
  <c r="AM49" i="2"/>
  <c r="AM12" i="2"/>
  <c r="AM43" i="2"/>
  <c r="BW44" i="2"/>
  <c r="BV82" i="2"/>
  <c r="AM63" i="2"/>
  <c r="BV73" i="2"/>
  <c r="BV46" i="2"/>
  <c r="AM5" i="2"/>
  <c r="AM41" i="2"/>
  <c r="AM51" i="2"/>
  <c r="BU5" i="2"/>
  <c r="BW18" i="2"/>
  <c r="AM28" i="2"/>
  <c r="BV35" i="2"/>
  <c r="BV55" i="2"/>
  <c r="AM77" i="2"/>
  <c r="AM25" i="2"/>
  <c r="AM57" i="2"/>
  <c r="BV60" i="2"/>
  <c r="BW67" i="2"/>
  <c r="BU26" i="2"/>
  <c r="AM80" i="2"/>
  <c r="AM15" i="2"/>
  <c r="BV16" i="2"/>
  <c r="BW23" i="2"/>
  <c r="BV26" i="2"/>
  <c r="BW19" i="2"/>
  <c r="AM30" i="2"/>
  <c r="BV72" i="2"/>
  <c r="BU76" i="2"/>
  <c r="BV84" i="2"/>
  <c r="BV15" i="2"/>
  <c r="BW47" i="2"/>
  <c r="AM70" i="2"/>
  <c r="BW74" i="2"/>
  <c r="BV85" i="2"/>
  <c r="BU6" i="2"/>
  <c r="BV6" i="2"/>
  <c r="AM10" i="2"/>
  <c r="AM13" i="2"/>
  <c r="BW14" i="2"/>
  <c r="BV36" i="2"/>
  <c r="BU13" i="2"/>
  <c r="BV27" i="2"/>
  <c r="AM42" i="2"/>
  <c r="BV43" i="2"/>
  <c r="AM45" i="2"/>
  <c r="BU53" i="2"/>
  <c r="AM71" i="2"/>
  <c r="AM73" i="2"/>
  <c r="AM18" i="2"/>
  <c r="AM26" i="2"/>
  <c r="BV29" i="2"/>
  <c r="BV53" i="2"/>
  <c r="AM65" i="2"/>
  <c r="BU79" i="2"/>
  <c r="BV5" i="2"/>
  <c r="BU28" i="2"/>
  <c r="BW7" i="2"/>
  <c r="BW9" i="2"/>
  <c r="BW27" i="2"/>
  <c r="BW50" i="2"/>
  <c r="BW75" i="2"/>
  <c r="AM22" i="2"/>
  <c r="BW25" i="2"/>
  <c r="AM29" i="2"/>
  <c r="BV45" i="2"/>
  <c r="BV49" i="2"/>
  <c r="AM53" i="2"/>
  <c r="BV54" i="2"/>
  <c r="BU58" i="2"/>
  <c r="BW61" i="2"/>
  <c r="BU72" i="2"/>
  <c r="CG81" i="2"/>
  <c r="AM11" i="2"/>
  <c r="AM35" i="2"/>
  <c r="AM47" i="2"/>
  <c r="AM52" i="2"/>
  <c r="AM66" i="2"/>
  <c r="AM74" i="2"/>
  <c r="CG80" i="2"/>
  <c r="BW70" i="2"/>
  <c r="AM83" i="2"/>
  <c r="BW11" i="2"/>
  <c r="AM14" i="2"/>
  <c r="AM24" i="2"/>
  <c r="BV48" i="2"/>
  <c r="AM75" i="2"/>
  <c r="BW78" i="2"/>
  <c r="AM2" i="2"/>
  <c r="BU24" i="2"/>
  <c r="AM46" i="2"/>
  <c r="AM50" i="2"/>
  <c r="AM56" i="2"/>
  <c r="BV78" i="2"/>
  <c r="BW24" i="2"/>
  <c r="BU75" i="2"/>
  <c r="BV76" i="2"/>
  <c r="AM81" i="2"/>
  <c r="BV83" i="2"/>
  <c r="BW13" i="2"/>
  <c r="BV28" i="2"/>
  <c r="BW31" i="2"/>
  <c r="BV42" i="2"/>
  <c r="BU51" i="2"/>
  <c r="BV52" i="2"/>
  <c r="AM61" i="2"/>
  <c r="AM69" i="2"/>
  <c r="BW73" i="2"/>
  <c r="BV47" i="2"/>
  <c r="BU70" i="2"/>
  <c r="BU27" i="2"/>
  <c r="BW41" i="2"/>
  <c r="BU50" i="2"/>
  <c r="BV51" i="2"/>
  <c r="BW52" i="2"/>
  <c r="BV70" i="2"/>
  <c r="BV75" i="2"/>
  <c r="BV77" i="2"/>
  <c r="AM6" i="2"/>
  <c r="BW12" i="2"/>
  <c r="BW30" i="2"/>
  <c r="AM32" i="2"/>
  <c r="AM36" i="2"/>
  <c r="BU41" i="2"/>
  <c r="BW46" i="2"/>
  <c r="AM48" i="2"/>
  <c r="BW69" i="2"/>
  <c r="BU73" i="2"/>
  <c r="BU11" i="2"/>
  <c r="BU32" i="2"/>
  <c r="BV40" i="2"/>
  <c r="BU62" i="2"/>
  <c r="BV69" i="2"/>
  <c r="BU40" i="2"/>
  <c r="BV4" i="2"/>
  <c r="BV12" i="2"/>
  <c r="BU10" i="2"/>
  <c r="BV24" i="2"/>
  <c r="BV32" i="2"/>
  <c r="BV41" i="2"/>
  <c r="BV62" i="2"/>
  <c r="BU9" i="2"/>
  <c r="BV11" i="2"/>
  <c r="BV3" i="2"/>
  <c r="BV8" i="2"/>
  <c r="BV9" i="2"/>
  <c r="BV10" i="2"/>
  <c r="BV13" i="2"/>
  <c r="BV20" i="2"/>
  <c r="BV23" i="2"/>
  <c r="BU31" i="2"/>
  <c r="BV39" i="2"/>
  <c r="BV68" i="2"/>
  <c r="BV80" i="2"/>
  <c r="BU19" i="2"/>
  <c r="BU30" i="2"/>
  <c r="BV31" i="2"/>
  <c r="BU57" i="2"/>
  <c r="BU67" i="2"/>
  <c r="BU78" i="2"/>
  <c r="BV14" i="2"/>
  <c r="BU18" i="2"/>
  <c r="BV19" i="2"/>
  <c r="BU29" i="2"/>
  <c r="BV30" i="2"/>
  <c r="BU54" i="2"/>
  <c r="BV57" i="2"/>
  <c r="BV67" i="2"/>
  <c r="BV18" i="2"/>
  <c r="BU45" i="2"/>
  <c r="BU46" i="2"/>
  <c r="BU47" i="2"/>
  <c r="BU48" i="2"/>
  <c r="BU49" i="2"/>
  <c r="BV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AR1" authorId="0" shapeId="0" xr:uid="{B0AC5388-8788-4533-B179-D124CC3D1AE7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Комплектация №2</t>
        </r>
      </text>
    </comment>
  </commentList>
</comments>
</file>

<file path=xl/sharedStrings.xml><?xml version="1.0" encoding="utf-8"?>
<sst xmlns="http://schemas.openxmlformats.org/spreadsheetml/2006/main" count="932" uniqueCount="288">
  <si>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</si>
  <si>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</si>
  <si>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</si>
  <si>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</si>
  <si>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</si>
  <si>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</si>
  <si>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</si>
  <si>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</si>
  <si>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</si>
  <si>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</si>
  <si>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</si>
  <si>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</si>
  <si>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</si>
  <si>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</si>
  <si>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</si>
  <si>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</si>
  <si>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</si>
  <si>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</si>
  <si>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</si>
  <si>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</si>
  <si>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</si>
  <si>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</si>
  <si>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</si>
  <si>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</si>
  <si>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</si>
  <si>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</si>
  <si>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</si>
  <si>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</si>
  <si>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</si>
  <si>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</si>
  <si>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</si>
  <si>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КФ корпуса</t>
  </si>
  <si>
    <t xml:space="preserve"> KFPr-SB-StK 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</si>
  <si>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</si>
  <si>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</si>
  <si>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</si>
  <si>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</si>
  <si>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</si>
  <si>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</si>
  <si>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</si>
  <si>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КKFP-SB-GT45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</si>
  <si>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</si>
  <si>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</si>
  <si>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</si>
  <si>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</si>
  <si>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</si>
  <si>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</si>
  <si>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 xml:space="preserve">KFP-SP-PPGK_71
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</si>
  <si>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</si>
  <si>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</si>
  <si>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</si>
  <si>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</si>
  <si>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</si>
  <si>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</si>
  <si>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</si>
  <si>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</si>
  <si>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КФ ящика Matrix (H=89 мм)_450_GR</t>
  </si>
  <si>
    <t>КФ ящика Matrix (H=175 мм)_450_GR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</si>
  <si>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</si>
  <si>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</si>
  <si>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KFS-SB-BYT</t>
  </si>
  <si>
    <t>Корзина с держателем для бутылок 414*500*520 мм</t>
  </si>
  <si>
    <t>КФ евровинт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</si>
  <si>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</si>
  <si>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</si>
  <si>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</si>
  <si>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</si>
  <si>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</si>
  <si>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</si>
  <si>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</si>
  <si>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</si>
  <si>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</si>
  <si>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</si>
  <si>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</si>
  <si>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</si>
  <si>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</si>
  <si>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</si>
  <si>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Инфо о комплектации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</si>
  <si>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</si>
  <si>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</si>
  <si>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</si>
  <si>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</si>
  <si>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</si>
  <si>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</si>
  <si>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</si>
  <si>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</si>
  <si>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</si>
  <si>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</si>
  <si>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</si>
  <si>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</si>
  <si>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</si>
  <si>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</si>
  <si>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</si>
  <si>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</si>
  <si>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</si>
  <si>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</si>
  <si>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</si>
  <si>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</si>
  <si>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Все комплектации доступны</t>
  </si>
  <si>
    <t>EMN1D</t>
  </si>
  <si>
    <t>EMN1D 1 дверь+Полки+Нижний</t>
  </si>
  <si>
    <t>Прямой</t>
  </si>
  <si>
    <t>EMN2D</t>
  </si>
  <si>
    <t>EMN2D 2 двери+Полки+Нижний</t>
  </si>
  <si>
    <t>EMN1K_150</t>
  </si>
  <si>
    <t>EMN1K_150 1 дверь+Корзина_150</t>
  </si>
  <si>
    <t>Корзина</t>
  </si>
  <si>
    <t>EMN1K_450</t>
  </si>
  <si>
    <t>EMN1K_450 1 дверь+Корзина_450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</si>
  <si>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</si>
  <si>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</si>
  <si>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</si>
  <si>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</si>
  <si>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</si>
  <si>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</si>
  <si>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</si>
  <si>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</si>
  <si>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</si>
  <si>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</si>
  <si>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</si>
  <si>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</si>
  <si>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</si>
  <si>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</si>
  <si>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</si>
  <si>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</si>
  <si>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</si>
  <si>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</si>
  <si>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Модуль недоступен в компл. 3T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</si>
  <si>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</si>
  <si>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</si>
  <si>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</si>
  <si>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</si>
  <si>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</si>
  <si>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</si>
  <si>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</si>
  <si>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</si>
  <si>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</si>
  <si>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</si>
  <si>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</si>
  <si>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Модуль недоступен в компл.№3 и 3T</t>
  </si>
  <si>
    <t>ETN1B</t>
  </si>
  <si>
    <t>ETN1B 1 ящик+Духовка</t>
  </si>
  <si>
    <t>Духовка</t>
  </si>
  <si>
    <t>Модуль не доступен в комплектации №2 и №3T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</si>
  <si>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</si>
  <si>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</si>
  <si>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</si>
  <si>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</si>
  <si>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</si>
  <si>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</si>
  <si>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</si>
  <si>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</si>
  <si>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</si>
  <si>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</si>
  <si>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</si>
  <si>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</si>
  <si>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</si>
  <si>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</si>
  <si>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</si>
  <si>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</si>
  <si>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</t>
  </si>
  <si>
    <t>ENG1K_150 Gola+Корзина_150</t>
  </si>
  <si>
    <t>ENG1K_450</t>
  </si>
  <si>
    <t>ENG1K_450 Gola+Корзина_450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</si>
  <si>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</si>
  <si>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</si>
  <si>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</si>
  <si>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</si>
  <si>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</si>
  <si>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</si>
  <si>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</si>
  <si>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</si>
  <si>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</si>
  <si>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</si>
  <si>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</si>
  <si>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</si>
  <si>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</si>
  <si>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</si>
  <si>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</si>
  <si>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</si>
  <si>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</si>
  <si>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</si>
  <si>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</si>
  <si>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</si>
  <si>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</si>
  <si>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</si>
  <si>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</si>
  <si>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</si>
  <si>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</si>
  <si>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</si>
  <si>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</si>
  <si>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</si>
  <si>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</si>
  <si>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</si>
  <si>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</si>
  <si>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</si>
  <si>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</si>
  <si>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</si>
  <si>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</si>
  <si>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</si>
  <si>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</si>
  <si>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</si>
  <si>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</t>
  </si>
  <si>
    <t>EWV1D_450 1 дверь+Сушилка_450</t>
  </si>
  <si>
    <t>EWV1D_600</t>
  </si>
  <si>
    <t>EWV1D_600 1 дверь+Сушилка_600</t>
  </si>
  <si>
    <t>EWV2D_600</t>
  </si>
  <si>
    <t>EWV2D_600 2 двери+Сушилка_600</t>
  </si>
  <si>
    <t>EWV2D_800</t>
  </si>
  <si>
    <t>EWV2D_800 2 двери+Сушилка_800</t>
  </si>
  <si>
    <t>EWV2D_900</t>
  </si>
  <si>
    <t>EWV2D_900 2 двери+Сушилка_900</t>
  </si>
  <si>
    <t>EWV2V_450</t>
  </si>
  <si>
    <t>EWV2V_450 2 фасада+Подъемник складной+Сушилка_450</t>
  </si>
  <si>
    <t>EWV1V_450</t>
  </si>
  <si>
    <t>EWV1V_450 1 фасад+Подъемник поворотный+Сушилка_450</t>
  </si>
  <si>
    <t>EWV1V_600</t>
  </si>
  <si>
    <t>EWV1V_600 1 фасад+Подъемник поворотный+Сушилка_600</t>
  </si>
  <si>
    <t>EWV1V_900</t>
  </si>
  <si>
    <t>EWV1V_900 1 фасад+Подъемник поворотный+Сушилка_900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</si>
  <si>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</si>
  <si>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</si>
  <si>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</si>
  <si>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</si>
  <si>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</si>
  <si>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</si>
  <si>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</si>
  <si>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</si>
  <si>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</si>
  <si>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</si>
  <si>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</si>
  <si>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</si>
  <si>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</si>
  <si>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</si>
  <si>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</si>
  <si>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</si>
  <si>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</si>
  <si>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</si>
  <si>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EPT1D_455</t>
  </si>
  <si>
    <t>EPT1D_455 1 дверь+1 Ниша под технику_455+Полки</t>
  </si>
  <si>
    <t>1 ниша</t>
  </si>
  <si>
    <t>EPT1D_595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</si>
  <si>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</si>
  <si>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</si>
  <si>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</si>
  <si>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</si>
  <si>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</si>
  <si>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</si>
  <si>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</si>
  <si>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</si>
  <si>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</si>
  <si>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</si>
  <si>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</si>
  <si>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</si>
  <si>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</si>
  <si>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</si>
  <si>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</si>
  <si>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</si>
  <si>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EPTG2D_455</t>
  </si>
  <si>
    <t>EPTG2D_455 Gola+2 двери +1 Ниша под технику_455</t>
  </si>
  <si>
    <t>EPTG2D_595</t>
  </si>
  <si>
    <t>EPTG2D_595 Gola+2 двери +1 Ниша под технику_595</t>
  </si>
  <si>
    <t>EPT2B1D_382</t>
  </si>
  <si>
    <t>EPT2B1D_382 1 дверь+2 ящика+1 Ниша под технику_382</t>
  </si>
  <si>
    <t>EPT2B1D_455</t>
  </si>
  <si>
    <t>EPT2B1D_455 1 дверь+2 ящика + 1 Ниша под технику_455</t>
  </si>
  <si>
    <t>EPT2B1D_595</t>
  </si>
  <si>
    <t>EPT2B1D_595 1 дверь+2 ящика + 1 Ниша под технику_595</t>
  </si>
  <si>
    <t>EPTP1D_595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</si>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</sst>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0.0"/>
    <numFmt numFmtId="166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theme="2" tint="-0.499984740745262"/>
      <name val="Arial Cyr"/>
      <charset val="204"/>
    </font>
    <font>
      <sz val="9"/>
      <name val="Arial Cyr"/>
      <charset val="204"/>
    </font>
    <font>
      <sz val="10"/>
      <color theme="2" tint="-0.499984740745262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F6C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3" fillId="0" borderId="0" xfId="2" applyFont="1" applyFill="1" applyBorder="1" applyAlignment="1">
      <alignment horizontal="center" vertical="center" wrapText="1"/>
    </xf>
    <xf numFmtId="164" fontId="4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0" borderId="0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horizontal="center" vertical="center" wrapText="1"/>
    </xf>
    <xf numFmtId="0" fontId="5" fillId="0" borderId="0" xfId="3" applyFont="1" applyFill="1" applyAlignment="1">
      <alignment horizontal="center" vertical="center"/>
    </xf>
    <xf numFmtId="0" fontId="6" fillId="0" borderId="0" xfId="4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4" applyFont="1" applyFill="1" applyAlignment="1">
      <alignment horizontal="center" vertical="center" wrapText="1" shrinkToFit="1"/>
    </xf>
    <xf numFmtId="0" fontId="6" fillId="0" borderId="0" xfId="0" applyFont="1" applyFill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9" fontId="6" fillId="0" borderId="0" xfId="4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/>
    </xf>
    <xf numFmtId="49" fontId="6" fillId="0" borderId="0" xfId="5" applyNumberFormat="1" applyFont="1" applyFill="1" applyAlignment="1">
      <alignment horizontal="center" vertical="center" wrapText="1" shrinkToFit="1"/>
    </xf>
    <xf numFmtId="0" fontId="6" fillId="0" borderId="0" xfId="5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/>
    </xf>
    <xf numFmtId="49" fontId="9" fillId="0" borderId="0" xfId="5" applyNumberFormat="1" applyFont="1" applyFill="1" applyAlignment="1">
      <alignment horizontal="center" vertical="center" wrapText="1" shrinkToFit="1"/>
    </xf>
    <xf numFmtId="49" fontId="6" fillId="0" borderId="0" xfId="5" applyNumberFormat="1" applyFont="1" applyFill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4" applyNumberFormat="1" applyFont="1" applyFill="1" applyAlignment="1">
      <alignment vertical="center" wrapText="1" shrinkToFit="1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 wrapText="1"/>
    </xf>
    <xf numFmtId="2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3" applyNumberFormat="1" applyFill="1" applyAlignment="1">
      <alignment horizontal="center"/>
    </xf>
    <xf numFmtId="1" fontId="0" fillId="0" borderId="0" xfId="0" applyNumberFormat="1" applyFill="1"/>
  </cellXfs>
  <cellStyles count="6">
    <cellStyle name="Обычный" xfId="0" builtinId="0"/>
    <cellStyle name="Обычный 2" xfId="3" xr:uid="{0CCA6C3A-CD53-4AD6-9D46-0C8D5BCE1425}"/>
    <cellStyle name="Обычный 3 3" xfId="5" xr:uid="{04B24065-AF7B-4B02-ABE1-CADB4EB2C3DF}"/>
    <cellStyle name="Обычный 5" xfId="4" xr:uid="{F753ABC1-674D-42E1-94D9-F2975A36EA2E}"/>
    <cellStyle name="Финансовый" xfId="1" builtinId="3"/>
    <cellStyle name="Финансовый 2" xfId="2" xr:uid="{702D37C1-FD0B-45E0-8955-AA0F39D7F389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4">
          <cell r="C4">
            <v>460</v>
          </cell>
        </row>
        <row r="6">
          <cell r="C6">
            <v>810</v>
          </cell>
        </row>
        <row r="8">
          <cell r="C8">
            <v>750</v>
          </cell>
        </row>
        <row r="9">
          <cell r="C9">
            <v>950</v>
          </cell>
        </row>
        <row r="11">
          <cell r="C11">
            <v>650</v>
          </cell>
        </row>
        <row r="12">
          <cell r="C12">
            <v>850</v>
          </cell>
        </row>
        <row r="13">
          <cell r="C13">
            <v>740</v>
          </cell>
        </row>
        <row r="14">
          <cell r="C14">
            <v>940</v>
          </cell>
        </row>
        <row r="15">
          <cell r="C15">
            <v>1130</v>
          </cell>
        </row>
        <row r="16">
          <cell r="C16">
            <v>340</v>
          </cell>
        </row>
        <row r="17">
          <cell r="C17">
            <v>760</v>
          </cell>
        </row>
        <row r="18">
          <cell r="C18">
            <v>600</v>
          </cell>
        </row>
        <row r="19">
          <cell r="C19">
            <v>540</v>
          </cell>
        </row>
        <row r="20">
          <cell r="C20">
            <v>940</v>
          </cell>
        </row>
        <row r="21">
          <cell r="C21">
            <v>1690</v>
          </cell>
        </row>
        <row r="22">
          <cell r="C22">
            <v>940</v>
          </cell>
        </row>
        <row r="23">
          <cell r="C23">
            <v>280</v>
          </cell>
        </row>
        <row r="25">
          <cell r="C25">
            <v>5100</v>
          </cell>
        </row>
        <row r="26">
          <cell r="C26">
            <v>6660</v>
          </cell>
        </row>
        <row r="30">
          <cell r="C30">
            <v>480</v>
          </cell>
        </row>
        <row r="31">
          <cell r="C31">
            <v>950</v>
          </cell>
        </row>
        <row r="32">
          <cell r="C32">
            <v>370</v>
          </cell>
        </row>
        <row r="33">
          <cell r="C33">
            <v>170</v>
          </cell>
        </row>
        <row r="34">
          <cell r="C34">
            <v>5040</v>
          </cell>
        </row>
        <row r="35">
          <cell r="C35">
            <v>4140</v>
          </cell>
        </row>
        <row r="36">
          <cell r="C36">
            <v>6440</v>
          </cell>
        </row>
        <row r="37">
          <cell r="C37">
            <v>7970</v>
          </cell>
        </row>
        <row r="38">
          <cell r="C38">
            <v>4920</v>
          </cell>
        </row>
        <row r="39">
          <cell r="C39">
            <v>5530</v>
          </cell>
        </row>
        <row r="40">
          <cell r="C40">
            <v>6130</v>
          </cell>
        </row>
        <row r="41">
          <cell r="C41">
            <v>1600</v>
          </cell>
        </row>
        <row r="45">
          <cell r="C45">
            <v>8790</v>
          </cell>
        </row>
        <row r="46">
          <cell r="C46">
            <v>11560</v>
          </cell>
        </row>
        <row r="48">
          <cell r="C48">
            <v>10520</v>
          </cell>
        </row>
        <row r="49">
          <cell r="D49">
            <v>1000</v>
          </cell>
        </row>
        <row r="50">
          <cell r="D50">
            <v>1000</v>
          </cell>
        </row>
        <row r="51">
          <cell r="D51">
            <v>1000</v>
          </cell>
        </row>
        <row r="52">
          <cell r="C52">
            <v>1200</v>
          </cell>
        </row>
        <row r="54">
          <cell r="C54">
            <v>1560</v>
          </cell>
        </row>
        <row r="55">
          <cell r="C55">
            <v>190</v>
          </cell>
        </row>
        <row r="56">
          <cell r="C56">
            <v>1300</v>
          </cell>
        </row>
        <row r="58">
          <cell r="C58">
            <v>480</v>
          </cell>
        </row>
        <row r="62">
          <cell r="C62">
            <v>620</v>
          </cell>
        </row>
        <row r="63">
          <cell r="C63">
            <v>130</v>
          </cell>
        </row>
        <row r="67">
          <cell r="C67">
            <v>6080</v>
          </cell>
        </row>
        <row r="68">
          <cell r="C68">
            <v>6940</v>
          </cell>
        </row>
        <row r="69">
          <cell r="C69">
            <v>13990</v>
          </cell>
        </row>
        <row r="70">
          <cell r="C70">
            <v>2290</v>
          </cell>
        </row>
        <row r="72">
          <cell r="C72">
            <v>210</v>
          </cell>
        </row>
        <row r="73">
          <cell r="C73">
            <v>30</v>
          </cell>
        </row>
        <row r="78">
          <cell r="C78">
            <v>30</v>
          </cell>
        </row>
        <row r="79">
          <cell r="C79">
            <v>40</v>
          </cell>
        </row>
        <row r="80">
          <cell r="C80">
            <v>390</v>
          </cell>
        </row>
        <row r="81">
          <cell r="C81">
            <v>1110</v>
          </cell>
        </row>
        <row r="84">
          <cell r="C84">
            <v>10</v>
          </cell>
        </row>
        <row r="85">
          <cell r="C85">
            <v>290</v>
          </cell>
        </row>
        <row r="90">
          <cell r="C90">
            <v>20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CN85" totalsRowShown="0" headerRowDxfId="95" dataDxfId="94">
  <autoFilter ref="A1:CN85" xr:uid="{B6A411DD-54E4-4F8A-8614-345EC598C3AB}"/>
  <tableColumns count="92">
    <tableColumn id="1" xr3:uid="{4F8856EA-AFEC-478D-B545-3D28E9B808CB}" name="Артикул" dataDxfId="93"/>
    <tableColumn id="2" xr3:uid="{BEF401B1-37D1-41E4-AAF7-3A084D127422}" name="Тип" dataDxfId="92"/>
    <tableColumn id="4" xr3:uid="{50E408EE-2C02-4A80-8F13-EECDD5646C8E}" name="Варианты наполнения" dataDxfId="91"/>
    <tableColumn id="16" xr3:uid="{177D320A-EF66-4D00-B844-1726363AEB1C}" name="Вид модуля" dataDxfId="90"/>
    <tableColumn id="15" xr3:uid="{47476BC9-5BE4-4FDF-93D5-45BC8B589BB9}" name="Профиль Gola" dataDxfId="89"/>
    <tableColumn id="3" xr3:uid="{9A09997E-0B4A-43C2-AAE4-DBA22A351A04}" name="Признаки для фильтров" dataDxfId="88"/>
    <tableColumn id="6" xr3:uid="{4B61EC30-43A5-4A37-8075-C43BE48C26A0}" name="Высота min" dataDxfId="87"/>
    <tableColumn id="7" xr3:uid="{FD0E9A0B-3A07-4A00-9FB2-83E7D23FF743}" name="Высота max" dataDxfId="86"/>
    <tableColumn id="8" xr3:uid="{981BA99F-25FC-4C44-916D-C9A30FA51329}" name="Ширина min" dataDxfId="85"/>
    <tableColumn id="9" xr3:uid="{69539F65-205A-44D1-8A50-E314A57CC84F}" name="Ширина max" dataDxfId="84"/>
    <tableColumn id="10" xr3:uid="{365068AA-90B1-4232-995A-2D78D8DA43CA}" name="Глубина min" dataDxfId="83"/>
    <tableColumn id="11" xr3:uid="{A3703BF6-3D07-42B4-B6BE-A14DC951D34D}" name="Глубина max" dataDxfId="82"/>
    <tableColumn id="5" xr3:uid="{2D3A333C-B164-4A3E-BDA7-63CA8B32CB56}" name="Базовая цена" dataDxfId="12"/>
    <tableColumn id="12" xr3:uid="{29240A1F-8A2D-4D3B-B0EC-91208FF7C1AC}" name="Базовая цена цветной корпус" dataDxfId="10"/>
    <tableColumn id="99" xr3:uid="{A3C031D4-355B-4D00-85A3-066E9FC1E064}" name="Базовая высота" dataDxfId="7"/>
    <tableColumn id="98" xr3:uid="{DE410C3F-FD58-42E6-960B-0F268C155E29}" name="Базовая ширина" dataDxfId="6"/>
    <tableColumn id="97" xr3:uid="{058D6ADC-5915-4922-BFE7-FDDAAF34EBC0}" name="Базовая глубина" dataDxfId="5"/>
    <tableColumn id="96" xr3:uid="{F1674E16-B13B-48AD-9568-12568BAE967C}" name="Коэфф.высота" dataDxfId="4"/>
    <tableColumn id="95" xr3:uid="{E880B5F2-4A08-4E4A-B682-E39354E07835}" name="Коэфф.ширина" dataDxfId="3"/>
    <tableColumn id="83" xr3:uid="{70466367-BC8B-49A6-9ACE-0BEC11E8D001}" name="Коэфф.глубина" dataDxfId="2"/>
    <tableColumn id="28" xr3:uid="{B7B1B96B-0991-44D0-BF95-1BC61E1D9958}" name="КФ НСТ11" dataDxfId="11"/>
    <tableColumn id="27" xr3:uid="{20BFBA93-6B1D-475B-9A90-07283A5D3AFE}" name="КФ НСТ1" dataDxfId="81"/>
    <tableColumn id="13" xr3:uid="{F0DE3050-5769-4FF1-95D5-2A0970D0A344}" name="КФ крепежа корпуса 1" dataDxfId="80">
      <calculatedColumnFormula>'[2]комплекты фурнитуры'!C3</calculatedColumnFormula>
    </tableColumn>
    <tableColumn id="18" xr3:uid="{588E9061-BE8E-4E63-A4B1-D7E2424D7597}" name="КФ крепежа корпуса 2" dataDxfId="79"/>
    <tableColumn id="19" xr3:uid="{6675B499-8E7E-44E8-9062-30C7CACB1D75}" name="КФ крепежа корпуса 4" dataDxfId="78"/>
    <tableColumn id="20" xr3:uid="{7B31B409-76F4-4C7F-BE65-4F8BF56F8875}" name="КФ крепежа корпуса 6" dataDxfId="77"/>
    <tableColumn id="21" xr3:uid="{EBB41F7A-98A8-4F1C-B5C2-F40D51CFACBE}" name="КФ крепежа корпуса 7" dataDxfId="76"/>
    <tableColumn id="23" xr3:uid="{82AADE6A-46FF-4FD1-98FF-3D34D2082DBD}" name="КФ крепежа корпуса 9" dataDxfId="75"/>
    <tableColumn id="32" xr3:uid="{1D475232-1855-423A-95EA-C6FFF545F473}" name="КФ крепежа корпуса 10" dataDxfId="74"/>
    <tableColumn id="22" xr3:uid="{385A07BB-BC63-4764-A023-92B638FE8662}" name="КФ крепежа корпуса 11" dataDxfId="73"/>
    <tableColumn id="33" xr3:uid="{414FCE17-AF11-49D0-876C-E3A02B8A873A}" name="КФ крепежа корпуса 12" dataDxfId="72"/>
    <tableColumn id="29" xr3:uid="{F273C73D-E9F1-4381-8E23-E70469BFCA67}" name="КФ крепежа корпуса 13" dataDxfId="71"/>
    <tableColumn id="31" xr3:uid="{E1C291E5-5061-4995-ACD0-EE478888A072}" name="КФ НСТ 14" dataDxfId="70"/>
    <tableColumn id="30" xr3:uid="{EF1EA53C-3C5E-4FEA-A9DA-60EFE4D86A41}" name="КФ крепежа корпуса 15" dataDxfId="69"/>
    <tableColumn id="24" xr3:uid="{B3FCE2C4-1803-4ED4-B41B-192C5862C4F5}" name="КФ крепежа корпуса 16" dataDxfId="68"/>
    <tableColumn id="17" xr3:uid="{E3FB0679-81B6-4D55-99DE-D03A03CBD342}" name="КФ опора пластиковая 120" dataDxfId="67"/>
    <tableColumn id="25" xr3:uid="{BA4EEB06-4375-4742-B2DC-B7CD18392BF1}" name="KFPr-SB-POD" dataDxfId="66"/>
    <tableColumn id="26" xr3:uid="{BF78B77C-42DE-472D-9AA2-1C163139C0A4}" name="KFPr-SB-ZPG" dataDxfId="65"/>
    <tableColumn id="34" xr3:uid="{9CEF2DC2-2385-4DB2-B70E-59B9DE127B75}" name="КФ корпуса" dataDxfId="64">
      <calculatedColumnFormula>SUM(Прайс[[#This Row],[КФ НСТ11]:[KFPr-SB-ZPG]])</calculatedColumnFormula>
    </tableColumn>
    <tableColumn id="65" xr3:uid="{0E0CBC71-B92C-48CD-9E5F-FD7E17444F02}" name=" KFPr-SB-StK " dataDxfId="63"/>
    <tableColumn id="67" xr3:uid="{E9E47FCF-EF7E-432D-B87E-24A6C159B0B3}" name="KFPr-SB-SPL" dataDxfId="62"/>
    <tableColumn id="66" xr3:uid="{3C571E0E-4221-4692-A51C-0F96F7C6625D}" name="KFPr-SB-SMRZ_16мм" dataDxfId="61"/>
    <tableColumn id="68" xr3:uid="{FB4CCE49-492A-40E6-999F-E24118447956}" name="КФ KEKU" dataDxfId="60"/>
    <tableColumn id="38" xr3:uid="{921A8997-D906-49E9-A998-8A2C49992A49}" name="КФ петли SENS накл.110 гр. с крестообр. Планкой" dataDxfId="59"/>
    <tableColumn id="39" xr3:uid="{038C4C49-1A01-41C4-8A8A-54C48EFB70B4}" name="KFP-SB-N110" dataDxfId="58"/>
    <tableColumn id="43" xr3:uid="{C1D2835A-EC10-4DF9-ADF7-B436F7465B0E}" name="КФ петли вклад. 95 гр. с крестообр. планкой" dataDxfId="57"/>
    <tableColumn id="44" xr3:uid="{6813E745-D09D-47FA-8C79-1B51C9280EFC}" name="KFP-SB-PY94" dataDxfId="56"/>
    <tableColumn id="45" xr3:uid="{E30111B6-872F-4DF0-A93A-AAF0EA079F46}" name="КKFP-SB-GT45" dataDxfId="55"/>
    <tableColumn id="46" xr3:uid="{29C8792E-FD0D-400B-B831-60F115B6D86D}" name="KFP-SB-N45" dataDxfId="54"/>
    <tableColumn id="61" xr3:uid="{CCDF8B5A-C6C8-4E35-83B8-4709ED56B170}" name="KFS-SB-45 (посудосушители)" dataDxfId="53"/>
    <tableColumn id="62" xr3:uid="{9FBBC066-B629-4509-8E36-716BFC983CB0}" name="КФ Сушка AFF 600" dataDxfId="52"/>
    <tableColumn id="64" xr3:uid="{1EA277B8-9A9D-4813-82E6-A9E0A50EADF4}" name="КФ Сушка AFF 800" dataDxfId="51"/>
    <tableColumn id="63" xr3:uid="{2857CFB5-2CDD-4729-99F3-604EB2CB71CD}" name="КФ Сушка AFF 900" dataDxfId="50"/>
    <tableColumn id="56" xr3:uid="{C3B02CE1-24FD-430A-88FE-FC7D38A45E2B}" name="KFP-SP-PPGK" dataDxfId="49"/>
    <tableColumn id="57" xr3:uid="{6D0AF8EA-F0A3-4EC2-AC8A-920F429AECCF}" name="KFP-SP-PPGK_71_x000a_" dataDxfId="48"/>
    <tableColumn id="58" xr3:uid="{C207FCBD-6D70-4B49-9A36-2F505353DB64}" name="KFP-SP-PPA" dataDxfId="47"/>
    <tableColumn id="59" xr3:uid="{0096DC53-656F-45C6-A3B7-6DA42F058B6D}" name="KFP-SB-PPHF_W" dataDxfId="46"/>
    <tableColumn id="55" xr3:uid="{A4EE8AE9-7C08-4832-A2C0-E142A2544A35}" name="KFN-SB-M54" dataDxfId="45"/>
    <tableColumn id="47" xr3:uid="{EA515BCA-E472-421E-B34B-67354DD20740}" name="Комплект для ящика Hettich ATIRA Серый, NL-470, H-70" dataDxfId="44"/>
    <tableColumn id="53" xr3:uid="{1BA9340B-BA73-44E5-BDCE-992F6A1F60F7}" name="Комплект для ящика Hettich ATIRA Серый с реллингом, NL-470, H-176" dataDxfId="43"/>
    <tableColumn id="48" xr3:uid="{7085775E-D1FB-4329-9D8D-62DC0DC43634}" name="KFN-SB-M86" dataDxfId="42"/>
    <tableColumn id="54" xr3:uid="{2560215E-DE0A-4CCB-8D31-F72AABE10DED}" name="KFN-SB-M15" dataDxfId="41"/>
    <tableColumn id="49" xr3:uid="{25035583-E0A3-49FA-A8D3-3CB10CD89CEB}" name="KFN-SB-MD" dataDxfId="40"/>
    <tableColumn id="50" xr3:uid="{56E092F3-EB57-417D-82E4-C11A82BCE945}" name="КФ ящика Matrix (H=89 мм)_450_GR" dataDxfId="39"/>
    <tableColumn id="69" xr3:uid="{25450F85-CDFB-45EF-A31F-F83E72A62697}" name="КФ ящика Matrix (H=175 мм)_450_GR" dataDxfId="38"/>
    <tableColumn id="51" xr3:uid="{7F38D6AB-8BEB-4713-879C-F3B14B2F1784}" name="Комплект ящика INNOTECH ATIRA полного выдв. с  PUSH TO OPEN , Н70,NL470,цвет серебристый" dataDxfId="37"/>
    <tableColumn id="52" xr3:uid="{4FF406B2-F1B9-4A41-9AD1-DF45C67F8129}" name="Комплект короба INNOTECH ATIRA полного выдв. с Push to open, Н176,NL470,рейлинги, цвет серебристый" dataDxfId="36"/>
    <tableColumn id="40" xr3:uid="{628BBBE9-D1A9-4CE7-9278-713F2EC173F8}" name="KFS-SB-BYT" dataDxfId="35"/>
    <tableColumn id="41" xr3:uid="{CF9067D5-9CD1-4498-A412-23EAC54CEEED}" name="Корзина с держателем для бутылок 414*500*520 мм" dataDxfId="34"/>
    <tableColumn id="42" xr3:uid="{EC3C68D6-959F-4357-87F2-6AA00EE8B2B3}" name="КФ евровинт" dataDxfId="33"/>
    <tableColumn id="60" xr3:uid="{EFAF5A2F-2789-4FDF-8D6F-730154D7BE4F}" name="КФ  крепления профиля Gola" dataDxfId="32"/>
    <tableColumn id="70" xr3:uid="{9F8C0302-EDFB-4F66-B3B4-A70A637F82EE}" name="Профиль Gola для подвесных шкафов алюм.16 мм" dataDxfId="31"/>
    <tableColumn id="35" xr3:uid="{A7188CAD-1C1B-415A-860B-E7791BCA4689}" name="Комплектация №2" dataDxfId="30"/>
    <tableColumn id="36" xr3:uid="{72790CF2-9572-4EF3-B5AA-F509DD50ADA7}" name="Комплектация №3" dataDxfId="29"/>
    <tableColumn id="37" xr3:uid="{2C273B41-27B7-41AC-B874-AB2361216D76}" name="Комплектация №3Т" dataDxfId="9"/>
    <tableColumn id="74" xr3:uid="{836B66F8-B7DF-4EC6-B406-76D5756E8B6D}" name="Полки min,шт." dataDxfId="8"/>
    <tableColumn id="75" xr3:uid="{50988234-B6A7-4D23-8A34-BB689FE15098}" name="Полки max,шт." dataDxfId="28"/>
    <tableColumn id="80" xr3:uid="{17D481EF-F5C9-4F74-B248-52C3327C5D07}" name="Tip-on" dataDxfId="27"/>
    <tableColumn id="79" xr3:uid="{899D6F7F-36CF-47F9-8D8F-8D594B3FC02C}" name="Инфо о комплектации" dataDxfId="26"/>
    <tableColumn id="81" xr3:uid="{E81821D0-0B27-43B6-BB15-D13A2380FB10}" name="Полки по умолчанию" dataDxfId="25"/>
    <tableColumn id="82" xr3:uid="{70C3A366-7B14-4620-AD2F-AE3E4C8CAD50}" name="Доступ к стеклянным полкам" dataDxfId="24"/>
    <tableColumn id="85" xr3:uid="{5C5D87C5-F5BA-4D9E-8430-8A962EA1A2D7}" name="КФ НСТ19" dataDxfId="23"/>
    <tableColumn id="86" xr3:uid="{4E5E4FA1-773A-4D83-8464-2D17CD1EF777}" name="Корзина выдв.посудосуш.600 мм + напр. L450 Hettich (ХРОМ)" dataDxfId="22"/>
    <tableColumn id="84" xr3:uid="{6D6D4D86-D41F-4C0A-A160-933BB64BFB63}" name="Кол-во фасадов" dataDxfId="21"/>
    <tableColumn id="87" xr3:uid="{E11483C6-2DD0-4D56-9958-9512B72543B3}" name="Комплектация №1" dataDxfId="20"/>
    <tableColumn id="88" xr3:uid="{1CD16EE1-BABE-497E-B73A-DE92F5EBB1BE}" name="Комплектация №1T" dataDxfId="19"/>
    <tableColumn id="89" xr3:uid="{C5C6DAAE-09E7-4FC6-8B5D-6FBB324A370B}" name="КФ НСТ20" dataDxfId="18"/>
    <tableColumn id="90" xr3:uid="{5DCAFE16-906E-417A-BEC1-2AFFED8C619F}" name="КФ НСТ12" dataDxfId="17"/>
    <tableColumn id="91" xr3:uid="{F5F4BB11-1F47-4F96-9C10-0621ECEA8B62}" name="КФ EMV1DL/2DL" dataDxfId="16"/>
    <tableColumn id="92" xr3:uid="{2E9630F2-52F6-4D3A-90B2-0B241D1760E5}" name="Комплект петли Hettich с доводчиком для алюм.профиля" dataDxfId="15"/>
    <tableColumn id="94" xr3:uid="{8C35DE26-2BF9-4151-9A05-E2AB0919AD4D}" name="Наличие подсветки на нижнем горизонте" dataDxfId="14"/>
    <tableColumn id="93" xr3:uid="{D05D017A-1E3B-4F56-9425-9AD3F982BAA2}" name="профиль рассеиватель HLBL" dataDxfId="13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CU150"/>
  <sheetViews>
    <sheetView tabSelected="1" zoomScaleNormal="100" workbookViewId="0">
      <pane xSplit="1" topLeftCell="D1" activePane="topRight" state="frozen"/>
      <selection pane="topRight" activeCell="J9" sqref="J9"/>
    </sheetView>
  </sheetViews>
  <sheetFormatPr defaultRowHeight="15" x14ac:dyDescent="0.25"/>
  <cols>
    <col min="1" max="1" width="20.7109375" style="22" customWidth="1"/>
    <col min="2" max="2" width="15.7109375" style="22" customWidth="1"/>
    <col min="3" max="3" width="63.28515625" style="22" customWidth="1"/>
    <col min="4" max="6" width="15.7109375" style="22" customWidth="1"/>
    <col min="7" max="12" width="15.7109375" style="41" customWidth="1"/>
    <col min="13" max="20" width="15.7109375" style="21" customWidth="1"/>
    <col min="21" max="22" width="15.7109375" style="41" customWidth="1"/>
    <col min="23" max="23" width="24.5703125" style="41" customWidth="1"/>
    <col min="24" max="24" width="25.5703125" style="41" customWidth="1"/>
    <col min="25" max="25" width="29.28515625" style="41" customWidth="1"/>
    <col min="26" max="26" width="27.28515625" style="41" customWidth="1"/>
    <col min="27" max="27" width="26" style="41" customWidth="1"/>
    <col min="28" max="28" width="35" style="41" customWidth="1"/>
    <col min="29" max="29" width="28.85546875" style="41" customWidth="1"/>
    <col min="30" max="30" width="34.42578125" style="41" customWidth="1"/>
    <col min="31" max="31" width="30.5703125" style="41" customWidth="1"/>
    <col min="32" max="32" width="26.28515625" style="41" customWidth="1"/>
    <col min="33" max="33" width="15.7109375" style="41" customWidth="1"/>
    <col min="34" max="34" width="30" style="41" customWidth="1"/>
    <col min="35" max="35" width="33" style="41" customWidth="1"/>
    <col min="36" max="42" width="15.7109375" style="41" customWidth="1"/>
    <col min="43" max="58" width="19.140625" style="41" customWidth="1"/>
    <col min="59" max="59" width="39.28515625" style="41" customWidth="1"/>
    <col min="60" max="60" width="33.5703125" style="41" customWidth="1"/>
    <col min="61" max="63" width="19.140625" style="41" customWidth="1"/>
    <col min="64" max="65" width="35.42578125" style="41" customWidth="1"/>
    <col min="66" max="66" width="37.85546875" style="41" customWidth="1"/>
    <col min="67" max="67" width="36.28515625" style="41" customWidth="1"/>
    <col min="68" max="68" width="16.42578125" style="41" customWidth="1"/>
    <col min="69" max="70" width="9.140625" style="41" customWidth="1"/>
    <col min="71" max="71" width="18.140625" style="41" customWidth="1"/>
    <col min="72" max="72" width="9.140625" style="41" customWidth="1"/>
    <col min="73" max="73" width="23.5703125" style="41" bestFit="1" customWidth="1"/>
    <col min="74" max="74" width="29.5703125" style="41" customWidth="1"/>
    <col min="75" max="75" width="20.140625" style="41" customWidth="1"/>
    <col min="76" max="76" width="13.7109375" style="51" customWidth="1"/>
    <col min="77" max="77" width="9.140625" style="51" customWidth="1"/>
    <col min="78" max="78" width="28.140625" style="51" customWidth="1"/>
    <col min="79" max="79" width="9.140625" style="47" customWidth="1"/>
    <col min="80" max="80" width="19.5703125" style="47" customWidth="1"/>
    <col min="81" max="81" width="23" style="47" customWidth="1"/>
    <col min="82" max="82" width="12.5703125" style="41" customWidth="1"/>
    <col min="83" max="83" width="12.85546875" style="41" customWidth="1"/>
    <col min="84" max="84" width="9.140625" style="41" customWidth="1"/>
    <col min="85" max="85" width="45.7109375" style="41" customWidth="1"/>
    <col min="86" max="86" width="19.85546875" style="41" customWidth="1"/>
    <col min="87" max="87" width="26" style="41" customWidth="1"/>
    <col min="88" max="88" width="15.140625" style="41" customWidth="1"/>
    <col min="89" max="89" width="16.85546875" style="41" customWidth="1"/>
    <col min="90" max="90" width="15.5703125" style="41" bestFit="1" customWidth="1"/>
    <col min="91" max="91" width="13" style="41" bestFit="1" customWidth="1"/>
    <col min="92" max="92" width="20.7109375" style="41" customWidth="1"/>
    <col min="93" max="93" width="19.28515625" style="41" customWidth="1"/>
    <col min="94" max="95" width="14" style="41" bestFit="1" customWidth="1"/>
    <col min="96" max="96" width="19.85546875" style="41" bestFit="1" customWidth="1"/>
    <col min="97" max="97" width="28.85546875" style="41" customWidth="1"/>
    <col min="98" max="98" width="14.140625" style="41" bestFit="1" customWidth="1"/>
    <col min="99" max="99" width="9.140625" style="41"/>
  </cols>
  <sheetData>
    <row r="1" spans="1:99" s="4" customFormat="1" ht="24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43" t="s">
        <v>12</v>
      </c>
      <c r="N1" s="43" t="s">
        <v>80</v>
      </c>
      <c r="O1" s="48" t="s">
        <v>69</v>
      </c>
      <c r="P1" s="48" t="s">
        <v>68</v>
      </c>
      <c r="Q1" s="48" t="s">
        <v>70</v>
      </c>
      <c r="R1" s="46" t="s">
        <v>71</v>
      </c>
      <c r="S1" s="46" t="s">
        <v>72</v>
      </c>
      <c r="T1" s="46" t="s">
        <v>73</v>
      </c>
      <c r="U1" s="13" t="s">
        <v>13</v>
      </c>
      <c r="V1" s="13" t="s">
        <v>14</v>
      </c>
      <c r="W1" s="13" t="s">
        <v>15</v>
      </c>
      <c r="X1" s="13" t="s">
        <v>16</v>
      </c>
      <c r="Y1" s="13" t="s">
        <v>17</v>
      </c>
      <c r="Z1" s="13" t="s">
        <v>18</v>
      </c>
      <c r="AA1" s="13" t="s">
        <v>19</v>
      </c>
      <c r="AB1" s="13" t="s">
        <v>20</v>
      </c>
      <c r="AC1" s="13" t="s">
        <v>21</v>
      </c>
      <c r="AD1" s="13" t="s">
        <v>22</v>
      </c>
      <c r="AE1" s="13" t="s">
        <v>23</v>
      </c>
      <c r="AF1" s="13" t="s">
        <v>24</v>
      </c>
      <c r="AG1" s="13" t="s">
        <v>25</v>
      </c>
      <c r="AH1" s="13" t="s">
        <v>26</v>
      </c>
      <c r="AI1" s="13" t="s">
        <v>27</v>
      </c>
      <c r="AJ1" s="13" t="s">
        <v>28</v>
      </c>
      <c r="AK1" s="13" t="s">
        <v>29</v>
      </c>
      <c r="AL1" s="1" t="s">
        <v>30</v>
      </c>
      <c r="AM1" s="13" t="s">
        <v>31</v>
      </c>
      <c r="AN1" s="13" t="s">
        <v>32</v>
      </c>
      <c r="AO1" s="13" t="s">
        <v>33</v>
      </c>
      <c r="AP1" s="13" t="s">
        <v>34</v>
      </c>
      <c r="AQ1" s="13" t="s">
        <v>35</v>
      </c>
      <c r="AR1" s="13" t="s">
        <v>36</v>
      </c>
      <c r="AS1" s="13" t="s">
        <v>37</v>
      </c>
      <c r="AT1" s="13" t="s">
        <v>38</v>
      </c>
      <c r="AU1" s="13" t="s">
        <v>39</v>
      </c>
      <c r="AV1" s="13" t="s">
        <v>40</v>
      </c>
      <c r="AW1" s="13" t="s">
        <v>41</v>
      </c>
      <c r="AX1" s="13" t="s">
        <v>42</v>
      </c>
      <c r="AY1" s="13" t="s">
        <v>43</v>
      </c>
      <c r="AZ1" s="2" t="s">
        <v>44</v>
      </c>
      <c r="BA1" s="13" t="s">
        <v>45</v>
      </c>
      <c r="BB1" s="13" t="s">
        <v>46</v>
      </c>
      <c r="BC1" s="3" t="s">
        <v>47</v>
      </c>
      <c r="BD1" s="14" t="s">
        <v>48</v>
      </c>
      <c r="BE1" s="3" t="s">
        <v>49</v>
      </c>
      <c r="BF1" s="13" t="s">
        <v>50</v>
      </c>
      <c r="BG1" s="13" t="s">
        <v>51</v>
      </c>
      <c r="BH1" s="13" t="s">
        <v>52</v>
      </c>
      <c r="BI1" s="13" t="s">
        <v>53</v>
      </c>
      <c r="BJ1" s="13" t="s">
        <v>54</v>
      </c>
      <c r="BK1" s="13" t="s">
        <v>55</v>
      </c>
      <c r="BL1" s="13" t="s">
        <v>56</v>
      </c>
      <c r="BM1" s="13" t="s">
        <v>57</v>
      </c>
      <c r="BN1" s="13" t="s">
        <v>58</v>
      </c>
      <c r="BO1" s="13" t="s">
        <v>59</v>
      </c>
      <c r="BP1" s="13" t="s">
        <v>60</v>
      </c>
      <c r="BQ1" s="13" t="s">
        <v>61</v>
      </c>
      <c r="BR1" s="13" t="s">
        <v>62</v>
      </c>
      <c r="BS1" s="13" t="s">
        <v>63</v>
      </c>
      <c r="BT1" s="13" t="s">
        <v>64</v>
      </c>
      <c r="BU1" s="13" t="s">
        <v>65</v>
      </c>
      <c r="BV1" s="13" t="s">
        <v>66</v>
      </c>
      <c r="BW1" s="13" t="s">
        <v>67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81</v>
      </c>
      <c r="CE1" s="13" t="s">
        <v>82</v>
      </c>
      <c r="CF1" s="13" t="s">
        <v>83</v>
      </c>
      <c r="CG1" s="13" t="s">
        <v>84</v>
      </c>
      <c r="CH1" s="13" t="s">
        <v>85</v>
      </c>
      <c r="CI1" s="13" t="s">
        <v>86</v>
      </c>
      <c r="CJ1" s="13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</row>
    <row r="2" spans="1:99" ht="15" customHeight="1" x14ac:dyDescent="0.25">
      <c r="A2" s="15" t="s">
        <v>92</v>
      </c>
      <c r="B2" s="16" t="s">
        <v>93</v>
      </c>
      <c r="C2" s="16" t="s">
        <v>94</v>
      </c>
      <c r="D2" s="16" t="s">
        <v>95</v>
      </c>
      <c r="E2" s="16" t="s">
        <v>96</v>
      </c>
      <c r="F2" s="16" t="s">
        <v>97</v>
      </c>
      <c r="G2" s="17">
        <v>420</v>
      </c>
      <c r="H2" s="17">
        <v>2500</v>
      </c>
      <c r="I2" s="17">
        <v>150</v>
      </c>
      <c r="J2" s="17">
        <v>900</v>
      </c>
      <c r="K2" s="17">
        <v>180</v>
      </c>
      <c r="L2" s="17">
        <v>640</v>
      </c>
      <c r="M2" s="44">
        <v>2350</v>
      </c>
      <c r="N2" s="21">
        <v>2900</v>
      </c>
      <c r="O2" s="49">
        <v>720</v>
      </c>
      <c r="P2" s="49">
        <v>300</v>
      </c>
      <c r="Q2" s="49" t="str">
        <f>IF(OR(Прайс[[#This Row],[Тип]]="Нижний",Прайс[[#This Row],[Тип]]="Пенал"),"560",IF(Прайс[[#This Row],[Тип]]="Верхний",315,0))</f>
        <v>560</v>
      </c>
      <c r="R2" s="23">
        <v>1.095</v>
      </c>
      <c r="S2" s="23">
        <v>1.0649999999999999</v>
      </c>
      <c r="T2" s="23">
        <v>1.3</v>
      </c>
      <c r="U2" s="5"/>
      <c r="V2" s="5"/>
      <c r="W2" s="16">
        <f>'[2]комплекты фурнитуры'!$C$3</f>
        <v>550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>
        <f>'[2]комплекты фурнитуры'!$C$23*2</f>
        <v>560</v>
      </c>
      <c r="AK2" s="16"/>
      <c r="AL2" s="16"/>
      <c r="AM2" s="19">
        <f>SUM(Прайс[[#This Row],[КФ НСТ11]:[KFPr-SB-ZPG]])</f>
        <v>1110</v>
      </c>
      <c r="AN2" s="19"/>
      <c r="AO2" s="16"/>
      <c r="AP2" s="16"/>
      <c r="AQ2" s="16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>
        <f>SUM(Прайс[[#This Row],[ KFPr-SB-StK ]:[Корзина с держателем для бутылок 414*500*520 мм]])</f>
        <v>0</v>
      </c>
      <c r="BV2" s="21">
        <f>SUM(Прайс[[#This Row],[ KFPr-SB-StK ]:[Корзина с держателем для бутылок 414*500*520 мм]])</f>
        <v>0</v>
      </c>
      <c r="BW2" s="21">
        <f>SUM(Прайс[[#This Row],[ KFPr-SB-StK ]:[Корзина с держателем для бутылок 414*500*520 мм]])</f>
        <v>0</v>
      </c>
      <c r="BX2" s="22">
        <v>0</v>
      </c>
      <c r="BY2" s="22">
        <v>7</v>
      </c>
      <c r="BZ2" s="22" t="s">
        <v>96</v>
      </c>
      <c r="CA2" s="21" t="s">
        <v>98</v>
      </c>
      <c r="CB2" s="22">
        <v>1</v>
      </c>
      <c r="CC2" s="22" t="s">
        <v>96</v>
      </c>
      <c r="CD2" s="22"/>
      <c r="CE2" s="22"/>
      <c r="CF2" s="22">
        <v>0</v>
      </c>
      <c r="CG2" s="22">
        <v>0</v>
      </c>
      <c r="CH2" s="22">
        <v>0</v>
      </c>
      <c r="CI2" s="22"/>
      <c r="CJ2" s="22"/>
      <c r="CK2" s="22"/>
      <c r="CL2" s="22"/>
      <c r="CM2" s="22" t="s">
        <v>96</v>
      </c>
      <c r="CN2" s="22">
        <f>IF(Прайс[[#This Row],[Наличие подсветки на нижнем горизонте]]="Нет",0,'[2]комплекты фурнитуры'!$C$91)</f>
        <v>0</v>
      </c>
      <c r="CO2"/>
      <c r="CP2"/>
      <c r="CQ2"/>
      <c r="CR2"/>
      <c r="CS2"/>
      <c r="CT2"/>
      <c r="CU2"/>
    </row>
    <row r="3" spans="1:99" ht="15" customHeight="1" x14ac:dyDescent="0.25">
      <c r="A3" s="24" t="s">
        <v>99</v>
      </c>
      <c r="B3" s="16" t="s">
        <v>93</v>
      </c>
      <c r="C3" s="16" t="s">
        <v>100</v>
      </c>
      <c r="D3" s="16" t="s">
        <v>101</v>
      </c>
      <c r="E3" s="16" t="s">
        <v>96</v>
      </c>
      <c r="F3" s="16" t="s">
        <v>97</v>
      </c>
      <c r="G3" s="17">
        <v>480</v>
      </c>
      <c r="H3" s="17">
        <v>960</v>
      </c>
      <c r="I3" s="17">
        <v>150</v>
      </c>
      <c r="J3" s="17">
        <v>650</v>
      </c>
      <c r="K3" s="17">
        <v>180</v>
      </c>
      <c r="L3" s="17">
        <v>640</v>
      </c>
      <c r="M3" s="44">
        <v>2350</v>
      </c>
      <c r="N3" s="21">
        <v>2900</v>
      </c>
      <c r="O3" s="49">
        <v>720</v>
      </c>
      <c r="P3" s="49">
        <v>300</v>
      </c>
      <c r="Q3" s="49" t="str">
        <f>IF(OR(Прайс[[#This Row],[Тип]]="Нижний",Прайс[[#This Row],[Тип]]="Пенал"),"560",IF(Прайс[[#This Row],[Тип]]="Верхний",315,0))</f>
        <v>560</v>
      </c>
      <c r="R3" s="23">
        <v>1.08</v>
      </c>
      <c r="S3" s="23">
        <v>1.0649999999999999</v>
      </c>
      <c r="T3" s="23">
        <v>1.3</v>
      </c>
      <c r="U3" s="5"/>
      <c r="V3" s="5"/>
      <c r="W3" s="16">
        <f>'[2]комплекты фурнитуры'!$C$3</f>
        <v>550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>
        <f>'[2]комплекты фурнитуры'!$C$23*2</f>
        <v>560</v>
      </c>
      <c r="AK3" s="16"/>
      <c r="AL3" s="16"/>
      <c r="AM3" s="19">
        <f>SUM(Прайс[[#This Row],[КФ НСТ11]:[KFPr-SB-ZPG]])</f>
        <v>1110</v>
      </c>
      <c r="AN3" s="19"/>
      <c r="AO3" s="16"/>
      <c r="AP3" s="16"/>
      <c r="AQ3" s="16"/>
      <c r="AR3" s="19">
        <f>'[2]комплекты фурнитуры'!$C$62</f>
        <v>620</v>
      </c>
      <c r="AS3" s="19">
        <f>'[2]комплекты фурнитуры'!$C$63</f>
        <v>130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>
        <f>Прайс[[#This Row],[КФ петли SENS накл.110 гр. с крестообр. Планкой]]*2</f>
        <v>1240</v>
      </c>
      <c r="BV3" s="21">
        <f>Прайс[[#This Row],[KFP-SB-N110]]*2</f>
        <v>260</v>
      </c>
      <c r="BW3" s="21">
        <f>Прайс[[#This Row],[KFP-SB-N110]]*2</f>
        <v>260</v>
      </c>
      <c r="BX3" s="22">
        <v>0</v>
      </c>
      <c r="BY3" s="22">
        <v>7</v>
      </c>
      <c r="BZ3" s="22" t="s">
        <v>96</v>
      </c>
      <c r="CA3" s="21" t="s">
        <v>98</v>
      </c>
      <c r="CB3" s="22">
        <v>1</v>
      </c>
      <c r="CC3" s="22" t="s">
        <v>96</v>
      </c>
      <c r="CD3" s="22"/>
      <c r="CE3" s="22"/>
      <c r="CF3" s="22">
        <v>1</v>
      </c>
      <c r="CG3" s="22">
        <v>0</v>
      </c>
      <c r="CH3" s="22">
        <v>0</v>
      </c>
      <c r="CI3" s="22"/>
      <c r="CJ3" s="22"/>
      <c r="CK3" s="22"/>
      <c r="CL3" s="22"/>
      <c r="CM3" s="22" t="s">
        <v>96</v>
      </c>
      <c r="CN3" s="22">
        <f>IF(Прайс[[#This Row],[Наличие подсветки на нижнем горизонте]]="Нет",0,'[2]комплекты фурнитуры'!$C$91)</f>
        <v>0</v>
      </c>
      <c r="CO3"/>
      <c r="CP3"/>
      <c r="CQ3"/>
      <c r="CR3"/>
      <c r="CS3"/>
      <c r="CT3"/>
      <c r="CU3"/>
    </row>
    <row r="4" spans="1:99" ht="15" customHeight="1" x14ac:dyDescent="0.25">
      <c r="A4" s="24" t="s">
        <v>102</v>
      </c>
      <c r="B4" s="16" t="s">
        <v>93</v>
      </c>
      <c r="C4" s="16" t="s">
        <v>103</v>
      </c>
      <c r="D4" s="16" t="s">
        <v>101</v>
      </c>
      <c r="E4" s="16" t="s">
        <v>96</v>
      </c>
      <c r="F4" s="16" t="s">
        <v>97</v>
      </c>
      <c r="G4" s="17">
        <v>480</v>
      </c>
      <c r="H4" s="17">
        <v>960</v>
      </c>
      <c r="I4" s="17">
        <v>400</v>
      </c>
      <c r="J4" s="17">
        <v>900</v>
      </c>
      <c r="K4" s="17">
        <v>180</v>
      </c>
      <c r="L4" s="17">
        <v>640</v>
      </c>
      <c r="M4" s="44">
        <v>2350</v>
      </c>
      <c r="N4" s="21">
        <v>2900</v>
      </c>
      <c r="O4" s="49">
        <v>720</v>
      </c>
      <c r="P4" s="49">
        <v>300</v>
      </c>
      <c r="Q4" s="49" t="str">
        <f>IF(OR(Прайс[[#This Row],[Тип]]="Нижний",Прайс[[#This Row],[Тип]]="Пенал"),"560",IF(Прайс[[#This Row],[Тип]]="Верхний",315,0))</f>
        <v>560</v>
      </c>
      <c r="R4" s="23">
        <v>1.08</v>
      </c>
      <c r="S4" s="23">
        <v>1.0649999999999999</v>
      </c>
      <c r="T4" s="23">
        <v>1.3</v>
      </c>
      <c r="U4" s="5"/>
      <c r="V4" s="5"/>
      <c r="W4" s="16">
        <f>'[2]комплекты фурнитуры'!$C$3</f>
        <v>550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>
        <f>'[2]комплекты фурнитуры'!$C$23*2</f>
        <v>560</v>
      </c>
      <c r="AK4" s="16"/>
      <c r="AL4" s="16"/>
      <c r="AM4" s="19">
        <f>SUM(Прайс[[#This Row],[КФ НСТ11]:[KFPr-SB-ZPG]])</f>
        <v>1110</v>
      </c>
      <c r="AN4" s="19"/>
      <c r="AO4" s="16"/>
      <c r="AP4" s="16"/>
      <c r="AQ4" s="16"/>
      <c r="AR4" s="19">
        <f>'[2]комплекты фурнитуры'!$C$62</f>
        <v>620</v>
      </c>
      <c r="AS4" s="19">
        <f>'[2]комплекты фурнитуры'!$C$63</f>
        <v>130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20">
        <f>Прайс[[#This Row],[КФ петли SENS накл.110 гр. с крестообр. Планкой]]*4</f>
        <v>2480</v>
      </c>
      <c r="BV4" s="21">
        <f>Прайс[[#This Row],[KFP-SB-N110]]*4</f>
        <v>520</v>
      </c>
      <c r="BW4" s="21">
        <f>Прайс[[#This Row],[KFP-SB-N110]]*4</f>
        <v>520</v>
      </c>
      <c r="BX4" s="22">
        <v>0</v>
      </c>
      <c r="BY4" s="22">
        <v>7</v>
      </c>
      <c r="BZ4" s="22" t="s">
        <v>96</v>
      </c>
      <c r="CA4" s="21" t="s">
        <v>98</v>
      </c>
      <c r="CB4" s="22">
        <v>1</v>
      </c>
      <c r="CC4" s="22" t="s">
        <v>96</v>
      </c>
      <c r="CD4" s="22"/>
      <c r="CE4" s="22"/>
      <c r="CF4" s="22">
        <v>2</v>
      </c>
      <c r="CG4" s="22">
        <v>0</v>
      </c>
      <c r="CH4" s="22">
        <v>0</v>
      </c>
      <c r="CI4" s="22"/>
      <c r="CJ4" s="22"/>
      <c r="CK4" s="22"/>
      <c r="CL4" s="22"/>
      <c r="CM4" s="22" t="s">
        <v>96</v>
      </c>
      <c r="CN4" s="22">
        <f>IF(Прайс[[#This Row],[Наличие подсветки на нижнем горизонте]]="Нет",0,'[2]комплекты фурнитуры'!$C$91)</f>
        <v>0</v>
      </c>
      <c r="CO4"/>
      <c r="CP4"/>
      <c r="CQ4"/>
      <c r="CR4"/>
      <c r="CS4"/>
      <c r="CT4"/>
      <c r="CU4"/>
    </row>
    <row r="5" spans="1:99" ht="15" customHeight="1" x14ac:dyDescent="0.25">
      <c r="A5" s="24" t="s">
        <v>104</v>
      </c>
      <c r="B5" s="16" t="s">
        <v>93</v>
      </c>
      <c r="C5" s="16" t="s">
        <v>105</v>
      </c>
      <c r="D5" s="16" t="s">
        <v>101</v>
      </c>
      <c r="E5" s="16" t="s">
        <v>96</v>
      </c>
      <c r="F5" s="16" t="s">
        <v>106</v>
      </c>
      <c r="G5" s="17">
        <v>720</v>
      </c>
      <c r="H5" s="17">
        <v>880</v>
      </c>
      <c r="I5" s="17">
        <v>150</v>
      </c>
      <c r="J5" s="17">
        <v>150</v>
      </c>
      <c r="K5" s="17">
        <v>515</v>
      </c>
      <c r="L5" s="17">
        <v>640</v>
      </c>
      <c r="M5" s="44">
        <v>2350</v>
      </c>
      <c r="N5" s="21">
        <v>2900</v>
      </c>
      <c r="O5" s="49">
        <v>720</v>
      </c>
      <c r="P5" s="49">
        <v>300</v>
      </c>
      <c r="Q5" s="49" t="str">
        <f>IF(OR(Прайс[[#This Row],[Тип]]="Нижний",Прайс[[#This Row],[Тип]]="Пенал"),"560",IF(Прайс[[#This Row],[Тип]]="Верхний",315,0))</f>
        <v>560</v>
      </c>
      <c r="R5" s="23">
        <v>1.08</v>
      </c>
      <c r="S5" s="23">
        <v>1.0649999999999999</v>
      </c>
      <c r="T5" s="23">
        <v>1.3</v>
      </c>
      <c r="U5" s="5"/>
      <c r="V5" s="5"/>
      <c r="W5" s="16">
        <f>'[2]комплекты фурнитуры'!$C$3</f>
        <v>550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>
        <f>'[2]комплекты фурнитуры'!$C$23*2</f>
        <v>560</v>
      </c>
      <c r="AK5" s="16"/>
      <c r="AL5" s="16"/>
      <c r="AM5" s="19">
        <f>SUM(Прайс[[#This Row],[КФ НСТ11]:[KFPr-SB-ZPG]])</f>
        <v>1110</v>
      </c>
      <c r="AN5" s="19"/>
      <c r="AO5" s="16"/>
      <c r="AP5" s="16"/>
      <c r="AQ5" s="16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>
        <f>'[2]комплекты фурнитуры'!$C$46</f>
        <v>11560</v>
      </c>
      <c r="BQ5" s="19"/>
      <c r="BR5" s="19"/>
      <c r="BS5" s="19"/>
      <c r="BT5" s="19"/>
      <c r="BU5" s="20">
        <f>SUM(Прайс[[#This Row],[ KFPr-SB-StK ]:[Корзина с держателем для бутылок 414*500*520 мм]])</f>
        <v>11560</v>
      </c>
      <c r="BV5" s="21">
        <f>SUM(Прайс[[#This Row],[ KFPr-SB-StK ]:[Корзина с держателем для бутылок 414*500*520 мм]])</f>
        <v>11560</v>
      </c>
      <c r="BW5" s="21">
        <f>SUM(Прайс[[#This Row],[ KFPr-SB-StK ]:[Корзина с держателем для бутылок 414*500*520 мм]])</f>
        <v>11560</v>
      </c>
      <c r="BX5" s="22">
        <v>0</v>
      </c>
      <c r="BY5" s="22">
        <v>7</v>
      </c>
      <c r="BZ5" s="22" t="s">
        <v>96</v>
      </c>
      <c r="CA5" s="21" t="s">
        <v>98</v>
      </c>
      <c r="CB5" s="22">
        <v>1</v>
      </c>
      <c r="CC5" s="22" t="s">
        <v>96</v>
      </c>
      <c r="CD5" s="22"/>
      <c r="CE5" s="22"/>
      <c r="CF5" s="22">
        <v>1</v>
      </c>
      <c r="CG5" s="22">
        <v>0</v>
      </c>
      <c r="CH5" s="22">
        <v>0</v>
      </c>
      <c r="CI5" s="22"/>
      <c r="CJ5" s="22"/>
      <c r="CK5" s="22"/>
      <c r="CL5" s="22"/>
      <c r="CM5" s="22" t="s">
        <v>96</v>
      </c>
      <c r="CN5" s="22">
        <f>IF(Прайс[[#This Row],[Наличие подсветки на нижнем горизонте]]="Нет",0,'[2]комплекты фурнитуры'!$C$91)</f>
        <v>0</v>
      </c>
      <c r="CO5"/>
      <c r="CP5"/>
      <c r="CQ5"/>
      <c r="CR5"/>
      <c r="CS5"/>
      <c r="CT5"/>
      <c r="CU5"/>
    </row>
    <row r="6" spans="1:99" ht="15" customHeight="1" x14ac:dyDescent="0.25">
      <c r="A6" s="24" t="s">
        <v>107</v>
      </c>
      <c r="B6" s="16" t="s">
        <v>93</v>
      </c>
      <c r="C6" s="16" t="s">
        <v>108</v>
      </c>
      <c r="D6" s="16" t="s">
        <v>101</v>
      </c>
      <c r="E6" s="16" t="s">
        <v>96</v>
      </c>
      <c r="F6" s="16" t="s">
        <v>106</v>
      </c>
      <c r="G6" s="17">
        <v>720</v>
      </c>
      <c r="H6" s="17">
        <v>880</v>
      </c>
      <c r="I6" s="17">
        <v>450</v>
      </c>
      <c r="J6" s="17">
        <v>450</v>
      </c>
      <c r="K6" s="17">
        <v>515</v>
      </c>
      <c r="L6" s="17">
        <v>640</v>
      </c>
      <c r="M6" s="44">
        <v>2350</v>
      </c>
      <c r="N6" s="21">
        <v>2900</v>
      </c>
      <c r="O6" s="49">
        <v>720</v>
      </c>
      <c r="P6" s="49">
        <v>300</v>
      </c>
      <c r="Q6" s="49" t="str">
        <f>IF(OR(Прайс[[#This Row],[Тип]]="Нижний",Прайс[[#This Row],[Тип]]="Пенал"),"560",IF(Прайс[[#This Row],[Тип]]="Верхний",315,0))</f>
        <v>560</v>
      </c>
      <c r="R6" s="23">
        <v>1.08</v>
      </c>
      <c r="S6" s="23">
        <v>1.0649999999999999</v>
      </c>
      <c r="T6" s="23">
        <v>1.3</v>
      </c>
      <c r="U6" s="5"/>
      <c r="V6" s="5"/>
      <c r="W6" s="16">
        <f>'[2]комплекты фурнитуры'!$C$3</f>
        <v>550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>
        <f>'[2]комплекты фурнитуры'!$C$23*2</f>
        <v>560</v>
      </c>
      <c r="AK6" s="16"/>
      <c r="AL6" s="16"/>
      <c r="AM6" s="19">
        <f>SUM(Прайс[[#This Row],[КФ НСТ11]:[KFPr-SB-ZPG]])</f>
        <v>1110</v>
      </c>
      <c r="AN6" s="19"/>
      <c r="AO6" s="16"/>
      <c r="AP6" s="16"/>
      <c r="AQ6" s="16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>
        <f>'[2]комплекты фурнитуры'!$C$48</f>
        <v>10520</v>
      </c>
      <c r="BR6" s="19"/>
      <c r="BS6" s="19"/>
      <c r="BT6" s="19"/>
      <c r="BU6" s="20">
        <f>SUM(Прайс[[#This Row],[ KFPr-SB-StK ]:[Корзина с держателем для бутылок 414*500*520 мм]])</f>
        <v>10520</v>
      </c>
      <c r="BV6" s="21">
        <f>SUM(Прайс[[#This Row],[ KFPr-SB-StK ]:[Корзина с держателем для бутылок 414*500*520 мм]])</f>
        <v>10520</v>
      </c>
      <c r="BW6" s="21">
        <f>SUM(Прайс[[#This Row],[ KFPr-SB-StK ]:[Корзина с держателем для бутылок 414*500*520 мм]])</f>
        <v>10520</v>
      </c>
      <c r="BX6" s="22">
        <v>0</v>
      </c>
      <c r="BY6" s="22">
        <v>7</v>
      </c>
      <c r="BZ6" s="22" t="s">
        <v>96</v>
      </c>
      <c r="CA6" s="21" t="s">
        <v>98</v>
      </c>
      <c r="CB6" s="22">
        <v>1</v>
      </c>
      <c r="CC6" s="22" t="s">
        <v>96</v>
      </c>
      <c r="CD6" s="22"/>
      <c r="CE6" s="22"/>
      <c r="CF6" s="22">
        <v>1</v>
      </c>
      <c r="CG6" s="22">
        <v>0</v>
      </c>
      <c r="CH6" s="22">
        <v>0</v>
      </c>
      <c r="CI6" s="22"/>
      <c r="CJ6" s="22"/>
      <c r="CK6" s="22"/>
      <c r="CL6" s="22"/>
      <c r="CM6" s="22" t="s">
        <v>96</v>
      </c>
      <c r="CN6" s="22">
        <f>IF(Прайс[[#This Row],[Наличие подсветки на нижнем горизонте]]="Нет",0,'[2]комплекты фурнитуры'!$C$91)</f>
        <v>0</v>
      </c>
      <c r="CO6"/>
      <c r="CP6"/>
      <c r="CQ6"/>
      <c r="CR6"/>
      <c r="CS6"/>
      <c r="CT6"/>
      <c r="CU6"/>
    </row>
    <row r="7" spans="1:99" x14ac:dyDescent="0.25">
      <c r="A7" s="24" t="s">
        <v>109</v>
      </c>
      <c r="B7" s="16" t="s">
        <v>93</v>
      </c>
      <c r="C7" s="16" t="s">
        <v>110</v>
      </c>
      <c r="D7" s="16" t="s">
        <v>101</v>
      </c>
      <c r="E7" s="16" t="s">
        <v>96</v>
      </c>
      <c r="F7" s="16" t="s">
        <v>111</v>
      </c>
      <c r="G7" s="17">
        <v>600</v>
      </c>
      <c r="H7" s="17">
        <v>750</v>
      </c>
      <c r="I7" s="17">
        <v>300</v>
      </c>
      <c r="J7" s="17">
        <v>600</v>
      </c>
      <c r="K7" s="17">
        <v>250</v>
      </c>
      <c r="L7" s="17">
        <v>640</v>
      </c>
      <c r="M7" s="44">
        <v>2380</v>
      </c>
      <c r="N7" s="21">
        <v>2990</v>
      </c>
      <c r="O7" s="49">
        <v>720</v>
      </c>
      <c r="P7" s="49">
        <v>450</v>
      </c>
      <c r="Q7" s="49" t="str">
        <f>IF(OR(Прайс[[#This Row],[Тип]]="Нижний",Прайс[[#This Row],[Тип]]="Пенал"),"560",IF(Прайс[[#This Row],[Тип]]="Верхний",315,0))</f>
        <v>560</v>
      </c>
      <c r="R7" s="23">
        <v>1.08</v>
      </c>
      <c r="S7" s="23">
        <v>1.0649999999999999</v>
      </c>
      <c r="T7" s="23">
        <v>1.3</v>
      </c>
      <c r="U7" s="18"/>
      <c r="V7" s="18"/>
      <c r="W7" s="16"/>
      <c r="X7" s="16">
        <f>'[2]комплекты фурнитуры'!$C$4</f>
        <v>460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>
        <f>'[2]комплекты фурнитуры'!$C$23*2</f>
        <v>560</v>
      </c>
      <c r="AK7" s="16"/>
      <c r="AL7" s="16"/>
      <c r="AM7" s="19">
        <f>SUM(Прайс[[#This Row],[КФ НСТ11]:[KFPr-SB-ZPG]])</f>
        <v>1020</v>
      </c>
      <c r="AN7" s="19"/>
      <c r="AO7" s="16"/>
      <c r="AP7" s="16"/>
      <c r="AQ7" s="16"/>
      <c r="AR7" s="19">
        <f>'[2]комплекты фурнитуры'!$C$62</f>
        <v>620</v>
      </c>
      <c r="AS7" s="19">
        <f>'[2]комплекты фурнитуры'!$C$63</f>
        <v>130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20">
        <f>Прайс[[#This Row],[КФ петли SENS накл.110 гр. с крестообр. Планкой]]*2</f>
        <v>1240</v>
      </c>
      <c r="BV7" s="21">
        <f>Прайс[[#This Row],[KFP-SB-N110]]*2</f>
        <v>260</v>
      </c>
      <c r="BW7" s="21">
        <f>Прайс[[#This Row],[KFP-SB-N110]]*2</f>
        <v>260</v>
      </c>
      <c r="BX7" s="22">
        <v>0</v>
      </c>
      <c r="BY7" s="22">
        <v>0</v>
      </c>
      <c r="BZ7" s="22" t="s">
        <v>112</v>
      </c>
      <c r="CA7" s="21" t="s">
        <v>98</v>
      </c>
      <c r="CB7" s="22">
        <v>0</v>
      </c>
      <c r="CC7" s="22" t="s">
        <v>96</v>
      </c>
      <c r="CD7" s="22"/>
      <c r="CE7" s="22"/>
      <c r="CF7" s="22">
        <v>1</v>
      </c>
      <c r="CG7" s="22">
        <v>0</v>
      </c>
      <c r="CH7" s="22">
        <v>0</v>
      </c>
      <c r="CI7" s="22"/>
      <c r="CJ7" s="22"/>
      <c r="CK7" s="22"/>
      <c r="CL7" s="22"/>
      <c r="CM7" s="22" t="s">
        <v>96</v>
      </c>
      <c r="CN7" s="22">
        <f>IF(Прайс[[#This Row],[Наличие подсветки на нижнем горизонте]]="Нет",0,'[2]комплекты фурнитуры'!$C$91)</f>
        <v>0</v>
      </c>
      <c r="CO7"/>
      <c r="CP7"/>
      <c r="CQ7"/>
      <c r="CR7"/>
      <c r="CS7"/>
      <c r="CT7"/>
      <c r="CU7"/>
    </row>
    <row r="8" spans="1:99" s="6" customFormat="1" ht="15" customHeight="1" x14ac:dyDescent="0.25">
      <c r="A8" s="24" t="s">
        <v>113</v>
      </c>
      <c r="B8" s="16" t="s">
        <v>93</v>
      </c>
      <c r="C8" s="16" t="s">
        <v>114</v>
      </c>
      <c r="D8" s="16" t="s">
        <v>101</v>
      </c>
      <c r="E8" s="16" t="s">
        <v>96</v>
      </c>
      <c r="F8" s="16" t="s">
        <v>111</v>
      </c>
      <c r="G8" s="17">
        <v>600</v>
      </c>
      <c r="H8" s="17">
        <v>750</v>
      </c>
      <c r="I8" s="17">
        <v>400</v>
      </c>
      <c r="J8" s="17">
        <v>900</v>
      </c>
      <c r="K8" s="17">
        <v>250</v>
      </c>
      <c r="L8" s="17">
        <v>640</v>
      </c>
      <c r="M8" s="44">
        <v>2380</v>
      </c>
      <c r="N8" s="21">
        <v>2990</v>
      </c>
      <c r="O8" s="49">
        <v>720</v>
      </c>
      <c r="P8" s="49">
        <v>450</v>
      </c>
      <c r="Q8" s="49" t="str">
        <f>IF(OR(Прайс[[#This Row],[Тип]]="Нижний",Прайс[[#This Row],[Тип]]="Пенал"),"560",IF(Прайс[[#This Row],[Тип]]="Верхний",315,0))</f>
        <v>560</v>
      </c>
      <c r="R8" s="23">
        <v>1.08</v>
      </c>
      <c r="S8" s="23">
        <v>1.0649999999999999</v>
      </c>
      <c r="T8" s="23">
        <v>1.3</v>
      </c>
      <c r="U8" s="18"/>
      <c r="V8" s="18"/>
      <c r="W8" s="16"/>
      <c r="X8" s="16">
        <f>'[2]комплекты фурнитуры'!$C$4</f>
        <v>460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f>'[2]комплекты фурнитуры'!$C$23*2</f>
        <v>560</v>
      </c>
      <c r="AK8" s="16"/>
      <c r="AL8" s="16"/>
      <c r="AM8" s="19">
        <f>SUM(Прайс[[#This Row],[КФ НСТ11]:[KFPr-SB-ZPG]])</f>
        <v>1020</v>
      </c>
      <c r="AN8" s="19"/>
      <c r="AO8" s="16"/>
      <c r="AP8" s="16"/>
      <c r="AQ8" s="16"/>
      <c r="AR8" s="19">
        <f>'[2]комплекты фурнитуры'!$C$62</f>
        <v>620</v>
      </c>
      <c r="AS8" s="19">
        <f>'[2]комплекты фурнитуры'!$C$63</f>
        <v>130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>
        <f>Прайс[[#This Row],[КФ петли SENS накл.110 гр. с крестообр. Планкой]]*4</f>
        <v>2480</v>
      </c>
      <c r="BV8" s="21">
        <f>Прайс[[#This Row],[KFP-SB-N110]]*4</f>
        <v>520</v>
      </c>
      <c r="BW8" s="21">
        <f>Прайс[[#This Row],[KFP-SB-N110]]*4</f>
        <v>520</v>
      </c>
      <c r="BX8" s="22">
        <v>0</v>
      </c>
      <c r="BY8" s="22">
        <v>0</v>
      </c>
      <c r="BZ8" s="22" t="s">
        <v>112</v>
      </c>
      <c r="CA8" s="21" t="s">
        <v>98</v>
      </c>
      <c r="CB8" s="22">
        <v>0</v>
      </c>
      <c r="CC8" s="22" t="s">
        <v>96</v>
      </c>
      <c r="CD8" s="22"/>
      <c r="CE8" s="22"/>
      <c r="CF8" s="22">
        <v>2</v>
      </c>
      <c r="CG8" s="22">
        <v>0</v>
      </c>
      <c r="CH8" s="22">
        <v>0</v>
      </c>
      <c r="CI8" s="22"/>
      <c r="CJ8" s="22"/>
      <c r="CK8" s="22"/>
      <c r="CL8" s="22"/>
      <c r="CM8" s="22" t="s">
        <v>96</v>
      </c>
      <c r="CN8" s="22">
        <f>IF(Прайс[[#This Row],[Наличие подсветки на нижнем горизонте]]="Нет",0,'[2]комплекты фурнитуры'!$C$91)</f>
        <v>0</v>
      </c>
    </row>
    <row r="9" spans="1:99" ht="15" customHeight="1" x14ac:dyDescent="0.25">
      <c r="A9" s="24" t="s">
        <v>115</v>
      </c>
      <c r="B9" s="16" t="s">
        <v>93</v>
      </c>
      <c r="C9" s="16" t="s">
        <v>116</v>
      </c>
      <c r="D9" s="16" t="s">
        <v>117</v>
      </c>
      <c r="E9" s="16" t="s">
        <v>96</v>
      </c>
      <c r="F9" s="16" t="s">
        <v>97</v>
      </c>
      <c r="G9" s="17">
        <v>720</v>
      </c>
      <c r="H9" s="17">
        <v>720</v>
      </c>
      <c r="I9" s="17">
        <v>710</v>
      </c>
      <c r="J9" s="17">
        <v>950</v>
      </c>
      <c r="K9" s="17">
        <v>360</v>
      </c>
      <c r="L9" s="17">
        <v>560</v>
      </c>
      <c r="M9" s="44">
        <v>3200</v>
      </c>
      <c r="N9" s="21">
        <v>4030</v>
      </c>
      <c r="O9" s="49">
        <v>720</v>
      </c>
      <c r="P9" s="49">
        <v>750</v>
      </c>
      <c r="Q9" s="49" t="str">
        <f>IF(OR(Прайс[[#This Row],[Тип]]="Нижний",Прайс[[#This Row],[Тип]]="Пенал"),"560",IF(Прайс[[#This Row],[Тип]]="Верхний",315,0))</f>
        <v>560</v>
      </c>
      <c r="R9" s="23">
        <v>1.08</v>
      </c>
      <c r="S9" s="23">
        <v>1.0649999999999999</v>
      </c>
      <c r="T9" s="23">
        <v>1.3</v>
      </c>
      <c r="U9" s="18"/>
      <c r="V9" s="18"/>
      <c r="W9" s="16"/>
      <c r="X9" s="16"/>
      <c r="Y9" s="16">
        <f>'[2]комплекты фурнитуры'!$C$6</f>
        <v>810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>
        <f>'[2]комплекты фурнитуры'!$C$23*2</f>
        <v>560</v>
      </c>
      <c r="AK9" s="16"/>
      <c r="AL9" s="16"/>
      <c r="AM9" s="19">
        <f>SUM(Прайс[[#This Row],[КФ НСТ11]:[KFPr-SB-ZPG]])</f>
        <v>1370</v>
      </c>
      <c r="AN9" s="19"/>
      <c r="AO9" s="16">
        <f>'[2]комплекты фурнитуры'!$C$78</f>
        <v>30</v>
      </c>
      <c r="AP9" s="16">
        <f>'[2]комплекты фурнитуры'!$C$90</f>
        <v>20</v>
      </c>
      <c r="AQ9" s="16"/>
      <c r="AR9" s="19"/>
      <c r="AS9" s="19"/>
      <c r="AT9" s="19">
        <f>'[2]комплекты фурнитуры'!$C$56</f>
        <v>1300</v>
      </c>
      <c r="AU9" s="19">
        <f>'[2]комплекты фурнитуры'!$C$58</f>
        <v>480</v>
      </c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>
        <f>Прайс[[#This Row],[KFPr-SB-SPL]]+Прайс[[#This Row],[КФ петли вклад. 95 гр. с крестообр. планкой]]*2+Прайс[[#This Row],[KFPr-SB-SMRZ_16мм]]</f>
        <v>2650</v>
      </c>
      <c r="BV9" s="21">
        <f>Прайс[[#This Row],[KFPr-SB-SPL]]+Прайс[[#This Row],[KFP-SB-PY94]]*2</f>
        <v>990</v>
      </c>
      <c r="BW9" s="21">
        <f>Прайс[[#This Row],[KFPr-SB-SPL]]+Прайс[[#This Row],[KFP-SB-PY94]]*2</f>
        <v>990</v>
      </c>
      <c r="BX9" s="22">
        <v>0</v>
      </c>
      <c r="BY9" s="22">
        <v>2</v>
      </c>
      <c r="BZ9" s="22" t="s">
        <v>112</v>
      </c>
      <c r="CA9" s="21" t="s">
        <v>98</v>
      </c>
      <c r="CB9" s="22">
        <v>1</v>
      </c>
      <c r="CC9" s="22" t="s">
        <v>96</v>
      </c>
      <c r="CD9" s="22"/>
      <c r="CE9" s="22"/>
      <c r="CF9" s="22">
        <v>1</v>
      </c>
      <c r="CG9" s="22">
        <v>0</v>
      </c>
      <c r="CH9" s="22">
        <v>0</v>
      </c>
      <c r="CI9" s="22"/>
      <c r="CJ9" s="22"/>
      <c r="CK9" s="22"/>
      <c r="CL9" s="22"/>
      <c r="CM9" s="22" t="s">
        <v>96</v>
      </c>
      <c r="CN9" s="22">
        <f>IF(Прайс[[#This Row],[Наличие подсветки на нижнем горизонте]]="Нет",0,'[2]комплекты фурнитуры'!$C$91)</f>
        <v>0</v>
      </c>
      <c r="CO9"/>
      <c r="CP9"/>
      <c r="CQ9"/>
      <c r="CR9"/>
      <c r="CS9"/>
      <c r="CT9"/>
      <c r="CU9"/>
    </row>
    <row r="10" spans="1:99" ht="15" customHeight="1" x14ac:dyDescent="0.25">
      <c r="A10" s="15" t="s">
        <v>118</v>
      </c>
      <c r="B10" s="16" t="s">
        <v>93</v>
      </c>
      <c r="C10" s="16" t="s">
        <v>119</v>
      </c>
      <c r="D10" s="16" t="s">
        <v>117</v>
      </c>
      <c r="E10" s="16" t="s">
        <v>96</v>
      </c>
      <c r="F10" s="16" t="s">
        <v>97</v>
      </c>
      <c r="G10" s="17">
        <v>720</v>
      </c>
      <c r="H10" s="17">
        <v>720</v>
      </c>
      <c r="I10" s="17">
        <v>810</v>
      </c>
      <c r="J10" s="17">
        <v>1050</v>
      </c>
      <c r="K10" s="17">
        <v>360</v>
      </c>
      <c r="L10" s="17">
        <v>560</v>
      </c>
      <c r="M10" s="44">
        <v>3200</v>
      </c>
      <c r="N10" s="21">
        <v>4030</v>
      </c>
      <c r="O10" s="49">
        <v>720</v>
      </c>
      <c r="P10" s="49">
        <v>750</v>
      </c>
      <c r="Q10" s="49" t="str">
        <f>IF(OR(Прайс[[#This Row],[Тип]]="Нижний",Прайс[[#This Row],[Тип]]="Пенал"),"560",IF(Прайс[[#This Row],[Тип]]="Верхний",315,0))</f>
        <v>560</v>
      </c>
      <c r="R10" s="23">
        <v>1.08</v>
      </c>
      <c r="S10" s="23">
        <v>1.0649999999999999</v>
      </c>
      <c r="T10" s="23">
        <v>1.3</v>
      </c>
      <c r="U10" s="18"/>
      <c r="V10" s="18"/>
      <c r="W10" s="16"/>
      <c r="X10" s="16"/>
      <c r="Y10" s="16">
        <f>'[2]комплекты фурнитуры'!$C$6</f>
        <v>810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>
        <f>'[2]комплекты фурнитуры'!$C$23*2</f>
        <v>560</v>
      </c>
      <c r="AK10" s="16"/>
      <c r="AL10" s="16"/>
      <c r="AM10" s="19">
        <f>SUM(Прайс[[#This Row],[КФ НСТ11]:[KFPr-SB-ZPG]])</f>
        <v>1370</v>
      </c>
      <c r="AN10" s="19"/>
      <c r="AO10" s="16">
        <f>'[2]комплекты фурнитуры'!$C$78</f>
        <v>30</v>
      </c>
      <c r="AP10" s="16">
        <f>'[2]комплекты фурнитуры'!$C$90</f>
        <v>20</v>
      </c>
      <c r="AQ10" s="16"/>
      <c r="AR10" s="19"/>
      <c r="AS10" s="19"/>
      <c r="AT10" s="19">
        <f>'[2]комплекты фурнитуры'!$C$56</f>
        <v>1300</v>
      </c>
      <c r="AU10" s="19">
        <f>'[2]комплекты фурнитуры'!$C$58</f>
        <v>480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20">
        <f>Прайс[[#This Row],[KFPr-SB-SPL]]+Прайс[[#This Row],[КФ петли вклад. 95 гр. с крестообр. планкой]]*2+Прайс[[#This Row],[KFPr-SB-SMRZ_16мм]]</f>
        <v>2650</v>
      </c>
      <c r="BV10" s="21">
        <f>Прайс[[#This Row],[KFPr-SB-SPL]]+Прайс[[#This Row],[KFP-SB-PY94]]*2</f>
        <v>990</v>
      </c>
      <c r="BW10" s="21">
        <f>Прайс[[#This Row],[KFPr-SB-SPL]]+Прайс[[#This Row],[KFP-SB-PY94]]*2</f>
        <v>990</v>
      </c>
      <c r="BX10" s="22">
        <v>0</v>
      </c>
      <c r="BY10" s="22">
        <v>2</v>
      </c>
      <c r="BZ10" s="22" t="s">
        <v>112</v>
      </c>
      <c r="CA10" s="21" t="s">
        <v>98</v>
      </c>
      <c r="CB10" s="22">
        <v>1</v>
      </c>
      <c r="CC10" s="22" t="s">
        <v>96</v>
      </c>
      <c r="CD10" s="22"/>
      <c r="CE10" s="22"/>
      <c r="CF10" s="22">
        <v>1</v>
      </c>
      <c r="CG10" s="22">
        <v>0</v>
      </c>
      <c r="CH10" s="22">
        <v>0</v>
      </c>
      <c r="CI10" s="22"/>
      <c r="CJ10" s="22"/>
      <c r="CK10" s="22"/>
      <c r="CL10" s="22"/>
      <c r="CM10" s="22" t="s">
        <v>96</v>
      </c>
      <c r="CN10" s="22">
        <f>IF(Прайс[[#This Row],[Наличие подсветки на нижнем горизонте]]="Нет",0,'[2]комплекты фурнитуры'!$C$91)</f>
        <v>0</v>
      </c>
      <c r="CO10"/>
      <c r="CP10"/>
      <c r="CQ10"/>
      <c r="CR10"/>
      <c r="CS10"/>
      <c r="CT10"/>
      <c r="CU10"/>
    </row>
    <row r="11" spans="1:99" ht="15" customHeight="1" x14ac:dyDescent="0.25">
      <c r="A11" s="24" t="s">
        <v>120</v>
      </c>
      <c r="B11" s="16" t="s">
        <v>93</v>
      </c>
      <c r="C11" s="16" t="s">
        <v>121</v>
      </c>
      <c r="D11" s="16" t="s">
        <v>117</v>
      </c>
      <c r="E11" s="16" t="s">
        <v>96</v>
      </c>
      <c r="F11" s="16" t="s">
        <v>111</v>
      </c>
      <c r="G11" s="17">
        <v>720</v>
      </c>
      <c r="H11" s="17">
        <v>720</v>
      </c>
      <c r="I11" s="17">
        <v>710</v>
      </c>
      <c r="J11" s="17">
        <v>950</v>
      </c>
      <c r="K11" s="17">
        <v>360</v>
      </c>
      <c r="L11" s="17">
        <v>560</v>
      </c>
      <c r="M11" s="44">
        <v>2980</v>
      </c>
      <c r="N11" s="21">
        <v>3840</v>
      </c>
      <c r="O11" s="49">
        <v>720</v>
      </c>
      <c r="P11" s="49">
        <v>750</v>
      </c>
      <c r="Q11" s="49" t="str">
        <f>IF(OR(Прайс[[#This Row],[Тип]]="Нижний",Прайс[[#This Row],[Тип]]="Пенал"),"560",IF(Прайс[[#This Row],[Тип]]="Верхний",315,0))</f>
        <v>560</v>
      </c>
      <c r="R11" s="23">
        <v>1.08</v>
      </c>
      <c r="S11" s="23">
        <v>1.0649999999999999</v>
      </c>
      <c r="T11" s="23">
        <v>0</v>
      </c>
      <c r="U11" s="18"/>
      <c r="V11" s="18"/>
      <c r="W11" s="16"/>
      <c r="X11" s="16"/>
      <c r="Y11" s="16"/>
      <c r="Z11" s="16">
        <f>'[2]комплекты фурнитуры'!$C$8</f>
        <v>750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>
        <f>'[2]комплекты фурнитуры'!$C$23*2</f>
        <v>560</v>
      </c>
      <c r="AK11" s="16"/>
      <c r="AL11" s="16"/>
      <c r="AM11" s="19">
        <f>SUM(Прайс[[#This Row],[КФ НСТ11]:[KFPr-SB-ZPG]])</f>
        <v>1310</v>
      </c>
      <c r="AN11" s="19"/>
      <c r="AO11" s="16">
        <f>'[2]комплекты фурнитуры'!$C$78</f>
        <v>30</v>
      </c>
      <c r="AP11" s="16"/>
      <c r="AQ11" s="16"/>
      <c r="AR11" s="19"/>
      <c r="AS11" s="19"/>
      <c r="AT11" s="19">
        <f>'[2]комплекты фурнитуры'!$C$56</f>
        <v>1300</v>
      </c>
      <c r="AU11" s="19">
        <f>'[2]комплекты фурнитуры'!$C$58</f>
        <v>480</v>
      </c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20">
        <f>Прайс[[#This Row],[KFPr-SB-SPL]]+Прайс[[#This Row],[КФ петли вклад. 95 гр. с крестообр. планкой]]*2</f>
        <v>2630</v>
      </c>
      <c r="BV11" s="21">
        <f>Прайс[[#This Row],[KFPr-SB-SPL]]+Прайс[[#This Row],[KFP-SB-PY94]]*2</f>
        <v>990</v>
      </c>
      <c r="BW11" s="21">
        <f>Прайс[[#This Row],[KFPr-SB-SPL]]+Прайс[[#This Row],[KFP-SB-PY94]]*2</f>
        <v>990</v>
      </c>
      <c r="BX11" s="22">
        <v>0</v>
      </c>
      <c r="BY11" s="22">
        <v>0</v>
      </c>
      <c r="BZ11" s="22" t="s">
        <v>112</v>
      </c>
      <c r="CA11" s="21" t="s">
        <v>98</v>
      </c>
      <c r="CB11" s="22">
        <v>0</v>
      </c>
      <c r="CC11" s="22" t="s">
        <v>96</v>
      </c>
      <c r="CD11" s="22"/>
      <c r="CE11" s="22"/>
      <c r="CF11" s="22">
        <v>1</v>
      </c>
      <c r="CG11" s="22">
        <v>0</v>
      </c>
      <c r="CH11" s="22">
        <v>0</v>
      </c>
      <c r="CI11" s="22"/>
      <c r="CJ11" s="22"/>
      <c r="CK11" s="22"/>
      <c r="CL11" s="22"/>
      <c r="CM11" s="22" t="s">
        <v>96</v>
      </c>
      <c r="CN11" s="22">
        <f>IF(Прайс[[#This Row],[Наличие подсветки на нижнем горизонте]]="Нет",0,'[2]комплекты фурнитуры'!$C$91)</f>
        <v>0</v>
      </c>
      <c r="CO11"/>
      <c r="CP11"/>
      <c r="CQ11"/>
      <c r="CR11"/>
      <c r="CS11"/>
      <c r="CT11"/>
      <c r="CU11"/>
    </row>
    <row r="12" spans="1:99" ht="15" customHeight="1" x14ac:dyDescent="0.25">
      <c r="A12" s="15" t="s">
        <v>122</v>
      </c>
      <c r="B12" s="16" t="s">
        <v>93</v>
      </c>
      <c r="C12" s="16" t="s">
        <v>123</v>
      </c>
      <c r="D12" s="16" t="s">
        <v>117</v>
      </c>
      <c r="E12" s="16" t="s">
        <v>96</v>
      </c>
      <c r="F12" s="16" t="s">
        <v>111</v>
      </c>
      <c r="G12" s="17">
        <v>720</v>
      </c>
      <c r="H12" s="17">
        <v>720</v>
      </c>
      <c r="I12" s="17">
        <v>810</v>
      </c>
      <c r="J12" s="17">
        <v>1050</v>
      </c>
      <c r="K12" s="17">
        <v>360</v>
      </c>
      <c r="L12" s="17">
        <v>560</v>
      </c>
      <c r="M12" s="44">
        <v>2980</v>
      </c>
      <c r="N12" s="21">
        <v>3840</v>
      </c>
      <c r="O12" s="49">
        <v>720</v>
      </c>
      <c r="P12" s="49">
        <v>750</v>
      </c>
      <c r="Q12" s="49" t="str">
        <f>IF(OR(Прайс[[#This Row],[Тип]]="Нижний",Прайс[[#This Row],[Тип]]="Пенал"),"560",IF(Прайс[[#This Row],[Тип]]="Верхний",315,0))</f>
        <v>560</v>
      </c>
      <c r="R12" s="23">
        <v>1.08</v>
      </c>
      <c r="S12" s="23">
        <v>1.0649999999999999</v>
      </c>
      <c r="T12" s="23">
        <v>0</v>
      </c>
      <c r="U12" s="18"/>
      <c r="V12" s="18"/>
      <c r="W12" s="16"/>
      <c r="X12" s="16"/>
      <c r="Y12" s="16"/>
      <c r="Z12" s="16">
        <f>'[2]комплекты фурнитуры'!$C$8</f>
        <v>750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>
        <f>'[2]комплекты фурнитуры'!$C$23*2</f>
        <v>560</v>
      </c>
      <c r="AK12" s="16"/>
      <c r="AL12" s="16"/>
      <c r="AM12" s="19">
        <f>SUM(Прайс[[#This Row],[КФ НСТ11]:[KFPr-SB-ZPG]])</f>
        <v>1310</v>
      </c>
      <c r="AN12" s="19"/>
      <c r="AO12" s="16">
        <f>'[2]комплекты фурнитуры'!$C$78</f>
        <v>30</v>
      </c>
      <c r="AP12" s="16"/>
      <c r="AQ12" s="16"/>
      <c r="AR12" s="19"/>
      <c r="AS12" s="19"/>
      <c r="AT12" s="19">
        <f>'[2]комплекты фурнитуры'!$C$56</f>
        <v>1300</v>
      </c>
      <c r="AU12" s="19">
        <f>'[2]комплекты фурнитуры'!$C$58</f>
        <v>480</v>
      </c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20">
        <f>Прайс[[#This Row],[KFPr-SB-SPL]]+Прайс[[#This Row],[КФ петли вклад. 95 гр. с крестообр. планкой]]*2</f>
        <v>2630</v>
      </c>
      <c r="BV12" s="21">
        <f>Прайс[[#This Row],[KFPr-SB-SPL]]+Прайс[[#This Row],[KFP-SB-PY94]]*2</f>
        <v>990</v>
      </c>
      <c r="BW12" s="21">
        <f>Прайс[[#This Row],[KFPr-SB-SPL]]+Прайс[[#This Row],[KFP-SB-PY94]]*2</f>
        <v>990</v>
      </c>
      <c r="BX12" s="22">
        <v>0</v>
      </c>
      <c r="BY12" s="22">
        <v>0</v>
      </c>
      <c r="BZ12" s="22" t="s">
        <v>112</v>
      </c>
      <c r="CA12" s="21" t="s">
        <v>98</v>
      </c>
      <c r="CB12" s="22">
        <v>0</v>
      </c>
      <c r="CC12" s="22" t="s">
        <v>96</v>
      </c>
      <c r="CD12" s="22"/>
      <c r="CE12" s="22"/>
      <c r="CF12" s="22">
        <v>1</v>
      </c>
      <c r="CG12" s="22">
        <v>0</v>
      </c>
      <c r="CH12" s="22">
        <v>0</v>
      </c>
      <c r="CI12" s="22"/>
      <c r="CJ12" s="22"/>
      <c r="CK12" s="22"/>
      <c r="CL12" s="22"/>
      <c r="CM12" s="22" t="s">
        <v>96</v>
      </c>
      <c r="CN12" s="22">
        <f>IF(Прайс[[#This Row],[Наличие подсветки на нижнем горизонте]]="Нет",0,'[2]комплекты фурнитуры'!$C$91)</f>
        <v>0</v>
      </c>
      <c r="CO12"/>
      <c r="CP12"/>
      <c r="CQ12"/>
      <c r="CR12"/>
      <c r="CS12"/>
      <c r="CT12"/>
      <c r="CU12"/>
    </row>
    <row r="13" spans="1:99" s="7" customFormat="1" ht="15" customHeight="1" x14ac:dyDescent="0.25">
      <c r="A13" s="24" t="s">
        <v>124</v>
      </c>
      <c r="B13" s="16" t="s">
        <v>93</v>
      </c>
      <c r="C13" s="16" t="s">
        <v>125</v>
      </c>
      <c r="D13" s="16" t="s">
        <v>101</v>
      </c>
      <c r="E13" s="16" t="s">
        <v>96</v>
      </c>
      <c r="F13" s="16" t="s">
        <v>126</v>
      </c>
      <c r="G13" s="17">
        <v>720</v>
      </c>
      <c r="H13" s="17">
        <v>720</v>
      </c>
      <c r="I13" s="17">
        <v>300</v>
      </c>
      <c r="J13" s="17">
        <v>600</v>
      </c>
      <c r="K13" s="17">
        <v>525</v>
      </c>
      <c r="L13" s="17">
        <v>560</v>
      </c>
      <c r="M13" s="44">
        <v>2640</v>
      </c>
      <c r="N13" s="21">
        <v>3240</v>
      </c>
      <c r="O13" s="49">
        <v>720</v>
      </c>
      <c r="P13" s="49">
        <v>300</v>
      </c>
      <c r="Q13" s="49" t="str">
        <f>IF(OR(Прайс[[#This Row],[Тип]]="Нижний",Прайс[[#This Row],[Тип]]="Пенал"),"560",IF(Прайс[[#This Row],[Тип]]="Верхний",315,0))</f>
        <v>560</v>
      </c>
      <c r="R13" s="23">
        <v>1.08</v>
      </c>
      <c r="S13" s="23">
        <v>1.0649999999999999</v>
      </c>
      <c r="T13" s="23">
        <v>0</v>
      </c>
      <c r="U13" s="18"/>
      <c r="V13" s="18"/>
      <c r="W13" s="16">
        <f>'[2]комплекты фурнитуры'!$C$3</f>
        <v>550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>
        <f>'[2]комплекты фурнитуры'!$C$23*2</f>
        <v>560</v>
      </c>
      <c r="AK13" s="16"/>
      <c r="AL13" s="16"/>
      <c r="AM13" s="19">
        <f>SUM(Прайс[[#This Row],[КФ НСТ11]:[KFPr-SB-ZPG]])</f>
        <v>1110</v>
      </c>
      <c r="AN13" s="19"/>
      <c r="AO13" s="16"/>
      <c r="AP13" s="16"/>
      <c r="AQ13" s="16"/>
      <c r="AR13" s="19">
        <f>'[2]комплекты фурнитуры'!$C$62</f>
        <v>620</v>
      </c>
      <c r="AS13" s="19">
        <f>'[2]комплекты фурнитуры'!$C$63</f>
        <v>130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>
        <f>'[2]комплекты фурнитуры'!$C$25</f>
        <v>5100</v>
      </c>
      <c r="BH13" s="19"/>
      <c r="BI13" s="19">
        <f>'[2]комплекты фурнитуры'!$C$32</f>
        <v>370</v>
      </c>
      <c r="BJ13" s="19"/>
      <c r="BK13" s="19">
        <f>'[2]комплекты фурнитуры'!$C$33</f>
        <v>170</v>
      </c>
      <c r="BL13" s="19">
        <f>'[2]комплекты фурнитуры'!$C$35</f>
        <v>4140</v>
      </c>
      <c r="BM13" s="19"/>
      <c r="BN13" s="19"/>
      <c r="BO13" s="19"/>
      <c r="BP13" s="19"/>
      <c r="BQ13" s="19"/>
      <c r="BR13" s="19"/>
      <c r="BS13" s="19"/>
      <c r="BT13" s="19"/>
      <c r="BU13" s="20">
        <f>Прайс[[#This Row],[КФ петли SENS накл.110 гр. с крестообр. Планкой]]*2+Прайс[[#This Row],[Комплект для ящика Hettich ATIRA Серый, NL-470, H-70]]</f>
        <v>6340</v>
      </c>
      <c r="BV13" s="21">
        <f>Прайс[[#This Row],[KFP-SB-N110]]*2+Прайс[[#This Row],[KFN-SB-M86]]+Прайс[[#This Row],[KFN-SB-MD]]</f>
        <v>800</v>
      </c>
      <c r="BW13" s="21">
        <f>Прайс[[#This Row],[KFP-SB-N110]]*2+Прайс[[#This Row],[КФ ящика Matrix (H=89 мм)_450_GR]]</f>
        <v>4400</v>
      </c>
      <c r="BX13" s="22">
        <v>0</v>
      </c>
      <c r="BY13" s="22">
        <v>1</v>
      </c>
      <c r="BZ13" s="22" t="s">
        <v>112</v>
      </c>
      <c r="CA13" s="21" t="s">
        <v>127</v>
      </c>
      <c r="CB13" s="22">
        <v>1</v>
      </c>
      <c r="CC13" s="22" t="s">
        <v>96</v>
      </c>
      <c r="CD13" s="22"/>
      <c r="CE13" s="22"/>
      <c r="CF13" s="22">
        <v>2</v>
      </c>
      <c r="CG13" s="22">
        <v>0</v>
      </c>
      <c r="CH13" s="22">
        <v>0</v>
      </c>
      <c r="CI13" s="22"/>
      <c r="CJ13" s="22"/>
      <c r="CK13" s="22"/>
      <c r="CL13" s="22"/>
      <c r="CM13" s="22" t="s">
        <v>96</v>
      </c>
      <c r="CN13" s="22">
        <f>IF(Прайс[[#This Row],[Наличие подсветки на нижнем горизонте]]="Нет",0,'[2]комплекты фурнитуры'!$C$91)</f>
        <v>0</v>
      </c>
    </row>
    <row r="14" spans="1:99" s="7" customFormat="1" ht="15" customHeight="1" x14ac:dyDescent="0.25">
      <c r="A14" s="24" t="s">
        <v>128</v>
      </c>
      <c r="B14" s="16" t="s">
        <v>93</v>
      </c>
      <c r="C14" s="16" t="s">
        <v>129</v>
      </c>
      <c r="D14" s="16" t="s">
        <v>101</v>
      </c>
      <c r="E14" s="16" t="s">
        <v>96</v>
      </c>
      <c r="F14" s="16" t="s">
        <v>126</v>
      </c>
      <c r="G14" s="17">
        <v>720</v>
      </c>
      <c r="H14" s="17">
        <v>720</v>
      </c>
      <c r="I14" s="17">
        <v>500</v>
      </c>
      <c r="J14" s="17">
        <v>900</v>
      </c>
      <c r="K14" s="17">
        <v>525</v>
      </c>
      <c r="L14" s="17">
        <v>560</v>
      </c>
      <c r="M14" s="44">
        <v>2640</v>
      </c>
      <c r="N14" s="21">
        <v>3240</v>
      </c>
      <c r="O14" s="49">
        <v>720</v>
      </c>
      <c r="P14" s="49">
        <v>300</v>
      </c>
      <c r="Q14" s="49" t="str">
        <f>IF(OR(Прайс[[#This Row],[Тип]]="Нижний",Прайс[[#This Row],[Тип]]="Пенал"),"560",IF(Прайс[[#This Row],[Тип]]="Верхний",315,0))</f>
        <v>560</v>
      </c>
      <c r="R14" s="23">
        <v>1.08</v>
      </c>
      <c r="S14" s="23">
        <v>1.0649999999999999</v>
      </c>
      <c r="T14" s="23">
        <v>0</v>
      </c>
      <c r="U14" s="18"/>
      <c r="V14" s="18"/>
      <c r="W14" s="16">
        <f>'[2]комплекты фурнитуры'!$C$3</f>
        <v>550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>
        <f>'[2]комплекты фурнитуры'!$C$23*2</f>
        <v>560</v>
      </c>
      <c r="AK14" s="16"/>
      <c r="AL14" s="16"/>
      <c r="AM14" s="19">
        <f>SUM(Прайс[[#This Row],[КФ НСТ11]:[KFPr-SB-ZPG]])</f>
        <v>1110</v>
      </c>
      <c r="AN14" s="19"/>
      <c r="AO14" s="16"/>
      <c r="AP14" s="16"/>
      <c r="AQ14" s="16"/>
      <c r="AR14" s="19">
        <f>'[2]комплекты фурнитуры'!$C$62</f>
        <v>620</v>
      </c>
      <c r="AS14" s="19">
        <f>'[2]комплекты фурнитуры'!$C$63</f>
        <v>130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>
        <f>'[2]комплекты фурнитуры'!$C$25</f>
        <v>5100</v>
      </c>
      <c r="BH14" s="19"/>
      <c r="BI14" s="19">
        <f>'[2]комплекты фурнитуры'!$C$32</f>
        <v>370</v>
      </c>
      <c r="BJ14" s="19"/>
      <c r="BK14" s="19">
        <f>'[2]комплекты фурнитуры'!$C$33</f>
        <v>170</v>
      </c>
      <c r="BL14" s="19">
        <f>'[2]комплекты фурнитуры'!$C$35</f>
        <v>4140</v>
      </c>
      <c r="BM14" s="19"/>
      <c r="BN14" s="19"/>
      <c r="BO14" s="19"/>
      <c r="BP14" s="19"/>
      <c r="BQ14" s="19"/>
      <c r="BR14" s="19"/>
      <c r="BS14" s="19"/>
      <c r="BT14" s="19"/>
      <c r="BU14" s="20">
        <f>Прайс[[#This Row],[КФ петли SENS накл.110 гр. с крестообр. Планкой]]*4+Прайс[[#This Row],[Комплект для ящика Hettich ATIRA Серый, NL-470, H-70]]</f>
        <v>7580</v>
      </c>
      <c r="BV14" s="21">
        <f>Прайс[[#This Row],[KFP-SB-N110]]*4+Прайс[[#This Row],[KFN-SB-M86]]+Прайс[[#This Row],[KFN-SB-MD]]</f>
        <v>1060</v>
      </c>
      <c r="BW14" s="21">
        <f>Прайс[[#This Row],[KFP-SB-N110]]*4+Прайс[[#This Row],[КФ ящика Matrix (H=89 мм)_450_GR]]</f>
        <v>4660</v>
      </c>
      <c r="BX14" s="22">
        <v>0</v>
      </c>
      <c r="BY14" s="22">
        <v>1</v>
      </c>
      <c r="BZ14" s="22" t="s">
        <v>112</v>
      </c>
      <c r="CA14" s="21" t="s">
        <v>127</v>
      </c>
      <c r="CB14" s="22">
        <v>1</v>
      </c>
      <c r="CC14" s="22" t="s">
        <v>96</v>
      </c>
      <c r="CD14" s="22"/>
      <c r="CE14" s="22"/>
      <c r="CF14" s="22">
        <v>3</v>
      </c>
      <c r="CG14" s="22">
        <v>0</v>
      </c>
      <c r="CH14" s="22">
        <v>0</v>
      </c>
      <c r="CI14" s="22"/>
      <c r="CJ14" s="22"/>
      <c r="CK14" s="22"/>
      <c r="CL14" s="22"/>
      <c r="CM14" s="22" t="s">
        <v>96</v>
      </c>
      <c r="CN14" s="22">
        <f>IF(Прайс[[#This Row],[Наличие подсветки на нижнем горизонте]]="Нет",0,'[2]комплекты фурнитуры'!$C$91)</f>
        <v>0</v>
      </c>
    </row>
    <row r="15" spans="1:99" ht="15" customHeight="1" x14ac:dyDescent="0.25">
      <c r="A15" s="15" t="s">
        <v>130</v>
      </c>
      <c r="B15" s="16" t="s">
        <v>93</v>
      </c>
      <c r="C15" s="16" t="s">
        <v>131</v>
      </c>
      <c r="D15" s="16" t="s">
        <v>101</v>
      </c>
      <c r="E15" s="16" t="s">
        <v>96</v>
      </c>
      <c r="F15" s="16" t="s">
        <v>126</v>
      </c>
      <c r="G15" s="17">
        <v>720</v>
      </c>
      <c r="H15" s="17">
        <v>720</v>
      </c>
      <c r="I15" s="17">
        <v>300</v>
      </c>
      <c r="J15" s="17">
        <v>900</v>
      </c>
      <c r="K15" s="17">
        <v>525</v>
      </c>
      <c r="L15" s="17">
        <v>560</v>
      </c>
      <c r="M15" s="44">
        <v>3510</v>
      </c>
      <c r="N15" s="21">
        <v>4260</v>
      </c>
      <c r="O15" s="49">
        <v>720</v>
      </c>
      <c r="P15" s="49">
        <v>300</v>
      </c>
      <c r="Q15" s="49" t="str">
        <f>IF(OR(Прайс[[#This Row],[Тип]]="Нижний",Прайс[[#This Row],[Тип]]="Пенал"),"560",IF(Прайс[[#This Row],[Тип]]="Верхний",315,0))</f>
        <v>560</v>
      </c>
      <c r="R15" s="23">
        <v>1.08</v>
      </c>
      <c r="S15" s="23">
        <v>1.0649999999999999</v>
      </c>
      <c r="T15" s="23">
        <v>0</v>
      </c>
      <c r="U15" s="18"/>
      <c r="V15" s="18"/>
      <c r="W15" s="16">
        <f>'[2]комплекты фурнитуры'!$C$3</f>
        <v>550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>
        <f>'[2]комплекты фурнитуры'!$C$23*2</f>
        <v>560</v>
      </c>
      <c r="AK15" s="16"/>
      <c r="AL15" s="16"/>
      <c r="AM15" s="19">
        <f>SUM(Прайс[[#This Row],[КФ НСТ11]:[KFPr-SB-ZPG]])</f>
        <v>1110</v>
      </c>
      <c r="AN15" s="19"/>
      <c r="AO15" s="16"/>
      <c r="AP15" s="16"/>
      <c r="AQ15" s="16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>
        <f>'[2]комплекты фурнитуры'!$C$25</f>
        <v>5100</v>
      </c>
      <c r="BH15" s="19"/>
      <c r="BI15" s="19">
        <f>'[2]комплекты фурнитуры'!$C$32</f>
        <v>370</v>
      </c>
      <c r="BJ15" s="19"/>
      <c r="BK15" s="19">
        <f>'[2]комплекты фурнитуры'!$C$33</f>
        <v>170</v>
      </c>
      <c r="BL15" s="19"/>
      <c r="BM15" s="19"/>
      <c r="BN15" s="19">
        <f>'[2]комплекты фурнитуры'!$C$36</f>
        <v>6440</v>
      </c>
      <c r="BO15" s="19"/>
      <c r="BP15" s="19"/>
      <c r="BQ15" s="19"/>
      <c r="BR15" s="19"/>
      <c r="BS15" s="19"/>
      <c r="BT15" s="19"/>
      <c r="BU15" s="20">
        <f>4*Прайс[[#This Row],[Комплект для ящика Hettich ATIRA Серый, NL-470, H-70]]</f>
        <v>20400</v>
      </c>
      <c r="BV15" s="21">
        <f>Прайс[[#This Row],[KFN-SB-M86]]*4+Прайс[[#This Row],[KFN-SB-MD]]*4</f>
        <v>2160</v>
      </c>
      <c r="BW15" s="21">
        <f>Прайс[[#This Row],[Комплект ящика INNOTECH ATIRA полного выдв. с  PUSH TO OPEN , Н70,NL470,цвет серебристый]]*4</f>
        <v>25760</v>
      </c>
      <c r="BX15" s="22">
        <v>0</v>
      </c>
      <c r="BY15" s="22">
        <v>0</v>
      </c>
      <c r="BZ15" s="22" t="s">
        <v>112</v>
      </c>
      <c r="CA15" s="21" t="s">
        <v>98</v>
      </c>
      <c r="CB15" s="22">
        <v>0</v>
      </c>
      <c r="CC15" s="22" t="s">
        <v>96</v>
      </c>
      <c r="CD15" s="22"/>
      <c r="CE15" s="22"/>
      <c r="CF15" s="22">
        <v>4</v>
      </c>
      <c r="CG15" s="22">
        <v>0</v>
      </c>
      <c r="CH15" s="22">
        <v>0</v>
      </c>
      <c r="CI15" s="22"/>
      <c r="CJ15" s="22"/>
      <c r="CK15" s="22"/>
      <c r="CL15" s="22"/>
      <c r="CM15" s="22" t="s">
        <v>96</v>
      </c>
      <c r="CN15" s="22">
        <f>IF(Прайс[[#This Row],[Наличие подсветки на нижнем горизонте]]="Нет",0,'[2]комплекты фурнитуры'!$C$91)</f>
        <v>0</v>
      </c>
      <c r="CO15"/>
      <c r="CP15"/>
      <c r="CQ15"/>
      <c r="CR15"/>
      <c r="CS15"/>
      <c r="CT15"/>
      <c r="CU15"/>
    </row>
    <row r="16" spans="1:99" ht="15" customHeight="1" x14ac:dyDescent="0.25">
      <c r="A16" s="15" t="s">
        <v>132</v>
      </c>
      <c r="B16" s="16" t="s">
        <v>93</v>
      </c>
      <c r="C16" s="16" t="s">
        <v>133</v>
      </c>
      <c r="D16" s="16" t="s">
        <v>101</v>
      </c>
      <c r="E16" s="16" t="s">
        <v>96</v>
      </c>
      <c r="F16" s="16" t="s">
        <v>126</v>
      </c>
      <c r="G16" s="17">
        <v>720</v>
      </c>
      <c r="H16" s="17">
        <v>720</v>
      </c>
      <c r="I16" s="17">
        <v>300</v>
      </c>
      <c r="J16" s="17">
        <v>900</v>
      </c>
      <c r="K16" s="17">
        <v>525</v>
      </c>
      <c r="L16" s="17">
        <v>560</v>
      </c>
      <c r="M16" s="44">
        <v>3060</v>
      </c>
      <c r="N16" s="21">
        <v>3770</v>
      </c>
      <c r="O16" s="49">
        <v>720</v>
      </c>
      <c r="P16" s="49">
        <v>300</v>
      </c>
      <c r="Q16" s="49" t="str">
        <f>IF(OR(Прайс[[#This Row],[Тип]]="Нижний",Прайс[[#This Row],[Тип]]="Пенал"),"560",IF(Прайс[[#This Row],[Тип]]="Верхний",315,0))</f>
        <v>560</v>
      </c>
      <c r="R16" s="23">
        <v>1.08</v>
      </c>
      <c r="S16" s="23">
        <v>1.0649999999999999</v>
      </c>
      <c r="T16" s="23">
        <v>0</v>
      </c>
      <c r="U16" s="18"/>
      <c r="V16" s="18"/>
      <c r="W16" s="16">
        <f>'[2]комплекты фурнитуры'!$C$3</f>
        <v>550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f>'[2]комплекты фурнитуры'!$C$23*2</f>
        <v>560</v>
      </c>
      <c r="AK16" s="16"/>
      <c r="AL16" s="16"/>
      <c r="AM16" s="19">
        <f>SUM(Прайс[[#This Row],[КФ НСТ11]:[KFPr-SB-ZPG]])</f>
        <v>1110</v>
      </c>
      <c r="AN16" s="19"/>
      <c r="AO16" s="16"/>
      <c r="AP16" s="16"/>
      <c r="AQ16" s="16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>
        <f>'[2]комплекты фурнитуры'!$C$25</f>
        <v>5100</v>
      </c>
      <c r="BH16" s="19">
        <f>'[2]комплекты фурнитуры'!$C$26</f>
        <v>6660</v>
      </c>
      <c r="BI16" s="19">
        <f>'[2]комплекты фурнитуры'!$C$32</f>
        <v>370</v>
      </c>
      <c r="BJ16" s="19">
        <f>'[2]комплекты фурнитуры'!$C$31</f>
        <v>950</v>
      </c>
      <c r="BK16" s="19">
        <f>'[2]комплекты фурнитуры'!$C$33</f>
        <v>170</v>
      </c>
      <c r="BL16" s="19"/>
      <c r="BM16" s="19">
        <f>'[2]комплекты фурнитуры'!$C$34</f>
        <v>5040</v>
      </c>
      <c r="BN16" s="19">
        <f>'[2]комплекты фурнитуры'!$C$36</f>
        <v>6440</v>
      </c>
      <c r="BO16" s="19">
        <f>'[2]комплекты фурнитуры'!$C$37</f>
        <v>7970</v>
      </c>
      <c r="BP16" s="19"/>
      <c r="BQ16" s="19"/>
      <c r="BR16" s="19"/>
      <c r="BS16" s="19"/>
      <c r="BT16" s="19"/>
      <c r="BU16" s="20">
        <f>Прайс[[#This Row],[Комплект для ящика Hettich ATIRA Серый, NL-470, H-70]]*2+Прайс[[#This Row],[Комплект для ящика Hettich ATIRA Серый с реллингом, NL-470, H-176]]</f>
        <v>16860</v>
      </c>
      <c r="BV16" s="21">
        <f>Прайс[[#This Row],[KFN-SB-M86]]*2+Прайс[[#This Row],[KFN-SB-M15]]+Прайс[[#This Row],[KFN-SB-MD]]*3</f>
        <v>2200</v>
      </c>
      <c r="BW16" s="21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</f>
        <v>20850</v>
      </c>
      <c r="BX16" s="22">
        <v>0</v>
      </c>
      <c r="BY16" s="22">
        <v>0</v>
      </c>
      <c r="BZ16" s="22" t="s">
        <v>112</v>
      </c>
      <c r="CA16" s="21" t="s">
        <v>98</v>
      </c>
      <c r="CB16" s="22">
        <v>0</v>
      </c>
      <c r="CC16" s="22" t="s">
        <v>96</v>
      </c>
      <c r="CD16" s="22"/>
      <c r="CE16" s="22"/>
      <c r="CF16" s="22">
        <v>3</v>
      </c>
      <c r="CG16" s="22">
        <v>0</v>
      </c>
      <c r="CH16" s="22">
        <v>0</v>
      </c>
      <c r="CI16" s="22"/>
      <c r="CJ16" s="22"/>
      <c r="CK16" s="22"/>
      <c r="CL16" s="22"/>
      <c r="CM16" s="22" t="s">
        <v>96</v>
      </c>
      <c r="CN16" s="22">
        <f>IF(Прайс[[#This Row],[Наличие подсветки на нижнем горизонте]]="Нет",0,'[2]комплекты фурнитуры'!$C$91)</f>
        <v>0</v>
      </c>
      <c r="CO16"/>
      <c r="CP16"/>
      <c r="CQ16"/>
      <c r="CR16"/>
      <c r="CS16"/>
      <c r="CT16"/>
      <c r="CU16"/>
    </row>
    <row r="17" spans="1:99" ht="15" customHeight="1" x14ac:dyDescent="0.25">
      <c r="A17" s="15" t="s">
        <v>134</v>
      </c>
      <c r="B17" s="16" t="s">
        <v>93</v>
      </c>
      <c r="C17" s="16" t="s">
        <v>135</v>
      </c>
      <c r="D17" s="16" t="s">
        <v>101</v>
      </c>
      <c r="E17" s="16" t="s">
        <v>96</v>
      </c>
      <c r="F17" s="16" t="s">
        <v>126</v>
      </c>
      <c r="G17" s="17">
        <v>720</v>
      </c>
      <c r="H17" s="17">
        <v>720</v>
      </c>
      <c r="I17" s="17">
        <v>300</v>
      </c>
      <c r="J17" s="17">
        <v>950</v>
      </c>
      <c r="K17" s="17">
        <v>375</v>
      </c>
      <c r="L17" s="17">
        <v>560</v>
      </c>
      <c r="M17" s="44">
        <v>2960</v>
      </c>
      <c r="N17" s="21">
        <v>3630</v>
      </c>
      <c r="O17" s="49">
        <v>720</v>
      </c>
      <c r="P17" s="49">
        <v>300</v>
      </c>
      <c r="Q17" s="49" t="str">
        <f>IF(OR(Прайс[[#This Row],[Тип]]="Нижний",Прайс[[#This Row],[Тип]]="Пенал"),"560",IF(Прайс[[#This Row],[Тип]]="Верхний",315,0))</f>
        <v>560</v>
      </c>
      <c r="R17" s="23">
        <v>1.08</v>
      </c>
      <c r="S17" s="23">
        <v>1.0649999999999999</v>
      </c>
      <c r="T17" s="23">
        <v>0</v>
      </c>
      <c r="U17" s="18"/>
      <c r="V17" s="18"/>
      <c r="W17" s="16">
        <f>'[2]комплекты фурнитуры'!$C$3</f>
        <v>550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>
        <f>'[2]комплекты фурнитуры'!$C$23*2</f>
        <v>560</v>
      </c>
      <c r="AK17" s="16"/>
      <c r="AL17" s="16"/>
      <c r="AM17" s="19">
        <f>SUM(Прайс[[#This Row],[КФ НСТ11]:[KFPr-SB-ZPG]])</f>
        <v>1110</v>
      </c>
      <c r="AN17" s="19"/>
      <c r="AO17" s="16"/>
      <c r="AP17" s="16"/>
      <c r="AQ17" s="16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>
        <f>'[2]комплекты фурнитуры'!$C$26</f>
        <v>6660</v>
      </c>
      <c r="BI17" s="19"/>
      <c r="BJ17" s="19">
        <f>'[2]комплекты фурнитуры'!$C$31</f>
        <v>950</v>
      </c>
      <c r="BK17" s="19">
        <f>'[2]комплекты фурнитуры'!$C$33</f>
        <v>170</v>
      </c>
      <c r="BL17" s="19"/>
      <c r="BM17" s="19">
        <f>'[2]комплекты фурнитуры'!$C$34</f>
        <v>5040</v>
      </c>
      <c r="BN17" s="19"/>
      <c r="BO17" s="19">
        <f>'[2]комплекты фурнитуры'!$C$37</f>
        <v>7970</v>
      </c>
      <c r="BP17" s="19"/>
      <c r="BQ17" s="19"/>
      <c r="BR17" s="19"/>
      <c r="BS17" s="19"/>
      <c r="BT17" s="19"/>
      <c r="BU17" s="20">
        <f>Прайс[[#This Row],[Комплект для ящика Hettich ATIRA Серый с реллингом, NL-470, H-176]]*2</f>
        <v>13320</v>
      </c>
      <c r="BV17" s="21">
        <f>Прайс[[#This Row],[KFN-SB-M15]]*2+Прайс[[#This Row],[KFN-SB-MD]]*2</f>
        <v>2240</v>
      </c>
      <c r="BW17" s="21">
        <f>Прайс[[#This Row],[Комплект короба INNOTECH ATIRA полного выдв. с Push to open, Н176,NL470,рейлинги, цвет серебристый]]*2</f>
        <v>15940</v>
      </c>
      <c r="BX17" s="22">
        <v>0</v>
      </c>
      <c r="BY17" s="22">
        <v>0</v>
      </c>
      <c r="BZ17" s="22" t="s">
        <v>112</v>
      </c>
      <c r="CA17" s="21" t="s">
        <v>98</v>
      </c>
      <c r="CB17" s="22">
        <v>0</v>
      </c>
      <c r="CC17" s="22" t="s">
        <v>96</v>
      </c>
      <c r="CD17" s="22"/>
      <c r="CE17" s="22"/>
      <c r="CF17" s="22">
        <v>2</v>
      </c>
      <c r="CG17" s="22">
        <v>0</v>
      </c>
      <c r="CH17" s="22">
        <v>0</v>
      </c>
      <c r="CI17" s="22"/>
      <c r="CJ17" s="22"/>
      <c r="CK17" s="22"/>
      <c r="CL17" s="22"/>
      <c r="CM17" s="22" t="s">
        <v>96</v>
      </c>
      <c r="CN17" s="22">
        <f>IF(Прайс[[#This Row],[Наличие подсветки на нижнем горизонте]]="Нет",0,'[2]комплекты фурнитуры'!$C$91)</f>
        <v>0</v>
      </c>
      <c r="CO17"/>
      <c r="CP17"/>
      <c r="CQ17"/>
      <c r="CR17"/>
      <c r="CS17"/>
      <c r="CT17"/>
      <c r="CU17"/>
    </row>
    <row r="18" spans="1:99" ht="15" customHeight="1" x14ac:dyDescent="0.25">
      <c r="A18" s="25" t="s">
        <v>136</v>
      </c>
      <c r="B18" s="16" t="s">
        <v>93</v>
      </c>
      <c r="C18" s="16" t="s">
        <v>137</v>
      </c>
      <c r="D18" s="16" t="s">
        <v>101</v>
      </c>
      <c r="E18" s="16" t="s">
        <v>96</v>
      </c>
      <c r="F18" s="16" t="s">
        <v>138</v>
      </c>
      <c r="G18" s="17">
        <v>720</v>
      </c>
      <c r="H18" s="17">
        <v>720</v>
      </c>
      <c r="I18" s="17">
        <v>600</v>
      </c>
      <c r="J18" s="17">
        <v>600</v>
      </c>
      <c r="K18" s="17">
        <v>525</v>
      </c>
      <c r="L18" s="17">
        <v>560</v>
      </c>
      <c r="M18" s="44">
        <v>3620</v>
      </c>
      <c r="N18" s="21">
        <v>4510</v>
      </c>
      <c r="O18" s="49">
        <v>720</v>
      </c>
      <c r="P18" s="49">
        <v>600</v>
      </c>
      <c r="Q18" s="49">
        <v>560</v>
      </c>
      <c r="R18" s="23">
        <v>0</v>
      </c>
      <c r="S18" s="23">
        <v>0</v>
      </c>
      <c r="T18" s="23">
        <v>0</v>
      </c>
      <c r="U18" s="18"/>
      <c r="V18" s="18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>
        <f>'[2]комплекты фурнитуры'!$C$23*2</f>
        <v>560</v>
      </c>
      <c r="AK18" s="16"/>
      <c r="AL18" s="16"/>
      <c r="AM18" s="19">
        <f>SUM(Прайс[[#This Row],[КФ НСТ11]:[KFPr-SB-ZPG]])+Прайс[[#This Row],[КФ НСТ19]]</f>
        <v>1100</v>
      </c>
      <c r="AN18" s="19"/>
      <c r="AO18" s="19"/>
      <c r="AP18" s="19"/>
      <c r="AQ18" s="16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>
        <f>'[2]комплекты фурнитуры'!$C$26</f>
        <v>6660</v>
      </c>
      <c r="BI18" s="19"/>
      <c r="BJ18" s="19"/>
      <c r="BK18" s="19"/>
      <c r="BL18" s="19"/>
      <c r="BM18" s="26"/>
      <c r="BN18" s="19"/>
      <c r="BO18" s="19"/>
      <c r="BP18" s="19"/>
      <c r="BQ18" s="19"/>
      <c r="BR18" s="19"/>
      <c r="BS18" s="19"/>
      <c r="BT18" s="19"/>
      <c r="BU18" s="20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V18" s="20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W18" s="20">
        <f>Прайс[[#This Row],[Корзина выдв.посудосуш.600 мм + напр. L450 Hettich (ХРОМ)]]+Прайс[[#This Row],[Комплект для ящика Hettich ATIRA Серый с реллингом, NL-470, H-176]]</f>
        <v>15450</v>
      </c>
      <c r="BX18" s="22">
        <v>0</v>
      </c>
      <c r="BY18" s="22">
        <v>0</v>
      </c>
      <c r="BZ18" s="22" t="s">
        <v>96</v>
      </c>
      <c r="CA18" s="21" t="s">
        <v>139</v>
      </c>
      <c r="CB18" s="22">
        <v>0</v>
      </c>
      <c r="CC18" s="22" t="s">
        <v>96</v>
      </c>
      <c r="CD18" s="22">
        <f>'[2]комплекты фурнитуры'!$C$19</f>
        <v>540</v>
      </c>
      <c r="CE18" s="27">
        <f>'[2]комплекты фурнитуры'!$C$45</f>
        <v>8790</v>
      </c>
      <c r="CF18" s="22">
        <v>2</v>
      </c>
      <c r="CG18" s="22">
        <v>0</v>
      </c>
      <c r="CH18" s="22">
        <v>0</v>
      </c>
      <c r="CI18" s="22"/>
      <c r="CJ18" s="22"/>
      <c r="CK18" s="22"/>
      <c r="CL18" s="22"/>
      <c r="CM18" s="22" t="s">
        <v>96</v>
      </c>
      <c r="CN18" s="22">
        <f>IF(Прайс[[#This Row],[Наличие подсветки на нижнем горизонте]]="Нет",0,'[2]комплекты фурнитуры'!$C$91)</f>
        <v>0</v>
      </c>
      <c r="CO18"/>
      <c r="CP18"/>
      <c r="CQ18"/>
      <c r="CR18"/>
      <c r="CS18"/>
      <c r="CT18"/>
      <c r="CU18"/>
    </row>
    <row r="19" spans="1:99" ht="15" customHeight="1" x14ac:dyDescent="0.25">
      <c r="A19" s="15" t="s">
        <v>140</v>
      </c>
      <c r="B19" s="16" t="s">
        <v>93</v>
      </c>
      <c r="C19" s="16" t="s">
        <v>141</v>
      </c>
      <c r="D19" s="16" t="s">
        <v>101</v>
      </c>
      <c r="E19" s="16" t="s">
        <v>96</v>
      </c>
      <c r="F19" s="16" t="s">
        <v>142</v>
      </c>
      <c r="G19" s="17">
        <v>720</v>
      </c>
      <c r="H19" s="17">
        <v>720</v>
      </c>
      <c r="I19" s="17">
        <v>450</v>
      </c>
      <c r="J19" s="17">
        <v>600</v>
      </c>
      <c r="K19" s="17">
        <v>525</v>
      </c>
      <c r="L19" s="17">
        <v>600</v>
      </c>
      <c r="M19" s="44">
        <v>2760</v>
      </c>
      <c r="N19" s="21">
        <v>3570</v>
      </c>
      <c r="O19" s="49">
        <v>720</v>
      </c>
      <c r="P19" s="49">
        <v>450</v>
      </c>
      <c r="Q19" s="49" t="str">
        <f>IF(OR(Прайс[[#This Row],[Тип]]="Нижний",Прайс[[#This Row],[Тип]]="Пенал"),"560",IF(Прайс[[#This Row],[Тип]]="Верхний",315,0))</f>
        <v>560</v>
      </c>
      <c r="R19" s="23">
        <v>1.08</v>
      </c>
      <c r="S19" s="23">
        <v>1.0649999999999999</v>
      </c>
      <c r="T19" s="23">
        <v>0</v>
      </c>
      <c r="U19" s="18"/>
      <c r="V19" s="18"/>
      <c r="W19" s="16"/>
      <c r="X19" s="16">
        <f>'[2]комплекты фурнитуры'!$C$4</f>
        <v>460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>
        <f>'[2]комплекты фурнитуры'!$C$23*2</f>
        <v>560</v>
      </c>
      <c r="AK19" s="16"/>
      <c r="AL19" s="16"/>
      <c r="AM19" s="19">
        <f>SUM(Прайс[[#This Row],[КФ НСТ11]:[KFPr-SB-ZPG]])</f>
        <v>1020</v>
      </c>
      <c r="AN19" s="19"/>
      <c r="AO19" s="16"/>
      <c r="AP19" s="16"/>
      <c r="AQ19" s="16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>
        <f>'[2]комплекты фурнитуры'!$C$30</f>
        <v>480</v>
      </c>
      <c r="BG19" s="19"/>
      <c r="BH19" s="19"/>
      <c r="BI19" s="19"/>
      <c r="BJ19" s="19"/>
      <c r="BK19" s="19">
        <f>'[2]комплекты фурнитуры'!$C$33</f>
        <v>170</v>
      </c>
      <c r="BL19" s="19"/>
      <c r="BM19" s="19"/>
      <c r="BN19" s="19"/>
      <c r="BO19" s="19"/>
      <c r="BP19" s="19"/>
      <c r="BQ19" s="19"/>
      <c r="BR19" s="19"/>
      <c r="BS19" s="19"/>
      <c r="BT19" s="19"/>
      <c r="BU19" s="21">
        <f>Прайс[[#This Row],[KFN-SB-M54]]+Прайс[[#This Row],[KFN-SB-MD]]</f>
        <v>650</v>
      </c>
      <c r="BV19" s="21">
        <f>Прайс[[#This Row],[KFN-SB-M54]]+Прайс[[#This Row],[KFN-SB-MD]]</f>
        <v>650</v>
      </c>
      <c r="BW19" s="21">
        <f>Прайс[[#This Row],[KFN-SB-M54]]+Прайс[[#This Row],[KFN-SB-MD]]</f>
        <v>650</v>
      </c>
      <c r="BX19" s="22">
        <v>0</v>
      </c>
      <c r="BY19" s="22">
        <v>0</v>
      </c>
      <c r="BZ19" s="22" t="s">
        <v>96</v>
      </c>
      <c r="CA19" s="21" t="s">
        <v>143</v>
      </c>
      <c r="CB19" s="22">
        <v>0</v>
      </c>
      <c r="CC19" s="22" t="s">
        <v>96</v>
      </c>
      <c r="CD19" s="22"/>
      <c r="CE19" s="22"/>
      <c r="CF19" s="22">
        <v>1</v>
      </c>
      <c r="CG19" s="22">
        <v>0</v>
      </c>
      <c r="CH19" s="22">
        <v>0</v>
      </c>
      <c r="CI19" s="22"/>
      <c r="CJ19" s="22"/>
      <c r="CK19" s="22"/>
      <c r="CL19" s="22"/>
      <c r="CM19" s="22" t="s">
        <v>96</v>
      </c>
      <c r="CN19" s="22">
        <f>IF(Прайс[[#This Row],[Наличие подсветки на нижнем горизонте]]="Нет",0,'[2]комплекты фурнитуры'!$C$91)</f>
        <v>0</v>
      </c>
      <c r="CO19"/>
      <c r="CP19"/>
      <c r="CQ19"/>
      <c r="CR19"/>
      <c r="CS19"/>
      <c r="CT19"/>
      <c r="CU19"/>
    </row>
    <row r="20" spans="1:99" ht="15" customHeight="1" x14ac:dyDescent="0.25">
      <c r="A20" s="15" t="s">
        <v>144</v>
      </c>
      <c r="B20" s="16" t="s">
        <v>93</v>
      </c>
      <c r="C20" s="16" t="s">
        <v>145</v>
      </c>
      <c r="D20" s="16" t="s">
        <v>146</v>
      </c>
      <c r="E20" s="16" t="s">
        <v>96</v>
      </c>
      <c r="F20" s="16" t="s">
        <v>97</v>
      </c>
      <c r="G20" s="17">
        <v>720</v>
      </c>
      <c r="H20" s="17">
        <v>720</v>
      </c>
      <c r="I20" s="17">
        <v>230</v>
      </c>
      <c r="J20" s="17">
        <v>230</v>
      </c>
      <c r="K20" s="17">
        <v>330</v>
      </c>
      <c r="L20" s="17">
        <v>600</v>
      </c>
      <c r="M20" s="44">
        <v>2870</v>
      </c>
      <c r="N20" s="21">
        <v>3480</v>
      </c>
      <c r="O20" s="49">
        <v>720</v>
      </c>
      <c r="P20" s="49">
        <v>230</v>
      </c>
      <c r="Q20" s="49">
        <v>540</v>
      </c>
      <c r="R20" s="23">
        <v>1.08</v>
      </c>
      <c r="S20" s="23">
        <v>1.0649999999999999</v>
      </c>
      <c r="T20" s="23">
        <v>1.3</v>
      </c>
      <c r="U20" s="18"/>
      <c r="V20" s="18"/>
      <c r="W20" s="16"/>
      <c r="X20" s="16"/>
      <c r="Y20" s="16"/>
      <c r="Z20" s="16"/>
      <c r="AA20" s="16"/>
      <c r="AB20" s="16"/>
      <c r="AC20" s="16"/>
      <c r="AD20" s="16">
        <f>'[2]комплекты фурнитуры'!$C$13</f>
        <v>740</v>
      </c>
      <c r="AE20" s="16"/>
      <c r="AF20" s="16"/>
      <c r="AG20" s="16"/>
      <c r="AH20" s="16"/>
      <c r="AI20" s="16"/>
      <c r="AJ20" s="16">
        <f>'[2]комплекты фурнитуры'!$C$23*2</f>
        <v>560</v>
      </c>
      <c r="AK20" s="16"/>
      <c r="AL20" s="16"/>
      <c r="AM20" s="19">
        <f>SUM(Прайс[[#This Row],[КФ НСТ11]:[KFPr-SB-ZPG]])</f>
        <v>1300</v>
      </c>
      <c r="AN20" s="19"/>
      <c r="AO20" s="16"/>
      <c r="AP20" s="16"/>
      <c r="AQ20" s="16"/>
      <c r="AR20" s="19"/>
      <c r="AS20" s="19"/>
      <c r="AT20" s="19"/>
      <c r="AU20" s="19"/>
      <c r="AV20" s="19">
        <f>'[2]комплекты фурнитуры'!$C$54</f>
        <v>1560</v>
      </c>
      <c r="AW20" s="19">
        <f>'[2]комплекты фурнитуры'!$C$55</f>
        <v>190</v>
      </c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20">
        <f>Прайс[[#This Row],[КKFP-SB-GT45]]*2</f>
        <v>3120</v>
      </c>
      <c r="BV20" s="21">
        <f>Прайс[[#This Row],[KFP-SB-N45]]*2</f>
        <v>380</v>
      </c>
      <c r="BW20" s="21">
        <f>Прайс[[#This Row],[KFP-SB-N45]]*2</f>
        <v>380</v>
      </c>
      <c r="BX20" s="22">
        <v>0</v>
      </c>
      <c r="BY20" s="22">
        <v>0</v>
      </c>
      <c r="BZ20" s="22" t="s">
        <v>112</v>
      </c>
      <c r="CA20" s="21" t="s">
        <v>98</v>
      </c>
      <c r="CB20" s="22">
        <v>0</v>
      </c>
      <c r="CC20" s="22" t="s">
        <v>96</v>
      </c>
      <c r="CD20" s="22"/>
      <c r="CE20" s="22"/>
      <c r="CF20" s="22">
        <v>1</v>
      </c>
      <c r="CG20" s="22">
        <v>0</v>
      </c>
      <c r="CH20" s="22">
        <v>0</v>
      </c>
      <c r="CI20" s="22"/>
      <c r="CJ20" s="22"/>
      <c r="CK20" s="22"/>
      <c r="CL20" s="22"/>
      <c r="CM20" s="22" t="s">
        <v>96</v>
      </c>
      <c r="CN20" s="22">
        <f>IF(Прайс[[#This Row],[Наличие подсветки на нижнем горизонте]]="Нет",0,'[2]комплекты фурнитуры'!$C$91)</f>
        <v>0</v>
      </c>
      <c r="CO20"/>
      <c r="CP20"/>
      <c r="CQ20"/>
      <c r="CR20"/>
      <c r="CS20"/>
      <c r="CT20"/>
      <c r="CU20"/>
    </row>
    <row r="21" spans="1:99" ht="15" customHeight="1" x14ac:dyDescent="0.25">
      <c r="A21" s="24" t="s">
        <v>147</v>
      </c>
      <c r="B21" s="16" t="s">
        <v>93</v>
      </c>
      <c r="C21" s="16" t="s">
        <v>148</v>
      </c>
      <c r="D21" s="16" t="s">
        <v>149</v>
      </c>
      <c r="E21" s="16" t="s">
        <v>96</v>
      </c>
      <c r="F21" s="16" t="s">
        <v>97</v>
      </c>
      <c r="G21" s="17">
        <v>720</v>
      </c>
      <c r="H21" s="17">
        <v>720</v>
      </c>
      <c r="I21" s="17">
        <v>315</v>
      </c>
      <c r="J21" s="17">
        <v>315</v>
      </c>
      <c r="K21" s="17">
        <v>315</v>
      </c>
      <c r="L21" s="17">
        <v>600</v>
      </c>
      <c r="M21" s="44">
        <v>2270</v>
      </c>
      <c r="N21" s="21">
        <v>2840</v>
      </c>
      <c r="O21" s="49">
        <v>720</v>
      </c>
      <c r="P21" s="49">
        <v>315</v>
      </c>
      <c r="Q21" s="49" t="str">
        <f>IF(OR(Прайс[[#This Row],[Тип]]="Нижний",Прайс[[#This Row],[Тип]]="Пенал"),"560",IF(Прайс[[#This Row],[Тип]]="Верхний",315,0))</f>
        <v>560</v>
      </c>
      <c r="R21" s="23">
        <v>1.08</v>
      </c>
      <c r="S21" s="23">
        <v>1.0649999999999999</v>
      </c>
      <c r="T21" s="23">
        <v>1.3</v>
      </c>
      <c r="U21" s="18"/>
      <c r="V21" s="18"/>
      <c r="W21" s="16"/>
      <c r="X21" s="16"/>
      <c r="Y21" s="16"/>
      <c r="Z21" s="16"/>
      <c r="AA21" s="16"/>
      <c r="AB21" s="16">
        <f>'[2]комплекты фурнитуры'!$C$11</f>
        <v>650</v>
      </c>
      <c r="AC21" s="16"/>
      <c r="AD21" s="16"/>
      <c r="AE21" s="16"/>
      <c r="AF21" s="16"/>
      <c r="AG21" s="16"/>
      <c r="AH21" s="16"/>
      <c r="AI21" s="16"/>
      <c r="AJ21" s="16">
        <f>'[2]комплекты фурнитуры'!$C$23*2</f>
        <v>560</v>
      </c>
      <c r="AK21" s="16"/>
      <c r="AL21" s="16"/>
      <c r="AM21" s="19">
        <f>SUM(Прайс[[#This Row],[КФ НСТ11]:[KFPr-SB-ZPG]])</f>
        <v>1210</v>
      </c>
      <c r="AN21" s="19"/>
      <c r="AO21" s="16"/>
      <c r="AP21" s="16"/>
      <c r="AQ21" s="16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20">
        <v>0</v>
      </c>
      <c r="BV21" s="21">
        <v>0</v>
      </c>
      <c r="BW21" s="21">
        <v>0</v>
      </c>
      <c r="BX21" s="22">
        <v>1</v>
      </c>
      <c r="BY21" s="22">
        <v>1</v>
      </c>
      <c r="BZ21" s="22" t="s">
        <v>96</v>
      </c>
      <c r="CA21" s="21" t="s">
        <v>98</v>
      </c>
      <c r="CB21" s="22">
        <v>1</v>
      </c>
      <c r="CC21" s="22" t="s">
        <v>96</v>
      </c>
      <c r="CD21" s="22"/>
      <c r="CE21" s="22"/>
      <c r="CF21" s="22">
        <v>0</v>
      </c>
      <c r="CG21" s="22">
        <v>0</v>
      </c>
      <c r="CH21" s="22">
        <v>0</v>
      </c>
      <c r="CI21" s="22"/>
      <c r="CJ21" s="22"/>
      <c r="CK21" s="22"/>
      <c r="CL21" s="22"/>
      <c r="CM21" s="22" t="s">
        <v>96</v>
      </c>
      <c r="CN21" s="22">
        <f>IF(Прайс[[#This Row],[Наличие подсветки на нижнем горизонте]]="Нет",0,'[2]комплекты фурнитуры'!$C$91)</f>
        <v>0</v>
      </c>
      <c r="CO21"/>
      <c r="CP21"/>
      <c r="CQ21"/>
      <c r="CR21"/>
      <c r="CS21"/>
      <c r="CT21"/>
      <c r="CU21"/>
    </row>
    <row r="22" spans="1:99" s="8" customFormat="1" ht="15" customHeight="1" x14ac:dyDescent="0.25">
      <c r="A22" s="28" t="s">
        <v>150</v>
      </c>
      <c r="B22" s="16" t="s">
        <v>93</v>
      </c>
      <c r="C22" s="16" t="s">
        <v>151</v>
      </c>
      <c r="D22" s="16" t="s">
        <v>149</v>
      </c>
      <c r="E22" s="16" t="s">
        <v>96</v>
      </c>
      <c r="F22" s="16" t="s">
        <v>97</v>
      </c>
      <c r="G22" s="17">
        <v>720</v>
      </c>
      <c r="H22" s="17">
        <v>720</v>
      </c>
      <c r="I22" s="17">
        <v>315</v>
      </c>
      <c r="J22" s="17">
        <v>315</v>
      </c>
      <c r="K22" s="17">
        <v>415</v>
      </c>
      <c r="L22" s="17">
        <v>600</v>
      </c>
      <c r="M22" s="44">
        <v>2270</v>
      </c>
      <c r="N22" s="21">
        <v>2840</v>
      </c>
      <c r="O22" s="49">
        <v>720</v>
      </c>
      <c r="P22" s="49">
        <v>315</v>
      </c>
      <c r="Q22" s="49" t="str">
        <f>IF(OR(Прайс[[#This Row],[Тип]]="Нижний",Прайс[[#This Row],[Тип]]="Пенал"),"560",IF(Прайс[[#This Row],[Тип]]="Верхний",315,0))</f>
        <v>560</v>
      </c>
      <c r="R22" s="23">
        <v>1.08</v>
      </c>
      <c r="S22" s="23">
        <v>1.0649999999999999</v>
      </c>
      <c r="T22" s="23">
        <v>1.3</v>
      </c>
      <c r="U22" s="18"/>
      <c r="V22" s="18"/>
      <c r="W22" s="16"/>
      <c r="X22" s="16"/>
      <c r="Y22" s="16"/>
      <c r="Z22" s="16"/>
      <c r="AA22" s="16">
        <f>'[2]комплекты фурнитуры'!$C$9</f>
        <v>950</v>
      </c>
      <c r="AB22" s="16"/>
      <c r="AC22" s="16"/>
      <c r="AD22" s="16"/>
      <c r="AE22" s="16"/>
      <c r="AF22" s="16"/>
      <c r="AG22" s="16"/>
      <c r="AH22" s="16"/>
      <c r="AI22" s="16"/>
      <c r="AJ22" s="16">
        <f>'[2]комплекты фурнитуры'!$C$23*2</f>
        <v>560</v>
      </c>
      <c r="AK22" s="16"/>
      <c r="AL22" s="16"/>
      <c r="AM22" s="19">
        <f>SUM(Прайс[[#This Row],[КФ НСТ11]:[KFPr-SB-ZPG]])</f>
        <v>1510</v>
      </c>
      <c r="AN22" s="19"/>
      <c r="AO22" s="16"/>
      <c r="AP22" s="16"/>
      <c r="AQ22" s="16"/>
      <c r="AR22" s="19"/>
      <c r="AS22" s="19"/>
      <c r="AT22" s="19">
        <f>'[2]комплекты фурнитуры'!$C$56</f>
        <v>1300</v>
      </c>
      <c r="AU22" s="19">
        <f>'[2]комплекты фурнитуры'!$C$58</f>
        <v>480</v>
      </c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20">
        <f>Прайс[[#This Row],[КФ петли вклад. 95 гр. с крестообр. планкой]]*2</f>
        <v>2600</v>
      </c>
      <c r="BV22" s="20">
        <f>Прайс[[#This Row],[KFP-SB-PY94]]*2</f>
        <v>960</v>
      </c>
      <c r="BW22" s="21">
        <v>0</v>
      </c>
      <c r="BX22" s="22">
        <v>1</v>
      </c>
      <c r="BY22" s="22">
        <v>1</v>
      </c>
      <c r="BZ22" s="22" t="s">
        <v>96</v>
      </c>
      <c r="CA22" s="21" t="s">
        <v>98</v>
      </c>
      <c r="CB22" s="22">
        <v>1</v>
      </c>
      <c r="CC22" s="22" t="s">
        <v>96</v>
      </c>
      <c r="CD22" s="22"/>
      <c r="CE22" s="22"/>
      <c r="CF22" s="22">
        <v>1</v>
      </c>
      <c r="CG22" s="22">
        <v>0</v>
      </c>
      <c r="CH22" s="22">
        <v>0</v>
      </c>
      <c r="CI22" s="22"/>
      <c r="CJ22" s="22"/>
      <c r="CK22" s="22"/>
      <c r="CL22" s="22"/>
      <c r="CM22" s="22" t="s">
        <v>96</v>
      </c>
      <c r="CN22" s="22">
        <f>IF(Прайс[[#This Row],[Наличие подсветки на нижнем горизонте]]="Нет",0,'[2]комплекты фурнитуры'!$C$91)</f>
        <v>0</v>
      </c>
    </row>
    <row r="23" spans="1:99" ht="15" customHeight="1" x14ac:dyDescent="0.25">
      <c r="A23" s="28" t="s">
        <v>152</v>
      </c>
      <c r="B23" s="16" t="s">
        <v>93</v>
      </c>
      <c r="C23" s="16" t="s">
        <v>153</v>
      </c>
      <c r="D23" s="16" t="s">
        <v>101</v>
      </c>
      <c r="E23" s="16" t="s">
        <v>112</v>
      </c>
      <c r="F23" s="16" t="s">
        <v>97</v>
      </c>
      <c r="G23" s="17">
        <v>720</v>
      </c>
      <c r="H23" s="17">
        <v>720</v>
      </c>
      <c r="I23" s="17">
        <v>150</v>
      </c>
      <c r="J23" s="17">
        <v>600</v>
      </c>
      <c r="K23" s="17">
        <v>300</v>
      </c>
      <c r="L23" s="17">
        <v>640</v>
      </c>
      <c r="M23" s="44">
        <v>2538</v>
      </c>
      <c r="N23" s="21">
        <v>3482</v>
      </c>
      <c r="O23" s="49">
        <v>720</v>
      </c>
      <c r="P23" s="50">
        <v>300</v>
      </c>
      <c r="Q23" s="49" t="str">
        <f>IF(OR(Прайс[[#This Row],[Тип]]="Нижний",Прайс[[#This Row],[Тип]]="Пенал"),"560",IF(Прайс[[#This Row],[Тип]]="Верхний",315,0))</f>
        <v>560</v>
      </c>
      <c r="R23" s="23">
        <v>1.08</v>
      </c>
      <c r="S23" s="23">
        <v>1.0649999999999999</v>
      </c>
      <c r="T23" s="23">
        <v>1.3</v>
      </c>
      <c r="U23" s="18"/>
      <c r="V23" s="18"/>
      <c r="W23" s="16">
        <f>'[2]комплекты фурнитуры'!$C$3</f>
        <v>550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f>'[2]комплекты фурнитуры'!$C$23*2</f>
        <v>560</v>
      </c>
      <c r="AK23" s="16"/>
      <c r="AL23" s="16"/>
      <c r="AM23" s="19">
        <f>SUM(Прайс[[#This Row],[КФ НСТ11]:[KFPr-SB-ZPG]])</f>
        <v>1110</v>
      </c>
      <c r="AN23" s="19"/>
      <c r="AO23" s="16"/>
      <c r="AP23" s="16"/>
      <c r="AQ23" s="16"/>
      <c r="AR23" s="19">
        <f>'[2]комплекты фурнитуры'!$C$62</f>
        <v>620</v>
      </c>
      <c r="AS23" s="19">
        <f>'[2]комплекты фурнитуры'!$C$63</f>
        <v>130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>
        <f>'[2]комплекты фурнитуры'!$C$80</f>
        <v>390</v>
      </c>
      <c r="BT23" s="19"/>
      <c r="BU23" s="20">
        <f>Прайс[[#This Row],[КФ петли SENS накл.110 гр. с крестообр. Планкой]]*2+Прайс[[#This Row],[КФ  крепления профиля Gola]]</f>
        <v>1630</v>
      </c>
      <c r="BV23" s="21">
        <f>Прайс[[#This Row],[КФ  крепления профиля Gola]]+Прайс[[#This Row],[KFP-SB-N110]]*2</f>
        <v>650</v>
      </c>
      <c r="BW23" s="21">
        <f>Прайс[[#This Row],[КФ  крепления профиля Gola]]+Прайс[[#This Row],[KFP-SB-N110]]*2</f>
        <v>650</v>
      </c>
      <c r="BX23" s="22">
        <v>0</v>
      </c>
      <c r="BY23" s="22">
        <v>2</v>
      </c>
      <c r="BZ23" s="22" t="s">
        <v>96</v>
      </c>
      <c r="CA23" s="21" t="s">
        <v>139</v>
      </c>
      <c r="CB23" s="22">
        <v>1</v>
      </c>
      <c r="CC23" s="22" t="s">
        <v>96</v>
      </c>
      <c r="CD23" s="22"/>
      <c r="CE23" s="22"/>
      <c r="CF23" s="22">
        <v>1</v>
      </c>
      <c r="CG23" s="22">
        <v>0</v>
      </c>
      <c r="CH23" s="22">
        <v>0</v>
      </c>
      <c r="CI23" s="22"/>
      <c r="CJ23" s="22"/>
      <c r="CK23" s="22"/>
      <c r="CL23" s="22"/>
      <c r="CM23" s="22" t="s">
        <v>96</v>
      </c>
      <c r="CN23" s="22">
        <f>IF(Прайс[[#This Row],[Наличие подсветки на нижнем горизонте]]="Нет",0,'[2]комплекты фурнитуры'!$C$91)</f>
        <v>0</v>
      </c>
      <c r="CO23"/>
      <c r="CP23"/>
      <c r="CQ23"/>
      <c r="CR23"/>
      <c r="CS23"/>
      <c r="CT23"/>
      <c r="CU23"/>
    </row>
    <row r="24" spans="1:99" ht="15" customHeight="1" x14ac:dyDescent="0.25">
      <c r="A24" s="28" t="s">
        <v>154</v>
      </c>
      <c r="B24" s="16" t="s">
        <v>93</v>
      </c>
      <c r="C24" s="16" t="s">
        <v>155</v>
      </c>
      <c r="D24" s="16" t="s">
        <v>101</v>
      </c>
      <c r="E24" s="16" t="s">
        <v>112</v>
      </c>
      <c r="F24" s="16" t="s">
        <v>97</v>
      </c>
      <c r="G24" s="17">
        <v>720</v>
      </c>
      <c r="H24" s="17">
        <v>720</v>
      </c>
      <c r="I24" s="17">
        <v>600</v>
      </c>
      <c r="J24" s="17">
        <v>900</v>
      </c>
      <c r="K24" s="17">
        <v>300</v>
      </c>
      <c r="L24" s="17">
        <v>640</v>
      </c>
      <c r="M24" s="44">
        <v>2538</v>
      </c>
      <c r="N24" s="21">
        <v>3132</v>
      </c>
      <c r="O24" s="49">
        <v>720</v>
      </c>
      <c r="P24" s="50">
        <v>300</v>
      </c>
      <c r="Q24" s="49" t="str">
        <f>IF(OR(Прайс[[#This Row],[Тип]]="Нижний",Прайс[[#This Row],[Тип]]="Пенал"),"560",IF(Прайс[[#This Row],[Тип]]="Верхний",315,0))</f>
        <v>560</v>
      </c>
      <c r="R24" s="23">
        <v>1.08</v>
      </c>
      <c r="S24" s="23">
        <v>1.0649999999999999</v>
      </c>
      <c r="T24" s="23">
        <v>1.3</v>
      </c>
      <c r="U24" s="18"/>
      <c r="V24" s="18"/>
      <c r="W24" s="16">
        <f>'[2]комплекты фурнитуры'!$C$3</f>
        <v>550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>
        <f>'[2]комплекты фурнитуры'!$C$23*2</f>
        <v>560</v>
      </c>
      <c r="AK24" s="16"/>
      <c r="AL24" s="16"/>
      <c r="AM24" s="19">
        <f>SUM(Прайс[[#This Row],[КФ НСТ11]:[KFPr-SB-ZPG]])</f>
        <v>1110</v>
      </c>
      <c r="AN24" s="19"/>
      <c r="AO24" s="16"/>
      <c r="AP24" s="16"/>
      <c r="AQ24" s="16"/>
      <c r="AR24" s="19">
        <f>'[2]комплекты фурнитуры'!$C$62</f>
        <v>620</v>
      </c>
      <c r="AS24" s="19">
        <f>'[2]комплекты фурнитуры'!$C$63</f>
        <v>130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>
        <f>'[2]комплекты фурнитуры'!$C$80</f>
        <v>390</v>
      </c>
      <c r="BT24" s="19"/>
      <c r="BU24" s="20">
        <f>Прайс[[#This Row],[КФ петли SENS накл.110 гр. с крестообр. Планкой]]*4+Прайс[[#This Row],[КФ  крепления профиля Gola]]</f>
        <v>2870</v>
      </c>
      <c r="BV24" s="21">
        <f>Прайс[[#This Row],[КФ  крепления профиля Gola]]+Прайс[[#This Row],[KFP-SB-N110]]*2</f>
        <v>650</v>
      </c>
      <c r="BW24" s="21">
        <f>Прайс[[#This Row],[КФ  крепления профиля Gola]]+Прайс[[#This Row],[KFP-SB-N110]]*2</f>
        <v>650</v>
      </c>
      <c r="BX24" s="22">
        <v>0</v>
      </c>
      <c r="BY24" s="22">
        <v>2</v>
      </c>
      <c r="BZ24" s="22" t="s">
        <v>96</v>
      </c>
      <c r="CA24" s="21" t="s">
        <v>139</v>
      </c>
      <c r="CB24" s="22">
        <v>1</v>
      </c>
      <c r="CC24" s="22" t="s">
        <v>96</v>
      </c>
      <c r="CD24" s="22"/>
      <c r="CE24" s="22"/>
      <c r="CF24" s="22">
        <v>2</v>
      </c>
      <c r="CG24" s="22">
        <v>0</v>
      </c>
      <c r="CH24" s="22">
        <v>0</v>
      </c>
      <c r="CI24" s="22"/>
      <c r="CJ24" s="22"/>
      <c r="CK24" s="22"/>
      <c r="CL24" s="22"/>
      <c r="CM24" s="22" t="s">
        <v>96</v>
      </c>
      <c r="CN24" s="22">
        <f>IF(Прайс[[#This Row],[Наличие подсветки на нижнем горизонте]]="Нет",0,'[2]комплекты фурнитуры'!$C$91)</f>
        <v>0</v>
      </c>
      <c r="CO24"/>
      <c r="CP24"/>
      <c r="CQ24"/>
      <c r="CR24"/>
      <c r="CS24"/>
      <c r="CT24"/>
      <c r="CU24"/>
    </row>
    <row r="25" spans="1:99" ht="15" customHeight="1" x14ac:dyDescent="0.25">
      <c r="A25" s="28" t="s">
        <v>156</v>
      </c>
      <c r="B25" s="16" t="s">
        <v>93</v>
      </c>
      <c r="C25" s="16" t="s">
        <v>157</v>
      </c>
      <c r="D25" s="16" t="s">
        <v>101</v>
      </c>
      <c r="E25" s="16" t="s">
        <v>112</v>
      </c>
      <c r="F25" s="16" t="s">
        <v>126</v>
      </c>
      <c r="G25" s="17">
        <v>720</v>
      </c>
      <c r="H25" s="17">
        <v>720</v>
      </c>
      <c r="I25" s="17">
        <v>300</v>
      </c>
      <c r="J25" s="17">
        <v>900</v>
      </c>
      <c r="K25" s="17">
        <v>525</v>
      </c>
      <c r="L25" s="17">
        <v>560</v>
      </c>
      <c r="M25" s="44">
        <v>3196.8</v>
      </c>
      <c r="N25" s="21">
        <v>4770.3999999999996</v>
      </c>
      <c r="O25" s="49">
        <v>720</v>
      </c>
      <c r="P25" s="50">
        <v>300</v>
      </c>
      <c r="Q25" s="49" t="str">
        <f>IF(OR(Прайс[[#This Row],[Тип]]="Нижний",Прайс[[#This Row],[Тип]]="Пенал"),"560",IF(Прайс[[#This Row],[Тип]]="Верхний",315,0))</f>
        <v>560</v>
      </c>
      <c r="R25" s="23">
        <v>1.08</v>
      </c>
      <c r="S25" s="23">
        <v>1.0649999999999999</v>
      </c>
      <c r="T25" s="23">
        <v>0</v>
      </c>
      <c r="U25" s="18"/>
      <c r="V25" s="18"/>
      <c r="W25" s="16">
        <f>'[2]комплекты фурнитуры'!$C$3</f>
        <v>550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>
        <f>'[2]комплекты фурнитуры'!$C$23*2</f>
        <v>560</v>
      </c>
      <c r="AK25" s="16"/>
      <c r="AL25" s="16"/>
      <c r="AM25" s="19">
        <f>SUM(Прайс[[#This Row],[КФ НСТ11]:[KFPr-SB-ZPG]])</f>
        <v>1110</v>
      </c>
      <c r="AN25" s="19"/>
      <c r="AO25" s="16"/>
      <c r="AP25" s="16"/>
      <c r="AQ25" s="16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>
        <f>'[2]комплекты фурнитуры'!$C$26</f>
        <v>6660</v>
      </c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>
        <f>'[2]комплекты фурнитуры'!$C$80</f>
        <v>390</v>
      </c>
      <c r="BT25" s="19"/>
      <c r="BU25" s="20">
        <f>Прайс[[#This Row],[Комплект для ящика Hettich ATIRA Серый с реллингом, NL-470, H-176]]*2+Прайс[[#This Row],[КФ  крепления профиля Gola]]*2</f>
        <v>14100</v>
      </c>
      <c r="BV25" s="20">
        <f>Прайс[[#This Row],[Комплект для ящика Hettich ATIRA Серый с реллингом, NL-470, H-176]]*2+Прайс[[#This Row],[КФ  крепления профиля Gola]]*2</f>
        <v>14100</v>
      </c>
      <c r="BW25" s="20">
        <f>Прайс[[#This Row],[Комплект для ящика Hettich ATIRA Серый с реллингом, NL-470, H-176]]*2+Прайс[[#This Row],[КФ  крепления профиля Gola]]*2</f>
        <v>14100</v>
      </c>
      <c r="BX25" s="22">
        <v>0</v>
      </c>
      <c r="BY25" s="22">
        <v>0</v>
      </c>
      <c r="BZ25" s="22" t="s">
        <v>96</v>
      </c>
      <c r="CA25" s="21" t="s">
        <v>139</v>
      </c>
      <c r="CB25" s="22">
        <v>0</v>
      </c>
      <c r="CC25" s="22" t="s">
        <v>96</v>
      </c>
      <c r="CD25" s="22"/>
      <c r="CE25" s="22"/>
      <c r="CF25" s="22">
        <v>2</v>
      </c>
      <c r="CG25" s="22">
        <v>0</v>
      </c>
      <c r="CH25" s="22">
        <v>0</v>
      </c>
      <c r="CI25" s="22"/>
      <c r="CJ25" s="22"/>
      <c r="CK25" s="22"/>
      <c r="CL25" s="22"/>
      <c r="CM25" s="22" t="s">
        <v>96</v>
      </c>
      <c r="CN25" s="22">
        <f>IF(Прайс[[#This Row],[Наличие подсветки на нижнем горизонте]]="Нет",0,'[2]комплекты фурнитуры'!$C$91)</f>
        <v>0</v>
      </c>
      <c r="CO25"/>
      <c r="CP25"/>
      <c r="CQ25"/>
      <c r="CR25"/>
      <c r="CS25"/>
      <c r="CT25"/>
      <c r="CU25"/>
    </row>
    <row r="26" spans="1:99" ht="15" customHeight="1" x14ac:dyDescent="0.25">
      <c r="A26" s="28" t="s">
        <v>158</v>
      </c>
      <c r="B26" s="16" t="s">
        <v>93</v>
      </c>
      <c r="C26" s="16" t="s">
        <v>159</v>
      </c>
      <c r="D26" s="16" t="s">
        <v>101</v>
      </c>
      <c r="E26" s="16" t="s">
        <v>112</v>
      </c>
      <c r="F26" s="16" t="s">
        <v>126</v>
      </c>
      <c r="G26" s="17">
        <v>720</v>
      </c>
      <c r="H26" s="17">
        <v>720</v>
      </c>
      <c r="I26" s="17">
        <v>300</v>
      </c>
      <c r="J26" s="17">
        <v>900</v>
      </c>
      <c r="K26" s="17">
        <v>525</v>
      </c>
      <c r="L26" s="17">
        <v>560</v>
      </c>
      <c r="M26" s="44">
        <v>3304.8</v>
      </c>
      <c r="N26" s="21">
        <v>4071.6</v>
      </c>
      <c r="O26" s="49">
        <v>720</v>
      </c>
      <c r="P26" s="50">
        <v>300</v>
      </c>
      <c r="Q26" s="49" t="str">
        <f>IF(OR(Прайс[[#This Row],[Тип]]="Нижний",Прайс[[#This Row],[Тип]]="Пенал"),"560",IF(Прайс[[#This Row],[Тип]]="Верхний",315,0))</f>
        <v>560</v>
      </c>
      <c r="R26" s="23">
        <v>1.08</v>
      </c>
      <c r="S26" s="23">
        <v>1.0649999999999999</v>
      </c>
      <c r="T26" s="23">
        <v>0</v>
      </c>
      <c r="U26" s="18"/>
      <c r="V26" s="18"/>
      <c r="W26" s="16">
        <f>'[2]комплекты фурнитуры'!$C$3</f>
        <v>550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>
        <f>'[2]комплекты фурнитуры'!$C$23*2</f>
        <v>560</v>
      </c>
      <c r="AK26" s="16"/>
      <c r="AL26" s="16"/>
      <c r="AM26" s="19">
        <f>SUM(Прайс[[#This Row],[КФ НСТ11]:[KFPr-SB-ZPG]])</f>
        <v>1110</v>
      </c>
      <c r="AN26" s="19"/>
      <c r="AO26" s="16"/>
      <c r="AP26" s="16"/>
      <c r="AQ26" s="16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>
        <f>'[2]комплекты фурнитуры'!$C$25</f>
        <v>5100</v>
      </c>
      <c r="BH26" s="19">
        <f>'[2]комплекты фурнитуры'!$C$26</f>
        <v>6660</v>
      </c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>
        <f>'[2]комплекты фурнитуры'!$C$80</f>
        <v>390</v>
      </c>
      <c r="BT26" s="19"/>
      <c r="BU26" s="20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V26" s="20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W26" s="20">
        <f>Прайс[[#This Row],[Комплект для ящика Hettich ATIRA Серый, NL-470, H-70]]*2+Прайс[[#This Row],[Комплект для ящика Hettich ATIRA Серый с реллингом, NL-470, H-176]]+Прайс[[#This Row],[КФ  крепления профиля Gola]]*2</f>
        <v>17640</v>
      </c>
      <c r="BX26" s="22">
        <v>0</v>
      </c>
      <c r="BY26" s="22">
        <v>0</v>
      </c>
      <c r="BZ26" s="22" t="s">
        <v>96</v>
      </c>
      <c r="CA26" s="21" t="s">
        <v>139</v>
      </c>
      <c r="CB26" s="22">
        <v>0</v>
      </c>
      <c r="CC26" s="22" t="s">
        <v>96</v>
      </c>
      <c r="CD26" s="22"/>
      <c r="CE26" s="22"/>
      <c r="CF26" s="22">
        <v>3</v>
      </c>
      <c r="CG26" s="22">
        <v>0</v>
      </c>
      <c r="CH26" s="22">
        <v>0</v>
      </c>
      <c r="CI26" s="22"/>
      <c r="CJ26" s="22"/>
      <c r="CK26" s="22"/>
      <c r="CL26" s="22"/>
      <c r="CM26" s="22" t="s">
        <v>96</v>
      </c>
      <c r="CN26" s="22">
        <f>IF(Прайс[[#This Row],[Наличие подсветки на нижнем горизонте]]="Нет",0,'[2]комплекты фурнитуры'!$C$91)</f>
        <v>0</v>
      </c>
      <c r="CO26"/>
      <c r="CP26"/>
      <c r="CQ26"/>
      <c r="CR26"/>
      <c r="CS26"/>
      <c r="CT26"/>
      <c r="CU26"/>
    </row>
    <row r="27" spans="1:99" ht="15" customHeight="1" x14ac:dyDescent="0.25">
      <c r="A27" s="28" t="s">
        <v>160</v>
      </c>
      <c r="B27" s="16" t="s">
        <v>93</v>
      </c>
      <c r="C27" s="16" t="s">
        <v>161</v>
      </c>
      <c r="D27" s="16" t="s">
        <v>101</v>
      </c>
      <c r="E27" s="16" t="s">
        <v>112</v>
      </c>
      <c r="F27" s="16" t="s">
        <v>106</v>
      </c>
      <c r="G27" s="17">
        <v>720</v>
      </c>
      <c r="H27" s="17">
        <v>880</v>
      </c>
      <c r="I27" s="17">
        <v>150</v>
      </c>
      <c r="J27" s="17">
        <v>150</v>
      </c>
      <c r="K27" s="17">
        <v>515</v>
      </c>
      <c r="L27" s="17">
        <v>640</v>
      </c>
      <c r="M27" s="44">
        <v>2538</v>
      </c>
      <c r="N27" s="21">
        <v>3132</v>
      </c>
      <c r="O27" s="49">
        <v>720</v>
      </c>
      <c r="P27" s="50">
        <v>300</v>
      </c>
      <c r="Q27" s="49" t="str">
        <f>IF(OR(Прайс[[#This Row],[Тип]]="Нижний",Прайс[[#This Row],[Тип]]="Пенал"),"560",IF(Прайс[[#This Row],[Тип]]="Верхний",315,0))</f>
        <v>560</v>
      </c>
      <c r="R27" s="23">
        <v>1.08</v>
      </c>
      <c r="S27" s="23">
        <v>1.0649999999999999</v>
      </c>
      <c r="T27" s="23">
        <v>1.3</v>
      </c>
      <c r="U27" s="18"/>
      <c r="V27" s="18"/>
      <c r="W27" s="16">
        <f>'[2]комплекты фурнитуры'!$C$3</f>
        <v>550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>
        <v>540</v>
      </c>
      <c r="AK27" s="16"/>
      <c r="AL27" s="16"/>
      <c r="AM27" s="19">
        <f>SUM(Прайс[[#This Row],[КФ НСТ11]:[KFPr-SB-ZPG]])</f>
        <v>1090</v>
      </c>
      <c r="AN27" s="19"/>
      <c r="AO27" s="16"/>
      <c r="AP27" s="16"/>
      <c r="AQ27" s="16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>
        <f>'[2]комплекты фурнитуры'!$C$46</f>
        <v>11560</v>
      </c>
      <c r="BQ27" s="19"/>
      <c r="BR27" s="19"/>
      <c r="BS27" s="19">
        <f>'[2]комплекты фурнитуры'!$C$80</f>
        <v>390</v>
      </c>
      <c r="BT27" s="19"/>
      <c r="BU27" s="20">
        <f>Прайс[[#This Row],[KFS-SB-BYT]]+Прайс[[#This Row],[КФ евровинт]]*2+Прайс[[#This Row],[КФ  крепления профиля Gola]]</f>
        <v>11950</v>
      </c>
      <c r="BV27" s="20">
        <f>Прайс[[#This Row],[KFS-SB-BYT]]+Прайс[[#This Row],[КФ евровинт]]*2+Прайс[[#This Row],[КФ  крепления профиля Gola]]</f>
        <v>11950</v>
      </c>
      <c r="BW27" s="20">
        <f>Прайс[[#This Row],[KFS-SB-BYT]]+Прайс[[#This Row],[КФ евровинт]]*2+Прайс[[#This Row],[КФ  крепления профиля Gola]]</f>
        <v>11950</v>
      </c>
      <c r="BX27" s="22">
        <v>0</v>
      </c>
      <c r="BY27" s="22">
        <v>0</v>
      </c>
      <c r="BZ27" s="22" t="s">
        <v>96</v>
      </c>
      <c r="CA27" s="21" t="s">
        <v>139</v>
      </c>
      <c r="CB27" s="22">
        <v>0</v>
      </c>
      <c r="CC27" s="22" t="s">
        <v>96</v>
      </c>
      <c r="CD27" s="22"/>
      <c r="CE27" s="22"/>
      <c r="CF27" s="22">
        <v>1</v>
      </c>
      <c r="CG27" s="22">
        <v>0</v>
      </c>
      <c r="CH27" s="22">
        <v>0</v>
      </c>
      <c r="CI27" s="22"/>
      <c r="CJ27" s="22"/>
      <c r="CK27" s="22"/>
      <c r="CL27" s="22"/>
      <c r="CM27" s="22" t="s">
        <v>96</v>
      </c>
      <c r="CN27" s="22">
        <f>IF(Прайс[[#This Row],[Наличие подсветки на нижнем горизонте]]="Нет",0,'[2]комплекты фурнитуры'!$C$91)</f>
        <v>0</v>
      </c>
      <c r="CO27"/>
      <c r="CP27"/>
      <c r="CQ27"/>
      <c r="CR27"/>
      <c r="CS27"/>
      <c r="CT27"/>
      <c r="CU27"/>
    </row>
    <row r="28" spans="1:99" ht="15" customHeight="1" x14ac:dyDescent="0.25">
      <c r="A28" s="24" t="s">
        <v>162</v>
      </c>
      <c r="B28" s="16" t="s">
        <v>93</v>
      </c>
      <c r="C28" s="16" t="s">
        <v>163</v>
      </c>
      <c r="D28" s="16" t="s">
        <v>101</v>
      </c>
      <c r="E28" s="16" t="s">
        <v>112</v>
      </c>
      <c r="F28" s="16" t="s">
        <v>106</v>
      </c>
      <c r="G28" s="17">
        <v>720</v>
      </c>
      <c r="H28" s="17">
        <v>880</v>
      </c>
      <c r="I28" s="17">
        <v>450</v>
      </c>
      <c r="J28" s="17">
        <v>450</v>
      </c>
      <c r="K28" s="17">
        <v>515</v>
      </c>
      <c r="L28" s="17">
        <v>640</v>
      </c>
      <c r="M28" s="44">
        <v>2538</v>
      </c>
      <c r="N28" s="21">
        <v>3132</v>
      </c>
      <c r="O28" s="49">
        <v>720</v>
      </c>
      <c r="P28" s="50">
        <v>300</v>
      </c>
      <c r="Q28" s="49" t="str">
        <f>IF(OR(Прайс[[#This Row],[Тип]]="Нижний",Прайс[[#This Row],[Тип]]="Пенал"),"560",IF(Прайс[[#This Row],[Тип]]="Верхний",315,0))</f>
        <v>560</v>
      </c>
      <c r="R28" s="23">
        <v>1.08</v>
      </c>
      <c r="S28" s="23">
        <v>1.0649999999999999</v>
      </c>
      <c r="T28" s="23">
        <v>1.3</v>
      </c>
      <c r="U28" s="18"/>
      <c r="V28" s="18"/>
      <c r="W28" s="16">
        <f>'[2]комплекты фурнитуры'!$C$3</f>
        <v>550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>
        <f>'[2]комплекты фурнитуры'!$C$23*2</f>
        <v>560</v>
      </c>
      <c r="AK28" s="16"/>
      <c r="AL28" s="16"/>
      <c r="AM28" s="19">
        <f>SUM(Прайс[[#This Row],[КФ НСТ11]:[KFPr-SB-ZPG]])</f>
        <v>1110</v>
      </c>
      <c r="AN28" s="19"/>
      <c r="AO28" s="16"/>
      <c r="AP28" s="16"/>
      <c r="AQ28" s="16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>
        <f>'[2]комплекты фурнитуры'!$C$48</f>
        <v>10520</v>
      </c>
      <c r="BR28" s="19">
        <f>'[2]комплекты фурнитуры'!$C$84</f>
        <v>10</v>
      </c>
      <c r="BS28" s="19">
        <f>'[2]комплекты фурнитуры'!$C$80</f>
        <v>390</v>
      </c>
      <c r="BT28" s="19"/>
      <c r="BU28" s="20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V28" s="20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W28" s="20">
        <f>Прайс[[#This Row],[Корзина с держателем для бутылок 414*500*520 мм]]+Прайс[[#This Row],[КФ евровинт]]*2+Прайс[[#This Row],[КФ  крепления профиля Gola]]</f>
        <v>10930</v>
      </c>
      <c r="BX28" s="22">
        <v>0</v>
      </c>
      <c r="BY28" s="22">
        <v>0</v>
      </c>
      <c r="BZ28" s="22" t="s">
        <v>96</v>
      </c>
      <c r="CA28" s="21" t="s">
        <v>139</v>
      </c>
      <c r="CB28" s="22">
        <v>0</v>
      </c>
      <c r="CC28" s="22" t="s">
        <v>96</v>
      </c>
      <c r="CD28" s="22"/>
      <c r="CE28" s="22"/>
      <c r="CF28" s="22">
        <v>1</v>
      </c>
      <c r="CG28" s="22">
        <v>0</v>
      </c>
      <c r="CH28" s="22">
        <v>0</v>
      </c>
      <c r="CI28" s="22"/>
      <c r="CJ28" s="22"/>
      <c r="CK28" s="22"/>
      <c r="CL28" s="22"/>
      <c r="CM28" s="22" t="s">
        <v>96</v>
      </c>
      <c r="CN28" s="22">
        <f>IF(Прайс[[#This Row],[Наличие подсветки на нижнем горизонте]]="Нет",0,'[2]комплекты фурнитуры'!$C$91)</f>
        <v>0</v>
      </c>
      <c r="CO28"/>
      <c r="CP28"/>
      <c r="CQ28"/>
      <c r="CR28"/>
      <c r="CS28"/>
      <c r="CT28"/>
      <c r="CU28"/>
    </row>
    <row r="29" spans="1:99" ht="15" customHeight="1" x14ac:dyDescent="0.25">
      <c r="A29" s="29" t="s">
        <v>164</v>
      </c>
      <c r="B29" s="16" t="s">
        <v>93</v>
      </c>
      <c r="C29" s="16" t="s">
        <v>165</v>
      </c>
      <c r="D29" s="16" t="s">
        <v>101</v>
      </c>
      <c r="E29" s="16" t="s">
        <v>112</v>
      </c>
      <c r="F29" s="16" t="s">
        <v>111</v>
      </c>
      <c r="G29" s="17">
        <v>720</v>
      </c>
      <c r="H29" s="17">
        <v>720</v>
      </c>
      <c r="I29" s="17">
        <v>300</v>
      </c>
      <c r="J29" s="17">
        <v>600</v>
      </c>
      <c r="K29" s="17">
        <v>300</v>
      </c>
      <c r="L29" s="17">
        <v>640</v>
      </c>
      <c r="M29" s="44">
        <v>2538</v>
      </c>
      <c r="N29" s="21">
        <v>3132</v>
      </c>
      <c r="O29" s="49">
        <v>720</v>
      </c>
      <c r="P29" s="50">
        <v>300</v>
      </c>
      <c r="Q29" s="49" t="str">
        <f>IF(OR(Прайс[[#This Row],[Тип]]="Нижний",Прайс[[#This Row],[Тип]]="Пенал"),"560",IF(Прайс[[#This Row],[Тип]]="Верхний",315,0))</f>
        <v>560</v>
      </c>
      <c r="R29" s="23">
        <v>1.08</v>
      </c>
      <c r="S29" s="23">
        <v>1.0649999999999999</v>
      </c>
      <c r="T29" s="23">
        <v>1.3</v>
      </c>
      <c r="U29" s="18"/>
      <c r="V29" s="18"/>
      <c r="W29" s="16">
        <f>'[2]комплекты фурнитуры'!$C$3</f>
        <v>550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>
        <f>'[2]комплекты фурнитуры'!$C$23*2</f>
        <v>560</v>
      </c>
      <c r="AK29" s="16"/>
      <c r="AL29" s="16"/>
      <c r="AM29" s="19">
        <f>SUM(Прайс[[#This Row],[КФ НСТ11]:[KFPr-SB-ZPG]])</f>
        <v>1110</v>
      </c>
      <c r="AN29" s="19"/>
      <c r="AO29" s="16"/>
      <c r="AP29" s="16"/>
      <c r="AQ29" s="16"/>
      <c r="AR29" s="19">
        <f>'[2]комплекты фурнитуры'!$C$62</f>
        <v>620</v>
      </c>
      <c r="AS29" s="19">
        <f>'[2]комплекты фурнитуры'!$C$63</f>
        <v>130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>
        <f>'[2]комплекты фурнитуры'!$C$80</f>
        <v>390</v>
      </c>
      <c r="BT29" s="19"/>
      <c r="BU29" s="20">
        <f>Прайс[[#This Row],[КФ петли SENS накл.110 гр. с крестообр. Планкой]]*2+Прайс[[#This Row],[КФ  крепления профиля Gola]]</f>
        <v>1630</v>
      </c>
      <c r="BV29" s="20">
        <f>Прайс[[#This Row],[КФ петли SENS накл.110 гр. с крестообр. Планкой]]*2+Прайс[[#This Row],[КФ  крепления профиля Gola]]</f>
        <v>1630</v>
      </c>
      <c r="BW29" s="20">
        <f>Прайс[[#This Row],[КФ петли SENS накл.110 гр. с крестообр. Планкой]]*2+Прайс[[#This Row],[КФ  крепления профиля Gola]]</f>
        <v>1630</v>
      </c>
      <c r="BX29" s="22">
        <v>0</v>
      </c>
      <c r="BY29" s="22">
        <v>0</v>
      </c>
      <c r="BZ29" s="22" t="s">
        <v>96</v>
      </c>
      <c r="CA29" s="21" t="s">
        <v>139</v>
      </c>
      <c r="CB29" s="22">
        <v>0</v>
      </c>
      <c r="CC29" s="22" t="s">
        <v>96</v>
      </c>
      <c r="CD29" s="22"/>
      <c r="CE29" s="22"/>
      <c r="CF29" s="22">
        <v>1</v>
      </c>
      <c r="CG29" s="22">
        <v>0</v>
      </c>
      <c r="CH29" s="22">
        <v>0</v>
      </c>
      <c r="CI29" s="22"/>
      <c r="CJ29" s="22"/>
      <c r="CK29" s="22"/>
      <c r="CL29" s="22"/>
      <c r="CM29" s="22" t="s">
        <v>96</v>
      </c>
      <c r="CN29" s="22">
        <f>IF(Прайс[[#This Row],[Наличие подсветки на нижнем горизонте]]="Нет",0,'[2]комплекты фурнитуры'!$C$91)</f>
        <v>0</v>
      </c>
      <c r="CO29"/>
      <c r="CP29"/>
      <c r="CQ29"/>
      <c r="CR29"/>
      <c r="CS29"/>
      <c r="CT29"/>
      <c r="CU29"/>
    </row>
    <row r="30" spans="1:99" ht="15" customHeight="1" x14ac:dyDescent="0.25">
      <c r="A30" s="29" t="s">
        <v>166</v>
      </c>
      <c r="B30" s="16" t="s">
        <v>93</v>
      </c>
      <c r="C30" s="16" t="s">
        <v>167</v>
      </c>
      <c r="D30" s="16" t="s">
        <v>101</v>
      </c>
      <c r="E30" s="16" t="s">
        <v>112</v>
      </c>
      <c r="F30" s="16" t="s">
        <v>111</v>
      </c>
      <c r="G30" s="17">
        <v>720</v>
      </c>
      <c r="H30" s="17">
        <v>720</v>
      </c>
      <c r="I30" s="17">
        <v>600</v>
      </c>
      <c r="J30" s="17">
        <v>900</v>
      </c>
      <c r="K30" s="17">
        <v>300</v>
      </c>
      <c r="L30" s="17">
        <v>640</v>
      </c>
      <c r="M30" s="44">
        <v>2538</v>
      </c>
      <c r="N30" s="21">
        <v>3132</v>
      </c>
      <c r="O30" s="49">
        <v>720</v>
      </c>
      <c r="P30" s="50">
        <v>300</v>
      </c>
      <c r="Q30" s="49" t="str">
        <f>IF(OR(Прайс[[#This Row],[Тип]]="Нижний",Прайс[[#This Row],[Тип]]="Пенал"),"560",IF(Прайс[[#This Row],[Тип]]="Верхний",315,0))</f>
        <v>560</v>
      </c>
      <c r="R30" s="23">
        <v>1.08</v>
      </c>
      <c r="S30" s="23">
        <v>1.0649999999999999</v>
      </c>
      <c r="T30" s="23">
        <v>1.3</v>
      </c>
      <c r="U30" s="18"/>
      <c r="V30" s="18"/>
      <c r="W30" s="16">
        <f>'[2]комплекты фурнитуры'!$C$3</f>
        <v>550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>
        <f>'[2]комплекты фурнитуры'!$C$23*2</f>
        <v>560</v>
      </c>
      <c r="AK30" s="16"/>
      <c r="AL30" s="16"/>
      <c r="AM30" s="19">
        <f>SUM(Прайс[[#This Row],[КФ НСТ11]:[KFPr-SB-ZPG]])</f>
        <v>1110</v>
      </c>
      <c r="AN30" s="19"/>
      <c r="AO30" s="16"/>
      <c r="AP30" s="16"/>
      <c r="AQ30" s="16"/>
      <c r="AR30" s="19">
        <f>'[2]комплекты фурнитуры'!$C$62</f>
        <v>620</v>
      </c>
      <c r="AS30" s="19">
        <f>'[2]комплекты фурнитуры'!$C$63</f>
        <v>130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>
        <f>'[2]комплекты фурнитуры'!$C$80</f>
        <v>390</v>
      </c>
      <c r="BT30" s="19"/>
      <c r="BU30" s="20">
        <f>Прайс[[#This Row],[КФ петли SENS накл.110 гр. с крестообр. Планкой]]*4+Прайс[[#This Row],[КФ  крепления профиля Gola]]</f>
        <v>2870</v>
      </c>
      <c r="BV30" s="20">
        <f>Прайс[[#This Row],[КФ петли SENS накл.110 гр. с крестообр. Планкой]]*4+Прайс[[#This Row],[КФ  крепления профиля Gola]]</f>
        <v>2870</v>
      </c>
      <c r="BW30" s="20">
        <f>Прайс[[#This Row],[КФ петли SENS накл.110 гр. с крестообр. Планкой]]*4+Прайс[[#This Row],[КФ  крепления профиля Gola]]</f>
        <v>2870</v>
      </c>
      <c r="BX30" s="22">
        <v>0</v>
      </c>
      <c r="BY30" s="22">
        <v>0</v>
      </c>
      <c r="BZ30" s="22" t="s">
        <v>96</v>
      </c>
      <c r="CA30" s="21" t="s">
        <v>139</v>
      </c>
      <c r="CB30" s="22">
        <v>0</v>
      </c>
      <c r="CC30" s="22" t="s">
        <v>96</v>
      </c>
      <c r="CD30" s="22"/>
      <c r="CE30" s="22"/>
      <c r="CF30" s="22">
        <v>2</v>
      </c>
      <c r="CG30" s="22">
        <v>0</v>
      </c>
      <c r="CH30" s="22">
        <v>0</v>
      </c>
      <c r="CI30" s="22"/>
      <c r="CJ30" s="22"/>
      <c r="CK30" s="22"/>
      <c r="CL30" s="22"/>
      <c r="CM30" s="22" t="s">
        <v>96</v>
      </c>
      <c r="CN30" s="22">
        <f>IF(Прайс[[#This Row],[Наличие подсветки на нижнем горизонте]]="Нет",0,'[2]комплекты фурнитуры'!$C$91)</f>
        <v>0</v>
      </c>
      <c r="CO30"/>
      <c r="CP30"/>
      <c r="CQ30"/>
      <c r="CR30"/>
      <c r="CS30"/>
      <c r="CT30"/>
      <c r="CU30"/>
    </row>
    <row r="31" spans="1:99" ht="15" customHeight="1" x14ac:dyDescent="0.25">
      <c r="A31" s="29" t="s">
        <v>168</v>
      </c>
      <c r="B31" s="16" t="s">
        <v>93</v>
      </c>
      <c r="C31" s="16" t="s">
        <v>169</v>
      </c>
      <c r="D31" s="16" t="s">
        <v>117</v>
      </c>
      <c r="E31" s="16" t="s">
        <v>112</v>
      </c>
      <c r="F31" s="16" t="s">
        <v>97</v>
      </c>
      <c r="G31" s="17">
        <v>720</v>
      </c>
      <c r="H31" s="17">
        <v>720</v>
      </c>
      <c r="I31" s="17">
        <v>710</v>
      </c>
      <c r="J31" s="17">
        <v>950</v>
      </c>
      <c r="K31" s="17">
        <v>360</v>
      </c>
      <c r="L31" s="17">
        <v>560</v>
      </c>
      <c r="M31" s="44">
        <v>3456</v>
      </c>
      <c r="N31" s="21">
        <v>4352.3999999999996</v>
      </c>
      <c r="O31" s="49">
        <v>720</v>
      </c>
      <c r="P31" s="49">
        <v>300</v>
      </c>
      <c r="Q31" s="49">
        <v>315</v>
      </c>
      <c r="R31" s="23">
        <v>1.08</v>
      </c>
      <c r="S31" s="23">
        <v>1.0649999999999999</v>
      </c>
      <c r="T31" s="23">
        <v>1.3</v>
      </c>
      <c r="U31" s="18"/>
      <c r="V31" s="18"/>
      <c r="W31" s="16"/>
      <c r="X31" s="16"/>
      <c r="Y31" s="16">
        <f>'[2]комплекты фурнитуры'!$C$6</f>
        <v>810</v>
      </c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>
        <f>'[2]комплекты фурнитуры'!$C$23*2</f>
        <v>560</v>
      </c>
      <c r="AK31" s="16"/>
      <c r="AL31" s="16"/>
      <c r="AM31" s="19">
        <f>SUM(Прайс[[#This Row],[КФ НСТ11]:[KFPr-SB-ZPG]])</f>
        <v>1370</v>
      </c>
      <c r="AN31" s="19"/>
      <c r="AO31" s="16">
        <f>'[2]комплекты фурнитуры'!$C$78</f>
        <v>30</v>
      </c>
      <c r="AP31" s="16"/>
      <c r="AQ31" s="16"/>
      <c r="AR31" s="19"/>
      <c r="AS31" s="19"/>
      <c r="AT31" s="19">
        <f>'[2]комплекты фурнитуры'!$C$56</f>
        <v>1300</v>
      </c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>
        <f>'[2]комплекты фурнитуры'!$C$80</f>
        <v>390</v>
      </c>
      <c r="BT31" s="19"/>
      <c r="BU31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V31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W31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X31" s="22">
        <v>0</v>
      </c>
      <c r="BY31" s="22">
        <v>2</v>
      </c>
      <c r="BZ31" s="22" t="s">
        <v>96</v>
      </c>
      <c r="CA31" s="21" t="s">
        <v>139</v>
      </c>
      <c r="CB31" s="22">
        <v>1</v>
      </c>
      <c r="CC31" s="22" t="s">
        <v>96</v>
      </c>
      <c r="CD31" s="22"/>
      <c r="CE31" s="22"/>
      <c r="CF31" s="22">
        <v>1</v>
      </c>
      <c r="CG31" s="22">
        <v>0</v>
      </c>
      <c r="CH31" s="22">
        <v>0</v>
      </c>
      <c r="CI31" s="22"/>
      <c r="CJ31" s="22"/>
      <c r="CK31" s="22"/>
      <c r="CL31" s="22"/>
      <c r="CM31" s="22" t="s">
        <v>96</v>
      </c>
      <c r="CN31" s="22">
        <f>IF(Прайс[[#This Row],[Наличие подсветки на нижнем горизонте]]="Нет",0,'[2]комплекты фурнитуры'!$C$91)</f>
        <v>0</v>
      </c>
      <c r="CO31"/>
      <c r="CP31"/>
      <c r="CQ31"/>
      <c r="CR31"/>
      <c r="CS31"/>
      <c r="CT31"/>
      <c r="CU31"/>
    </row>
    <row r="32" spans="1:99" ht="15" customHeight="1" x14ac:dyDescent="0.25">
      <c r="A32" s="29" t="s">
        <v>170</v>
      </c>
      <c r="B32" s="16" t="s">
        <v>93</v>
      </c>
      <c r="C32" s="16" t="s">
        <v>171</v>
      </c>
      <c r="D32" s="16" t="s">
        <v>117</v>
      </c>
      <c r="E32" s="16" t="s">
        <v>112</v>
      </c>
      <c r="F32" s="16" t="s">
        <v>97</v>
      </c>
      <c r="G32" s="17">
        <v>720</v>
      </c>
      <c r="H32" s="17">
        <v>720</v>
      </c>
      <c r="I32" s="17">
        <v>810</v>
      </c>
      <c r="J32" s="17">
        <v>1050</v>
      </c>
      <c r="K32" s="17">
        <v>360</v>
      </c>
      <c r="L32" s="17">
        <v>560</v>
      </c>
      <c r="M32" s="44">
        <v>3456</v>
      </c>
      <c r="N32" s="21">
        <v>4352.3999999999996</v>
      </c>
      <c r="O32" s="49">
        <v>720</v>
      </c>
      <c r="P32" s="49">
        <v>300</v>
      </c>
      <c r="Q32" s="49">
        <v>315</v>
      </c>
      <c r="R32" s="23">
        <v>1.08</v>
      </c>
      <c r="S32" s="23">
        <v>1.0649999999999999</v>
      </c>
      <c r="T32" s="23">
        <v>1.3</v>
      </c>
      <c r="U32" s="18"/>
      <c r="V32" s="18"/>
      <c r="W32" s="16"/>
      <c r="X32" s="16"/>
      <c r="Y32" s="16">
        <f>'[2]комплекты фурнитуры'!$C$6</f>
        <v>810</v>
      </c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'[2]комплекты фурнитуры'!$C$23*2</f>
        <v>560</v>
      </c>
      <c r="AK32" s="16"/>
      <c r="AL32" s="16"/>
      <c r="AM32" s="19">
        <f>SUM(Прайс[[#This Row],[КФ НСТ11]:[KFPr-SB-ZPG]])</f>
        <v>1370</v>
      </c>
      <c r="AN32" s="19"/>
      <c r="AO32" s="16">
        <f>'[2]комплекты фурнитуры'!$C$78</f>
        <v>30</v>
      </c>
      <c r="AP32" s="16"/>
      <c r="AQ32" s="16"/>
      <c r="AR32" s="19"/>
      <c r="AS32" s="19"/>
      <c r="AT32" s="19">
        <f>'[2]комплекты фурнитуры'!$C$56</f>
        <v>1300</v>
      </c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>
        <f>'[2]комплекты фурнитуры'!$C$80</f>
        <v>390</v>
      </c>
      <c r="BT32" s="19"/>
      <c r="BU32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V32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W32" s="20">
        <f>Прайс[[#This Row],[КФ  крепления профиля Gola]]+Прайс[[#This Row],[КФ петли вклад. 95 гр. с крестообр. планкой]]*2+Прайс[[#This Row],[KFPr-SB-SPL]]</f>
        <v>3020</v>
      </c>
      <c r="BX32" s="22">
        <v>0</v>
      </c>
      <c r="BY32" s="22">
        <v>2</v>
      </c>
      <c r="BZ32" s="22" t="s">
        <v>96</v>
      </c>
      <c r="CA32" s="21" t="s">
        <v>139</v>
      </c>
      <c r="CB32" s="22">
        <v>0</v>
      </c>
      <c r="CC32" s="22" t="s">
        <v>96</v>
      </c>
      <c r="CD32" s="22"/>
      <c r="CE32" s="22"/>
      <c r="CF32" s="22">
        <v>1</v>
      </c>
      <c r="CG32" s="22">
        <v>0</v>
      </c>
      <c r="CH32" s="22">
        <v>0</v>
      </c>
      <c r="CI32" s="22"/>
      <c r="CJ32" s="22"/>
      <c r="CK32" s="22"/>
      <c r="CL32" s="22"/>
      <c r="CM32" s="22" t="s">
        <v>96</v>
      </c>
      <c r="CN32" s="22">
        <f>IF(Прайс[[#This Row],[Наличие подсветки на нижнем горизонте]]="Нет",0,'[2]комплекты фурнитуры'!$C$91)</f>
        <v>0</v>
      </c>
      <c r="CO32"/>
      <c r="CP32"/>
      <c r="CQ32"/>
      <c r="CR32"/>
      <c r="CS32"/>
      <c r="CT32"/>
      <c r="CU32"/>
    </row>
    <row r="33" spans="1:99" ht="15" customHeight="1" x14ac:dyDescent="0.25">
      <c r="A33" s="30" t="s">
        <v>172</v>
      </c>
      <c r="B33" s="16" t="s">
        <v>93</v>
      </c>
      <c r="C33" s="16" t="s">
        <v>173</v>
      </c>
      <c r="D33" s="16" t="s">
        <v>101</v>
      </c>
      <c r="E33" s="16" t="s">
        <v>96</v>
      </c>
      <c r="F33" s="16" t="s">
        <v>174</v>
      </c>
      <c r="G33" s="17">
        <v>240</v>
      </c>
      <c r="H33" s="17">
        <v>2400</v>
      </c>
      <c r="I33" s="17">
        <v>50</v>
      </c>
      <c r="J33" s="17">
        <v>100</v>
      </c>
      <c r="K33" s="17">
        <v>315</v>
      </c>
      <c r="L33" s="17">
        <v>700</v>
      </c>
      <c r="M33" s="44">
        <v>1940</v>
      </c>
      <c r="N33" s="21">
        <v>2360</v>
      </c>
      <c r="O33" s="49">
        <v>720</v>
      </c>
      <c r="P33" s="49">
        <v>100</v>
      </c>
      <c r="Q33" s="49">
        <v>560</v>
      </c>
      <c r="R33" s="23">
        <v>1.08</v>
      </c>
      <c r="S33" s="23">
        <v>1.0649999999999999</v>
      </c>
      <c r="T33" s="23">
        <v>1.3</v>
      </c>
      <c r="U33" s="18"/>
      <c r="V33" s="18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>
        <f>'[2]комплекты фурнитуры'!$C$18</f>
        <v>600</v>
      </c>
      <c r="AJ33" s="16"/>
      <c r="AK33" s="16"/>
      <c r="AL33" s="16"/>
      <c r="AM33" s="19">
        <f>SUM(Прайс[[#This Row],[КФ НСТ11]:[KFPr-SB-ZPG]])</f>
        <v>600</v>
      </c>
      <c r="AN33" s="19"/>
      <c r="AO33" s="16"/>
      <c r="AP33" s="16"/>
      <c r="AQ33" s="16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20">
        <v>0</v>
      </c>
      <c r="BV33" s="21">
        <v>0</v>
      </c>
      <c r="BW33" s="21">
        <v>0</v>
      </c>
      <c r="BX33" s="22">
        <v>0</v>
      </c>
      <c r="BY33" s="22">
        <v>0</v>
      </c>
      <c r="BZ33" s="22" t="s">
        <v>96</v>
      </c>
      <c r="CA33" s="21" t="s">
        <v>98</v>
      </c>
      <c r="CB33" s="22">
        <v>0</v>
      </c>
      <c r="CC33" s="22" t="s">
        <v>96</v>
      </c>
      <c r="CD33" s="22"/>
      <c r="CE33" s="22"/>
      <c r="CF33" s="22">
        <v>1</v>
      </c>
      <c r="CG33" s="22">
        <v>0</v>
      </c>
      <c r="CH33" s="22">
        <v>0</v>
      </c>
      <c r="CI33" s="22"/>
      <c r="CJ33" s="22"/>
      <c r="CK33" s="22"/>
      <c r="CL33" s="22"/>
      <c r="CM33" s="22" t="s">
        <v>96</v>
      </c>
      <c r="CN33" s="22">
        <f>IF(Прайс[[#This Row],[Наличие подсветки на нижнем горизонте]]="Нет",0,'[2]комплекты фурнитуры'!$C$91)</f>
        <v>0</v>
      </c>
      <c r="CO33"/>
      <c r="CP33"/>
      <c r="CQ33"/>
      <c r="CR33"/>
      <c r="CS33"/>
      <c r="CT33"/>
      <c r="CU33"/>
    </row>
    <row r="34" spans="1:99" ht="15" customHeight="1" x14ac:dyDescent="0.25">
      <c r="A34" s="30" t="s">
        <v>175</v>
      </c>
      <c r="B34" s="16" t="s">
        <v>176</v>
      </c>
      <c r="C34" s="16" t="s">
        <v>177</v>
      </c>
      <c r="D34" s="16" t="s">
        <v>95</v>
      </c>
      <c r="E34" s="16" t="s">
        <v>96</v>
      </c>
      <c r="F34" s="16" t="s">
        <v>97</v>
      </c>
      <c r="G34" s="17">
        <v>240</v>
      </c>
      <c r="H34" s="17">
        <v>1250</v>
      </c>
      <c r="I34" s="17">
        <v>150</v>
      </c>
      <c r="J34" s="17">
        <v>900</v>
      </c>
      <c r="K34" s="17">
        <v>250</v>
      </c>
      <c r="L34" s="17">
        <v>560</v>
      </c>
      <c r="M34" s="44">
        <v>1780</v>
      </c>
      <c r="N34" s="21">
        <v>2130</v>
      </c>
      <c r="O34" s="49">
        <v>720</v>
      </c>
      <c r="P34" s="49">
        <v>300</v>
      </c>
      <c r="Q34" s="49">
        <f>IF(OR(Прайс[[#This Row],[Тип]]="Нижний",Прайс[[#This Row],[Тип]]="Пенал"),"560",IF(Прайс[[#This Row],[Тип]]="Верхний",315,0))</f>
        <v>315</v>
      </c>
      <c r="R34" s="23">
        <v>1.08</v>
      </c>
      <c r="S34" s="23">
        <v>1.0649999999999999</v>
      </c>
      <c r="T34" s="23">
        <v>1.3</v>
      </c>
      <c r="U34" s="18"/>
      <c r="V34" s="18"/>
      <c r="W34" s="16">
        <f>'[2]комплекты фурнитуры'!$C$3</f>
        <v>550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>
        <f>'[2]комплекты фурнитуры'!$C$72</f>
        <v>210</v>
      </c>
      <c r="AL34" s="16">
        <f>'[2]комплекты фурнитуры'!$C$73</f>
        <v>30</v>
      </c>
      <c r="AM34" s="19">
        <f>SUM(Прайс[[#This Row],[КФ НСТ11]:[KFPr-SB-ZPG]])</f>
        <v>790</v>
      </c>
      <c r="AN34" s="19"/>
      <c r="AO34" s="16"/>
      <c r="AP34" s="16"/>
      <c r="AQ34" s="16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20">
        <v>0</v>
      </c>
      <c r="BV34" s="21">
        <v>0</v>
      </c>
      <c r="BW34" s="21">
        <v>0</v>
      </c>
      <c r="BX34" s="22">
        <v>0</v>
      </c>
      <c r="BY34" s="22">
        <v>3</v>
      </c>
      <c r="BZ34" s="22" t="s">
        <v>96</v>
      </c>
      <c r="CA34" s="21" t="s">
        <v>98</v>
      </c>
      <c r="CB34" s="22">
        <v>1</v>
      </c>
      <c r="CC34" s="22" t="s">
        <v>112</v>
      </c>
      <c r="CD34" s="22"/>
      <c r="CE34" s="22"/>
      <c r="CF34" s="22">
        <v>0</v>
      </c>
      <c r="CG34" s="22">
        <v>0</v>
      </c>
      <c r="CH34" s="22">
        <v>0</v>
      </c>
      <c r="CI34" s="22"/>
      <c r="CJ34" s="22"/>
      <c r="CK34" s="22"/>
      <c r="CL34" s="22"/>
      <c r="CM34" s="22" t="s">
        <v>112</v>
      </c>
      <c r="CN34" s="22">
        <f>IF(Прайс[[#This Row],[Наличие подсветки на нижнем горизонте]]="Нет",0,'[2]комплекты фурнитуры'!$C$91)</f>
        <v>400</v>
      </c>
      <c r="CO34"/>
      <c r="CP34"/>
      <c r="CQ34"/>
      <c r="CR34"/>
      <c r="CS34"/>
      <c r="CT34"/>
      <c r="CU34"/>
    </row>
    <row r="35" spans="1:99" ht="15" customHeight="1" x14ac:dyDescent="0.25">
      <c r="A35" s="30" t="s">
        <v>178</v>
      </c>
      <c r="B35" s="16" t="s">
        <v>176</v>
      </c>
      <c r="C35" s="16" t="s">
        <v>179</v>
      </c>
      <c r="D35" s="16" t="s">
        <v>101</v>
      </c>
      <c r="E35" s="16" t="s">
        <v>96</v>
      </c>
      <c r="F35" s="16" t="s">
        <v>97</v>
      </c>
      <c r="G35" s="17">
        <v>360</v>
      </c>
      <c r="H35" s="17">
        <v>1250</v>
      </c>
      <c r="I35" s="17">
        <v>150</v>
      </c>
      <c r="J35" s="17">
        <v>600</v>
      </c>
      <c r="K35" s="17">
        <v>250</v>
      </c>
      <c r="L35" s="17">
        <v>560</v>
      </c>
      <c r="M35" s="44">
        <v>1780</v>
      </c>
      <c r="N35" s="21">
        <v>2130</v>
      </c>
      <c r="O35" s="49">
        <v>720</v>
      </c>
      <c r="P35" s="49">
        <v>300</v>
      </c>
      <c r="Q35" s="49">
        <f>IF(OR(Прайс[[#This Row],[Тип]]="Нижний",Прайс[[#This Row],[Тип]]="Пенал"),"560",IF(Прайс[[#This Row],[Тип]]="Верхний",315,0))</f>
        <v>315</v>
      </c>
      <c r="R35" s="23">
        <v>1.08</v>
      </c>
      <c r="S35" s="23">
        <v>1.0649999999999999</v>
      </c>
      <c r="T35" s="23">
        <v>1.3</v>
      </c>
      <c r="U35" s="18"/>
      <c r="V35" s="18">
        <v>540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>
        <f>'[2]комплекты фурнитуры'!$C$72</f>
        <v>210</v>
      </c>
      <c r="AL35" s="16">
        <f>'[2]комплекты фурнитуры'!$C$73</f>
        <v>30</v>
      </c>
      <c r="AM35" s="19">
        <f>SUM(Прайс[[#This Row],[КФ НСТ11]:[KFPr-SB-ZPG]])</f>
        <v>780</v>
      </c>
      <c r="AN35" s="19"/>
      <c r="AO35" s="16"/>
      <c r="AP35" s="16"/>
      <c r="AQ35" s="16"/>
      <c r="AR35" s="19">
        <f>'[2]комплекты фурнитуры'!$C$62</f>
        <v>620</v>
      </c>
      <c r="AS35" s="19">
        <f>'[2]комплекты фурнитуры'!$C$63</f>
        <v>130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20">
        <f>Прайс[[#This Row],[КФ петли SENS накл.110 гр. с крестообр. Планкой]]*2</f>
        <v>1240</v>
      </c>
      <c r="BV35" s="21">
        <f>Прайс[[#This Row],[KFP-SB-N110]]*2</f>
        <v>260</v>
      </c>
      <c r="BW35" s="21">
        <f>Прайс[[#This Row],[KFP-SB-N110]]*2</f>
        <v>260</v>
      </c>
      <c r="BX35" s="22">
        <v>0</v>
      </c>
      <c r="BY35" s="22">
        <v>3</v>
      </c>
      <c r="BZ35" s="22" t="s">
        <v>112</v>
      </c>
      <c r="CA35" s="21" t="s">
        <v>98</v>
      </c>
      <c r="CB35" s="22">
        <v>1</v>
      </c>
      <c r="CC35" s="22" t="s">
        <v>112</v>
      </c>
      <c r="CD35" s="22"/>
      <c r="CE35" s="22"/>
      <c r="CF35" s="22">
        <v>1</v>
      </c>
      <c r="CG35" s="22">
        <v>0</v>
      </c>
      <c r="CH35" s="22">
        <v>0</v>
      </c>
      <c r="CI35" s="22"/>
      <c r="CJ35" s="22"/>
      <c r="CK35" s="22"/>
      <c r="CL35" s="22"/>
      <c r="CM35" s="22" t="s">
        <v>112</v>
      </c>
      <c r="CN35" s="22">
        <f>IF(Прайс[[#This Row],[Наличие подсветки на нижнем горизонте]]="Нет",0,'[2]комплекты фурнитуры'!$C$91)</f>
        <v>400</v>
      </c>
      <c r="CO35"/>
      <c r="CP35"/>
      <c r="CQ35"/>
      <c r="CR35"/>
      <c r="CS35"/>
      <c r="CT35"/>
      <c r="CU35"/>
    </row>
    <row r="36" spans="1:99" ht="15" customHeight="1" x14ac:dyDescent="0.25">
      <c r="A36" s="30" t="s">
        <v>180</v>
      </c>
      <c r="B36" s="16" t="s">
        <v>176</v>
      </c>
      <c r="C36" s="16" t="s">
        <v>181</v>
      </c>
      <c r="D36" s="16" t="s">
        <v>101</v>
      </c>
      <c r="E36" s="16" t="s">
        <v>96</v>
      </c>
      <c r="F36" s="16" t="s">
        <v>182</v>
      </c>
      <c r="G36" s="17">
        <v>800</v>
      </c>
      <c r="H36" s="17">
        <v>960</v>
      </c>
      <c r="I36" s="17">
        <v>450</v>
      </c>
      <c r="J36" s="17">
        <v>600</v>
      </c>
      <c r="K36" s="17">
        <v>350</v>
      </c>
      <c r="L36" s="17">
        <v>500</v>
      </c>
      <c r="M36" s="44">
        <v>1780</v>
      </c>
      <c r="N36" s="21">
        <v>2130</v>
      </c>
      <c r="O36" s="49">
        <v>720</v>
      </c>
      <c r="P36" s="49">
        <v>300</v>
      </c>
      <c r="Q36" s="49">
        <f>IF(OR(Прайс[[#This Row],[Тип]]="Нижний",Прайс[[#This Row],[Тип]]="Пенал"),"560",IF(Прайс[[#This Row],[Тип]]="Верхний",315,0))</f>
        <v>315</v>
      </c>
      <c r="R36" s="23">
        <v>1.08</v>
      </c>
      <c r="S36" s="23">
        <v>1.0649999999999999</v>
      </c>
      <c r="T36" s="23">
        <v>1.03</v>
      </c>
      <c r="U36" s="18">
        <v>740</v>
      </c>
      <c r="V36" s="18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>
        <f>'[2]комплекты фурнитуры'!$C$72</f>
        <v>210</v>
      </c>
      <c r="AL36" s="16">
        <f>'[2]комплекты фурнитуры'!$C$73</f>
        <v>30</v>
      </c>
      <c r="AM36" s="19">
        <f>SUM(Прайс[[#This Row],[КФ НСТ11]:[KFPr-SB-ZPG]])</f>
        <v>980</v>
      </c>
      <c r="AN36" s="19"/>
      <c r="AO36" s="16"/>
      <c r="AP36" s="16"/>
      <c r="AQ36" s="16"/>
      <c r="AR36" s="19">
        <f>'[2]комплекты фурнитуры'!$C$62</f>
        <v>620</v>
      </c>
      <c r="AS36" s="19">
        <f>'[2]комплекты фурнитуры'!$C$63</f>
        <v>130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20">
        <f>Прайс[[#This Row],[КФ петли SENS накл.110 гр. с крестообр. Планкой]]*2</f>
        <v>1240</v>
      </c>
      <c r="BV36" s="21">
        <f>Прайс[[#This Row],[KFP-SB-N110]]*2</f>
        <v>260</v>
      </c>
      <c r="BW36" s="21">
        <f>Прайс[[#This Row],[KFP-SB-N110]]*2</f>
        <v>260</v>
      </c>
      <c r="BX36" s="22">
        <v>1</v>
      </c>
      <c r="BY36" s="22">
        <v>1</v>
      </c>
      <c r="BZ36" s="22" t="s">
        <v>112</v>
      </c>
      <c r="CA36" s="21" t="s">
        <v>98</v>
      </c>
      <c r="CB36" s="22">
        <v>1</v>
      </c>
      <c r="CC36" s="22" t="s">
        <v>112</v>
      </c>
      <c r="CD36" s="22"/>
      <c r="CE36" s="22"/>
      <c r="CF36" s="22">
        <v>1</v>
      </c>
      <c r="CG36" s="22">
        <v>0</v>
      </c>
      <c r="CH36" s="22">
        <v>0</v>
      </c>
      <c r="CI36" s="22"/>
      <c r="CJ36" s="22"/>
      <c r="CK36" s="22"/>
      <c r="CL36" s="22"/>
      <c r="CM36" s="22" t="s">
        <v>96</v>
      </c>
      <c r="CN36" s="22">
        <f>IF(Прайс[[#This Row],[Наличие подсветки на нижнем горизонте]]="Нет",0,'[2]комплекты фурнитуры'!$C$91)</f>
        <v>0</v>
      </c>
      <c r="CO36"/>
      <c r="CP36"/>
      <c r="CQ36"/>
      <c r="CR36"/>
      <c r="CS36"/>
      <c r="CT36"/>
      <c r="CU36"/>
    </row>
    <row r="37" spans="1:99" ht="15" customHeight="1" x14ac:dyDescent="0.25">
      <c r="A37" s="30" t="s">
        <v>183</v>
      </c>
      <c r="B37" s="16" t="s">
        <v>176</v>
      </c>
      <c r="C37" s="16" t="s">
        <v>184</v>
      </c>
      <c r="D37" s="16" t="s">
        <v>101</v>
      </c>
      <c r="E37" s="16" t="s">
        <v>96</v>
      </c>
      <c r="F37" s="16" t="s">
        <v>185</v>
      </c>
      <c r="G37" s="17">
        <v>240</v>
      </c>
      <c r="H37" s="17">
        <v>600</v>
      </c>
      <c r="I37" s="17">
        <v>350</v>
      </c>
      <c r="J37" s="17">
        <v>900</v>
      </c>
      <c r="K37" s="17">
        <v>250</v>
      </c>
      <c r="L37" s="17">
        <v>560</v>
      </c>
      <c r="M37" s="44">
        <v>1780</v>
      </c>
      <c r="N37" s="21">
        <v>2130</v>
      </c>
      <c r="O37" s="49">
        <v>720</v>
      </c>
      <c r="P37" s="49">
        <v>300</v>
      </c>
      <c r="Q37" s="49">
        <f>IF(OR(Прайс[[#This Row],[Тип]]="Нижний",Прайс[[#This Row],[Тип]]="Пенал"),"560",IF(Прайс[[#This Row],[Тип]]="Верхний",315,0))</f>
        <v>315</v>
      </c>
      <c r="R37" s="23">
        <v>1.08</v>
      </c>
      <c r="S37" s="23">
        <v>1.0649999999999999</v>
      </c>
      <c r="T37" s="23">
        <v>1.3</v>
      </c>
      <c r="U37" s="18"/>
      <c r="V37" s="18"/>
      <c r="W37" s="16">
        <f>'[2]комплекты фурнитуры'!$C$3</f>
        <v>550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>
        <f>'[2]комплекты фурнитуры'!$C$72</f>
        <v>210</v>
      </c>
      <c r="AL37" s="16">
        <f>'[2]комплекты фурнитуры'!$C$73</f>
        <v>30</v>
      </c>
      <c r="AM37" s="19">
        <f>SUM(Прайс[[#This Row],[КФ НСТ11]:[KFPr-SB-ZPG]])</f>
        <v>790</v>
      </c>
      <c r="AN37" s="19"/>
      <c r="AO37" s="16"/>
      <c r="AP37" s="16"/>
      <c r="AQ37" s="16"/>
      <c r="AR37" s="19"/>
      <c r="AS37" s="19">
        <f>'[2]комплекты фурнитуры'!$C$63</f>
        <v>130</v>
      </c>
      <c r="AT37" s="19"/>
      <c r="AU37" s="19"/>
      <c r="AV37" s="19"/>
      <c r="AW37" s="19"/>
      <c r="AX37" s="19"/>
      <c r="AY37" s="19"/>
      <c r="AZ37" s="19"/>
      <c r="BA37" s="19"/>
      <c r="BB37" s="19">
        <f>'[2]комплекты фурнитуры'!$C$67</f>
        <v>6080</v>
      </c>
      <c r="BC37" s="19">
        <f>'[2]комплекты фурнитуры'!$C$68</f>
        <v>6940</v>
      </c>
      <c r="BD37" s="19">
        <f>'[2]комплекты фурнитуры'!$C$70</f>
        <v>2290</v>
      </c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20">
        <f>Прайс[[#This Row],[KFP-SP-PPGK]]</f>
        <v>6080</v>
      </c>
      <c r="BV37" s="21">
        <f>Прайс[[#This Row],[KFP-SP-PPA]]+Прайс[[#This Row],[KFP-SB-N110]]*2</f>
        <v>2550</v>
      </c>
      <c r="BW37" s="21">
        <f>Прайс[[#This Row],[KFP-SP-PPA]]+Прайс[[#This Row],[KFP-SB-N110]]*2</f>
        <v>2550</v>
      </c>
      <c r="BX37" s="22">
        <v>0</v>
      </c>
      <c r="BY37" s="22">
        <v>0</v>
      </c>
      <c r="BZ37" s="22" t="s">
        <v>112</v>
      </c>
      <c r="CA37" s="21" t="s">
        <v>98</v>
      </c>
      <c r="CB37" s="22">
        <v>0</v>
      </c>
      <c r="CC37" s="22" t="s">
        <v>96</v>
      </c>
      <c r="CD37" s="22"/>
      <c r="CE37" s="22"/>
      <c r="CF37" s="22">
        <v>1</v>
      </c>
      <c r="CG37" s="22">
        <v>0</v>
      </c>
      <c r="CH37" s="22">
        <v>0</v>
      </c>
      <c r="CI37" s="22"/>
      <c r="CJ37" s="22"/>
      <c r="CK37" s="22"/>
      <c r="CL37" s="22"/>
      <c r="CM37" s="22" t="s">
        <v>112</v>
      </c>
      <c r="CN37" s="22">
        <f>IF(Прайс[[#This Row],[Наличие подсветки на нижнем горизонте]]="Нет",0,'[2]комплекты фурнитуры'!$C$91)</f>
        <v>400</v>
      </c>
      <c r="CO37"/>
      <c r="CP37"/>
      <c r="CQ37"/>
      <c r="CR37"/>
      <c r="CS37"/>
      <c r="CT37"/>
      <c r="CU37"/>
    </row>
    <row r="38" spans="1:99" ht="15" customHeight="1" x14ac:dyDescent="0.25">
      <c r="A38" s="30" t="s">
        <v>186</v>
      </c>
      <c r="B38" s="16" t="s">
        <v>176</v>
      </c>
      <c r="C38" s="16" t="s">
        <v>187</v>
      </c>
      <c r="D38" s="16" t="s">
        <v>101</v>
      </c>
      <c r="E38" s="16" t="s">
        <v>96</v>
      </c>
      <c r="F38" s="16" t="s">
        <v>182</v>
      </c>
      <c r="G38" s="17">
        <v>600</v>
      </c>
      <c r="H38" s="17">
        <v>800</v>
      </c>
      <c r="I38" s="17">
        <v>450</v>
      </c>
      <c r="J38" s="17">
        <v>600</v>
      </c>
      <c r="K38" s="17">
        <v>350</v>
      </c>
      <c r="L38" s="17">
        <v>500</v>
      </c>
      <c r="M38" s="44">
        <v>2340</v>
      </c>
      <c r="N38" s="21">
        <v>2960</v>
      </c>
      <c r="O38" s="49">
        <v>720</v>
      </c>
      <c r="P38" s="49">
        <v>600</v>
      </c>
      <c r="Q38" s="49">
        <v>350</v>
      </c>
      <c r="R38" s="23">
        <v>1.08</v>
      </c>
      <c r="S38" s="23">
        <v>1.0649999999999999</v>
      </c>
      <c r="T38" s="23">
        <v>1.03</v>
      </c>
      <c r="U38" s="18"/>
      <c r="V38" s="18"/>
      <c r="W38" s="16"/>
      <c r="X38" s="16"/>
      <c r="Y38" s="16"/>
      <c r="Z38" s="16"/>
      <c r="AA38" s="16"/>
      <c r="AB38" s="16"/>
      <c r="AC38" s="16"/>
      <c r="AD38" s="16">
        <f>'[2]комплекты фурнитуры'!$C$13</f>
        <v>740</v>
      </c>
      <c r="AE38" s="16"/>
      <c r="AF38" s="16"/>
      <c r="AG38" s="16"/>
      <c r="AH38" s="16"/>
      <c r="AI38" s="16"/>
      <c r="AJ38" s="16"/>
      <c r="AK38" s="16">
        <f>'[2]комплекты фурнитуры'!$C$72</f>
        <v>210</v>
      </c>
      <c r="AL38" s="16">
        <f>'[2]комплекты фурнитуры'!$C$73</f>
        <v>30</v>
      </c>
      <c r="AM38" s="19">
        <f>SUM(Прайс[[#This Row],[КФ НСТ11]:[KFPr-SB-ZPG]])</f>
        <v>980</v>
      </c>
      <c r="AN38" s="19"/>
      <c r="AO38" s="16"/>
      <c r="AP38" s="16"/>
      <c r="AQ38" s="16"/>
      <c r="AR38" s="19"/>
      <c r="AS38" s="19">
        <f>'[2]комплекты фурнитуры'!$C$63</f>
        <v>130</v>
      </c>
      <c r="AT38" s="19"/>
      <c r="AU38" s="19"/>
      <c r="AV38" s="19"/>
      <c r="AW38" s="19"/>
      <c r="AX38" s="19"/>
      <c r="AY38" s="19"/>
      <c r="AZ38" s="19"/>
      <c r="BA38" s="19"/>
      <c r="BB38" s="19">
        <f>'[2]комплекты фурнитуры'!$C$67</f>
        <v>6080</v>
      </c>
      <c r="BC38" s="19"/>
      <c r="BD38" s="19">
        <f>'[2]комплекты фурнитуры'!$C$70</f>
        <v>2290</v>
      </c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20">
        <f>Прайс[[#This Row],[KFP-SP-PPGK]]</f>
        <v>6080</v>
      </c>
      <c r="BV38" s="21">
        <f>Прайс[[#This Row],[KFP-SP-PPA]]+Прайс[[#This Row],[KFP-SB-N110]]*2</f>
        <v>2550</v>
      </c>
      <c r="BW38" s="21">
        <v>0</v>
      </c>
      <c r="BX38" s="22">
        <v>0</v>
      </c>
      <c r="BY38" s="22">
        <v>0</v>
      </c>
      <c r="BZ38" s="22" t="s">
        <v>96</v>
      </c>
      <c r="CA38" s="21" t="s">
        <v>127</v>
      </c>
      <c r="CB38" s="22">
        <v>0</v>
      </c>
      <c r="CC38" s="22" t="s">
        <v>96</v>
      </c>
      <c r="CD38" s="22"/>
      <c r="CE38" s="22"/>
      <c r="CF38" s="22">
        <v>1</v>
      </c>
      <c r="CG38" s="22">
        <v>0</v>
      </c>
      <c r="CH38" s="22">
        <v>0</v>
      </c>
      <c r="CI38" s="22"/>
      <c r="CJ38" s="22"/>
      <c r="CK38" s="22"/>
      <c r="CL38" s="22"/>
      <c r="CM38" s="22" t="s">
        <v>96</v>
      </c>
      <c r="CN38" s="22">
        <f>IF(Прайс[[#This Row],[Наличие подсветки на нижнем горизонте]]="Нет",0,'[2]комплекты фурнитуры'!$C$91)</f>
        <v>0</v>
      </c>
      <c r="CO38"/>
      <c r="CP38"/>
      <c r="CQ38"/>
      <c r="CR38"/>
      <c r="CS38"/>
      <c r="CT38"/>
      <c r="CU38"/>
    </row>
    <row r="39" spans="1:99" ht="15" customHeight="1" x14ac:dyDescent="0.25">
      <c r="A39" s="30" t="s">
        <v>188</v>
      </c>
      <c r="B39" s="16" t="s">
        <v>176</v>
      </c>
      <c r="C39" s="16" t="s">
        <v>189</v>
      </c>
      <c r="D39" s="16" t="s">
        <v>101</v>
      </c>
      <c r="E39" s="16" t="s">
        <v>96</v>
      </c>
      <c r="F39" s="16" t="s">
        <v>97</v>
      </c>
      <c r="G39" s="17">
        <v>360</v>
      </c>
      <c r="H39" s="17">
        <v>1250</v>
      </c>
      <c r="I39" s="17">
        <v>400</v>
      </c>
      <c r="J39" s="17">
        <v>900</v>
      </c>
      <c r="K39" s="17">
        <v>250</v>
      </c>
      <c r="L39" s="17">
        <v>560</v>
      </c>
      <c r="M39" s="44">
        <v>1780</v>
      </c>
      <c r="N39" s="21">
        <v>2130</v>
      </c>
      <c r="O39" s="49">
        <v>720</v>
      </c>
      <c r="P39" s="49">
        <v>300</v>
      </c>
      <c r="Q39" s="49">
        <f>IF(OR(Прайс[[#This Row],[Тип]]="Нижний",Прайс[[#This Row],[Тип]]="Пенал"),"560",IF(Прайс[[#This Row],[Тип]]="Верхний",315,0))</f>
        <v>315</v>
      </c>
      <c r="R39" s="23">
        <v>1.08</v>
      </c>
      <c r="S39" s="23">
        <v>1.0649999999999999</v>
      </c>
      <c r="T39" s="23">
        <v>1.3</v>
      </c>
      <c r="U39" s="18"/>
      <c r="V39" s="18">
        <v>540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>
        <f>'[2]комплекты фурнитуры'!$C$72</f>
        <v>210</v>
      </c>
      <c r="AL39" s="16">
        <f>'[2]комплекты фурнитуры'!$C$73</f>
        <v>30</v>
      </c>
      <c r="AM39" s="19">
        <f>SUM(Прайс[[#This Row],[КФ НСТ11]:[KFPr-SB-ZPG]])</f>
        <v>780</v>
      </c>
      <c r="AN39" s="19"/>
      <c r="AO39" s="16"/>
      <c r="AP39" s="16"/>
      <c r="AQ39" s="16"/>
      <c r="AR39" s="19">
        <f>'[2]комплекты фурнитуры'!$C$62</f>
        <v>620</v>
      </c>
      <c r="AS39" s="19">
        <f>'[2]комплекты фурнитуры'!$C$63</f>
        <v>130</v>
      </c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20">
        <f>Прайс[[#This Row],[КФ петли SENS накл.110 гр. с крестообр. Планкой]]*4</f>
        <v>2480</v>
      </c>
      <c r="BV39" s="21">
        <f>Прайс[[#This Row],[KFP-SB-N110]]*4</f>
        <v>520</v>
      </c>
      <c r="BW39" s="21">
        <f>Прайс[[#This Row],[KFP-SB-N110]]*4</f>
        <v>520</v>
      </c>
      <c r="BX39" s="22">
        <v>0</v>
      </c>
      <c r="BY39" s="22">
        <v>3</v>
      </c>
      <c r="BZ39" s="22" t="s">
        <v>112</v>
      </c>
      <c r="CA39" s="21" t="s">
        <v>98</v>
      </c>
      <c r="CB39" s="22">
        <v>0</v>
      </c>
      <c r="CC39" s="22" t="s">
        <v>112</v>
      </c>
      <c r="CD39" s="22"/>
      <c r="CE39" s="22"/>
      <c r="CF39" s="22">
        <v>2</v>
      </c>
      <c r="CG39" s="22">
        <v>0</v>
      </c>
      <c r="CH39" s="22">
        <v>0</v>
      </c>
      <c r="CI39" s="22"/>
      <c r="CJ39" s="22"/>
      <c r="CK39" s="22"/>
      <c r="CL39" s="22"/>
      <c r="CM39" s="22" t="s">
        <v>112</v>
      </c>
      <c r="CN39" s="22">
        <f>IF(Прайс[[#This Row],[Наличие подсветки на нижнем горизонте]]="Нет",0,'[2]комплекты фурнитуры'!$C$91)</f>
        <v>400</v>
      </c>
      <c r="CO39"/>
      <c r="CP39"/>
      <c r="CQ39"/>
      <c r="CR39"/>
      <c r="CS39"/>
      <c r="CT39"/>
      <c r="CU39"/>
    </row>
    <row r="40" spans="1:99" ht="15" customHeight="1" x14ac:dyDescent="0.25">
      <c r="A40" s="30" t="s">
        <v>190</v>
      </c>
      <c r="B40" s="16" t="s">
        <v>176</v>
      </c>
      <c r="C40" s="16" t="s">
        <v>191</v>
      </c>
      <c r="D40" s="16" t="s">
        <v>101</v>
      </c>
      <c r="E40" s="16" t="s">
        <v>96</v>
      </c>
      <c r="F40" s="16" t="s">
        <v>185</v>
      </c>
      <c r="G40" s="17">
        <v>720</v>
      </c>
      <c r="H40" s="17">
        <v>720</v>
      </c>
      <c r="I40" s="17">
        <v>400</v>
      </c>
      <c r="J40" s="17">
        <v>900</v>
      </c>
      <c r="K40" s="17">
        <v>300</v>
      </c>
      <c r="L40" s="17">
        <v>400</v>
      </c>
      <c r="M40" s="44">
        <v>1780</v>
      </c>
      <c r="N40" s="21">
        <v>2130</v>
      </c>
      <c r="O40" s="49">
        <v>720</v>
      </c>
      <c r="P40" s="49">
        <v>300</v>
      </c>
      <c r="Q40" s="49">
        <f>IF(OR(Прайс[[#This Row],[Тип]]="Нижний",Прайс[[#This Row],[Тип]]="Пенал"),"560",IF(Прайс[[#This Row],[Тип]]="Верхний",315,0))</f>
        <v>315</v>
      </c>
      <c r="R40" s="23">
        <v>1.08</v>
      </c>
      <c r="S40" s="23">
        <v>1.0649999999999999</v>
      </c>
      <c r="T40" s="23">
        <v>1.3</v>
      </c>
      <c r="U40" s="18"/>
      <c r="V40" s="18"/>
      <c r="W40" s="16">
        <f>'[2]комплекты фурнитуры'!$C$3</f>
        <v>550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>
        <f>'[2]комплекты фурнитуры'!$C$72</f>
        <v>210</v>
      </c>
      <c r="AL40" s="16">
        <f>'[2]комплекты фурнитуры'!$C$73</f>
        <v>30</v>
      </c>
      <c r="AM40" s="19">
        <f>SUM(Прайс[[#This Row],[КФ НСТ11]:[KFPr-SB-ZPG]])</f>
        <v>790</v>
      </c>
      <c r="AN40" s="19"/>
      <c r="AO40" s="16"/>
      <c r="AP40" s="16"/>
      <c r="AQ40" s="16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>
        <f>'[2]комплекты фурнитуры'!$C$69</f>
        <v>13990</v>
      </c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20">
        <f>Прайс[[#This Row],[KFP-SB-PPHF_W]]</f>
        <v>13990</v>
      </c>
      <c r="BV40" s="20">
        <f>Прайс[[#This Row],[KFP-SB-PPHF_W]]</f>
        <v>13990</v>
      </c>
      <c r="BW40" s="20">
        <f>Прайс[[#This Row],[KFP-SB-PPHF_W]]</f>
        <v>13990</v>
      </c>
      <c r="BX40" s="22">
        <v>1</v>
      </c>
      <c r="BY40" s="22">
        <v>1</v>
      </c>
      <c r="BZ40" s="22" t="s">
        <v>96</v>
      </c>
      <c r="CA40" s="21" t="s">
        <v>139</v>
      </c>
      <c r="CB40" s="22">
        <v>1</v>
      </c>
      <c r="CC40" s="22" t="s">
        <v>112</v>
      </c>
      <c r="CD40" s="22"/>
      <c r="CE40" s="22"/>
      <c r="CF40" s="22">
        <v>2</v>
      </c>
      <c r="CG40" s="22">
        <v>0</v>
      </c>
      <c r="CH40" s="22">
        <v>0</v>
      </c>
      <c r="CI40" s="22"/>
      <c r="CJ40" s="22"/>
      <c r="CK40" s="22"/>
      <c r="CL40" s="22"/>
      <c r="CM40" s="22" t="s">
        <v>112</v>
      </c>
      <c r="CN40" s="22">
        <f>IF(Прайс[[#This Row],[Наличие подсветки на нижнем горизонте]]="Нет",0,'[2]комплекты фурнитуры'!$C$91)</f>
        <v>400</v>
      </c>
      <c r="CO40"/>
      <c r="CP40"/>
      <c r="CQ40"/>
      <c r="CR40"/>
      <c r="CS40"/>
      <c r="CT40"/>
      <c r="CU40"/>
    </row>
    <row r="41" spans="1:99" s="9" customFormat="1" ht="15" customHeight="1" x14ac:dyDescent="0.25">
      <c r="A41" s="30" t="s">
        <v>192</v>
      </c>
      <c r="B41" s="16" t="s">
        <v>176</v>
      </c>
      <c r="C41" s="16" t="s">
        <v>193</v>
      </c>
      <c r="D41" s="16" t="s">
        <v>117</v>
      </c>
      <c r="E41" s="16" t="s">
        <v>96</v>
      </c>
      <c r="F41" s="16" t="s">
        <v>97</v>
      </c>
      <c r="G41" s="17">
        <v>360</v>
      </c>
      <c r="H41" s="17">
        <v>1250</v>
      </c>
      <c r="I41" s="17">
        <v>595</v>
      </c>
      <c r="J41" s="17">
        <v>1000</v>
      </c>
      <c r="K41" s="17">
        <v>315</v>
      </c>
      <c r="L41" s="17">
        <v>560</v>
      </c>
      <c r="M41" s="44">
        <v>2580</v>
      </c>
      <c r="N41" s="21">
        <v>3560</v>
      </c>
      <c r="O41" s="49">
        <v>720</v>
      </c>
      <c r="P41" s="49">
        <v>600</v>
      </c>
      <c r="Q41" s="49">
        <v>560</v>
      </c>
      <c r="R41" s="23">
        <v>1.08</v>
      </c>
      <c r="S41" s="23">
        <v>1.0649999999999999</v>
      </c>
      <c r="T41" s="23">
        <v>0</v>
      </c>
      <c r="U41" s="18"/>
      <c r="V41" s="18"/>
      <c r="W41" s="16"/>
      <c r="X41" s="16"/>
      <c r="Y41" s="16"/>
      <c r="Z41" s="16"/>
      <c r="AA41" s="16"/>
      <c r="AB41" s="16"/>
      <c r="AC41" s="16"/>
      <c r="AD41" s="16"/>
      <c r="AE41" s="16"/>
      <c r="AF41" s="16">
        <f>'[2]комплекты фурнитуры'!$C$15</f>
        <v>1130</v>
      </c>
      <c r="AG41" s="16"/>
      <c r="AH41" s="16"/>
      <c r="AI41" s="16"/>
      <c r="AJ41" s="16"/>
      <c r="AK41" s="16">
        <f>'[2]комплекты фурнитуры'!$C$72</f>
        <v>210</v>
      </c>
      <c r="AL41" s="16">
        <f>'[2]комплекты фурнитуры'!$C$73</f>
        <v>30</v>
      </c>
      <c r="AM41" s="19">
        <f>SUM(Прайс[[#This Row],[КФ НСТ11]:[KFPr-SB-ZPG]])</f>
        <v>1370</v>
      </c>
      <c r="AN41" s="19"/>
      <c r="AO41" s="16">
        <f>'[2]комплекты фурнитуры'!$C$78</f>
        <v>30</v>
      </c>
      <c r="AP41" s="16">
        <f>'[2]комплекты фурнитуры'!$C$90</f>
        <v>20</v>
      </c>
      <c r="AQ41" s="16"/>
      <c r="AR41" s="19"/>
      <c r="AS41" s="19"/>
      <c r="AT41" s="19">
        <f>'[2]комплекты фурнитуры'!$C$56</f>
        <v>1300</v>
      </c>
      <c r="AU41" s="19">
        <f>'[2]комплекты фурнитуры'!$C$58</f>
        <v>480</v>
      </c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20">
        <f>Прайс[[#This Row],[KFPr-SB-SPL]]+Прайс[[#This Row],[KFPr-SB-SMRZ_16мм]]+Прайс[[#This Row],[КФ петли вклад. 95 гр. с крестообр. планкой]]*2</f>
        <v>2650</v>
      </c>
      <c r="BV41" s="21">
        <f>Прайс[[#This Row],[KFPr-SB-SPL]]+Прайс[[#This Row],[KFPr-SB-SMRZ_16мм]]+Прайс[[#This Row],[KFP-SB-PY94]]*2</f>
        <v>1010</v>
      </c>
      <c r="BW41" s="21">
        <f>Прайс[[#This Row],[KFPr-SB-SPL]]+Прайс[[#This Row],[KFPr-SB-SMRZ_16мм]]+Прайс[[#This Row],[KFP-SB-PY94]]*2</f>
        <v>1010</v>
      </c>
      <c r="BX41" s="22">
        <v>0</v>
      </c>
      <c r="BY41" s="22">
        <v>2</v>
      </c>
      <c r="BZ41" s="22" t="s">
        <v>112</v>
      </c>
      <c r="CA41" s="21" t="s">
        <v>98</v>
      </c>
      <c r="CB41" s="22">
        <v>1</v>
      </c>
      <c r="CC41" s="22" t="s">
        <v>112</v>
      </c>
      <c r="CD41" s="22"/>
      <c r="CE41" s="22"/>
      <c r="CF41" s="22">
        <v>1</v>
      </c>
      <c r="CG41" s="22">
        <v>0</v>
      </c>
      <c r="CH41" s="22">
        <v>0</v>
      </c>
      <c r="CI41" s="22"/>
      <c r="CJ41" s="22"/>
      <c r="CK41" s="22"/>
      <c r="CL41" s="22"/>
      <c r="CM41" s="22" t="s">
        <v>112</v>
      </c>
      <c r="CN41" s="22">
        <f>IF(Прайс[[#This Row],[Наличие подсветки на нижнем горизонте]]="Нет",0,'[2]комплекты фурнитуры'!$C$91)</f>
        <v>400</v>
      </c>
    </row>
    <row r="42" spans="1:99" ht="15" customHeight="1" x14ac:dyDescent="0.25">
      <c r="A42" s="31" t="s">
        <v>194</v>
      </c>
      <c r="B42" s="16" t="s">
        <v>176</v>
      </c>
      <c r="C42" s="16" t="s">
        <v>195</v>
      </c>
      <c r="D42" s="16" t="s">
        <v>101</v>
      </c>
      <c r="E42" s="16" t="s">
        <v>96</v>
      </c>
      <c r="F42" s="16" t="s">
        <v>196</v>
      </c>
      <c r="G42" s="17">
        <v>440</v>
      </c>
      <c r="H42" s="17">
        <v>1210</v>
      </c>
      <c r="I42" s="17">
        <v>500</v>
      </c>
      <c r="J42" s="17">
        <v>600</v>
      </c>
      <c r="K42" s="17">
        <v>300</v>
      </c>
      <c r="L42" s="17">
        <v>400</v>
      </c>
      <c r="M42" s="44">
        <v>2860</v>
      </c>
      <c r="N42" s="21">
        <v>3550</v>
      </c>
      <c r="O42" s="49">
        <v>680</v>
      </c>
      <c r="P42" s="49">
        <v>500</v>
      </c>
      <c r="Q42" s="49">
        <f>IF(OR(Прайс[[#This Row],[Тип]]="Нижний",Прайс[[#This Row],[Тип]]="Пенал"),"560",IF(Прайс[[#This Row],[Тип]]="Верхний",315,0))</f>
        <v>315</v>
      </c>
      <c r="R42" s="23">
        <v>1.095</v>
      </c>
      <c r="S42" s="23">
        <v>1.0649999999999999</v>
      </c>
      <c r="T42" s="23">
        <v>1.3</v>
      </c>
      <c r="U42" s="18"/>
      <c r="V42" s="18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>
        <f>'[2]комплекты фурнитуры'!$C$17</f>
        <v>760</v>
      </c>
      <c r="AI42" s="16"/>
      <c r="AJ42" s="16"/>
      <c r="AK42" s="16">
        <f>'[2]комплекты фурнитуры'!$C$72</f>
        <v>210</v>
      </c>
      <c r="AL42" s="16">
        <f>'[2]комплекты фурнитуры'!$C$73</f>
        <v>30</v>
      </c>
      <c r="AM42" s="19">
        <f>SUM(Прайс[[#This Row],[КФ НСТ11]:[KFPr-SB-ZPG]])</f>
        <v>1000</v>
      </c>
      <c r="AN42" s="19"/>
      <c r="AO42" s="16"/>
      <c r="AP42" s="16"/>
      <c r="AQ42" s="16"/>
      <c r="AR42" s="19">
        <f>'[2]комплекты фурнитуры'!$C$62</f>
        <v>620</v>
      </c>
      <c r="AS42" s="19">
        <f>'[2]комплекты фурнитуры'!$C$63</f>
        <v>130</v>
      </c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20">
        <f>Прайс[[#This Row],[КФ петли SENS накл.110 гр. с крестообр. Планкой]]*2</f>
        <v>1240</v>
      </c>
      <c r="BV42" s="21">
        <f>Прайс[[#This Row],[KFP-SB-N110]]*2</f>
        <v>260</v>
      </c>
      <c r="BW42" s="21">
        <f>Прайс[[#This Row],[KFP-SB-N110]]*2</f>
        <v>260</v>
      </c>
      <c r="BX42" s="22">
        <v>1</v>
      </c>
      <c r="BY42" s="22">
        <v>2</v>
      </c>
      <c r="BZ42" s="22" t="s">
        <v>112</v>
      </c>
      <c r="CA42" s="21" t="s">
        <v>98</v>
      </c>
      <c r="CB42" s="22">
        <v>1</v>
      </c>
      <c r="CC42" s="22" t="s">
        <v>96</v>
      </c>
      <c r="CD42" s="22"/>
      <c r="CE42" s="22"/>
      <c r="CF42" s="22">
        <v>1</v>
      </c>
      <c r="CG42" s="22">
        <v>0</v>
      </c>
      <c r="CH42" s="22">
        <v>0</v>
      </c>
      <c r="CI42" s="22"/>
      <c r="CJ42" s="22"/>
      <c r="CK42" s="22"/>
      <c r="CL42" s="22"/>
      <c r="CM42" s="22" t="s">
        <v>96</v>
      </c>
      <c r="CN42" s="22">
        <f>IF(Прайс[[#This Row],[Наличие подсветки на нижнем горизонте]]="Нет",0,'[2]комплекты фурнитуры'!$C$91)</f>
        <v>0</v>
      </c>
      <c r="CO42"/>
      <c r="CP42"/>
      <c r="CQ42"/>
      <c r="CR42"/>
      <c r="CS42"/>
      <c r="CT42"/>
      <c r="CU42"/>
    </row>
    <row r="43" spans="1:99" ht="15" customHeight="1" x14ac:dyDescent="0.25">
      <c r="A43" s="31" t="s">
        <v>197</v>
      </c>
      <c r="B43" s="16" t="s">
        <v>176</v>
      </c>
      <c r="C43" s="16" t="s">
        <v>198</v>
      </c>
      <c r="D43" s="16" t="s">
        <v>101</v>
      </c>
      <c r="E43" s="16" t="s">
        <v>96</v>
      </c>
      <c r="F43" s="16" t="s">
        <v>196</v>
      </c>
      <c r="G43" s="17">
        <v>440</v>
      </c>
      <c r="H43" s="17">
        <v>1210</v>
      </c>
      <c r="I43" s="17">
        <v>600</v>
      </c>
      <c r="J43" s="17">
        <v>900</v>
      </c>
      <c r="K43" s="17">
        <v>300</v>
      </c>
      <c r="L43" s="17">
        <v>400</v>
      </c>
      <c r="M43" s="44">
        <v>2860</v>
      </c>
      <c r="N43" s="21">
        <v>3550</v>
      </c>
      <c r="O43" s="49">
        <v>680</v>
      </c>
      <c r="P43" s="49">
        <v>500</v>
      </c>
      <c r="Q43" s="49">
        <f>IF(OR(Прайс[[#This Row],[Тип]]="Нижний",Прайс[[#This Row],[Тип]]="Пенал"),"560",IF(Прайс[[#This Row],[Тип]]="Верхний",315,0))</f>
        <v>315</v>
      </c>
      <c r="R43" s="23">
        <v>1.095</v>
      </c>
      <c r="S43" s="23">
        <v>1.0649999999999999</v>
      </c>
      <c r="T43" s="23">
        <v>1.3</v>
      </c>
      <c r="U43" s="18"/>
      <c r="V43" s="18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>
        <f>'[2]комплекты фурнитуры'!$C$17</f>
        <v>760</v>
      </c>
      <c r="AI43" s="16"/>
      <c r="AJ43" s="16"/>
      <c r="AK43" s="16">
        <f>'[2]комплекты фурнитуры'!$C$72</f>
        <v>210</v>
      </c>
      <c r="AL43" s="16">
        <f>'[2]комплекты фурнитуры'!$C$73</f>
        <v>30</v>
      </c>
      <c r="AM43" s="19">
        <f>SUM(Прайс[[#This Row],[КФ НСТ11]:[KFPr-SB-ZPG]])</f>
        <v>1000</v>
      </c>
      <c r="AN43" s="19"/>
      <c r="AO43" s="16"/>
      <c r="AP43" s="16"/>
      <c r="AQ43" s="16"/>
      <c r="AR43" s="19">
        <f>'[2]комплекты фурнитуры'!$C$62</f>
        <v>620</v>
      </c>
      <c r="AS43" s="19">
        <f>'[2]комплекты фурнитуры'!$C$63</f>
        <v>130</v>
      </c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20">
        <f>Прайс[[#This Row],[КФ петли SENS накл.110 гр. с крестообр. Планкой]]*4</f>
        <v>2480</v>
      </c>
      <c r="BV43" s="21">
        <f>Прайс[[#This Row],[KFP-SB-N110]]*4</f>
        <v>520</v>
      </c>
      <c r="BW43" s="21">
        <f>Прайс[[#This Row],[KFP-SB-N110]]*4</f>
        <v>520</v>
      </c>
      <c r="BX43" s="22">
        <v>1</v>
      </c>
      <c r="BY43" s="22">
        <v>2</v>
      </c>
      <c r="BZ43" s="22" t="s">
        <v>112</v>
      </c>
      <c r="CA43" s="21" t="s">
        <v>98</v>
      </c>
      <c r="CB43" s="22">
        <v>1</v>
      </c>
      <c r="CC43" s="22" t="s">
        <v>96</v>
      </c>
      <c r="CD43" s="22"/>
      <c r="CE43" s="22"/>
      <c r="CF43" s="22">
        <v>2</v>
      </c>
      <c r="CG43" s="22">
        <v>0</v>
      </c>
      <c r="CH43" s="22">
        <v>0</v>
      </c>
      <c r="CI43" s="22"/>
      <c r="CJ43" s="22"/>
      <c r="CK43" s="22"/>
      <c r="CL43" s="22"/>
      <c r="CM43" s="22" t="s">
        <v>96</v>
      </c>
      <c r="CN43" s="22">
        <f>IF(Прайс[[#This Row],[Наличие подсветки на нижнем горизонте]]="Нет",0,'[2]комплекты фурнитуры'!$C$91)</f>
        <v>0</v>
      </c>
      <c r="CO43"/>
      <c r="CP43"/>
      <c r="CQ43"/>
      <c r="CR43"/>
      <c r="CS43"/>
      <c r="CT43"/>
      <c r="CU43"/>
    </row>
    <row r="44" spans="1:99" ht="15" customHeight="1" x14ac:dyDescent="0.25">
      <c r="A44" s="30" t="s">
        <v>199</v>
      </c>
      <c r="B44" s="16" t="s">
        <v>176</v>
      </c>
      <c r="C44" s="16" t="s">
        <v>200</v>
      </c>
      <c r="D44" s="16" t="s">
        <v>201</v>
      </c>
      <c r="E44" s="16" t="s">
        <v>96</v>
      </c>
      <c r="F44" s="16" t="s">
        <v>97</v>
      </c>
      <c r="G44" s="17">
        <v>360</v>
      </c>
      <c r="H44" s="17">
        <v>1250</v>
      </c>
      <c r="I44" s="17">
        <v>600</v>
      </c>
      <c r="J44" s="17">
        <v>600</v>
      </c>
      <c r="K44" s="17">
        <v>600</v>
      </c>
      <c r="L44" s="17">
        <v>600</v>
      </c>
      <c r="M44" s="44">
        <v>2820</v>
      </c>
      <c r="N44" s="21">
        <v>3430</v>
      </c>
      <c r="O44" s="49">
        <v>720</v>
      </c>
      <c r="P44" s="49">
        <v>600</v>
      </c>
      <c r="Q44" s="49">
        <v>600</v>
      </c>
      <c r="R44" s="23">
        <v>1.08</v>
      </c>
      <c r="S44" s="23">
        <v>1.0649999999999999</v>
      </c>
      <c r="T44" s="23">
        <v>0</v>
      </c>
      <c r="U44" s="18"/>
      <c r="V44" s="18"/>
      <c r="W44" s="16"/>
      <c r="X44" s="16"/>
      <c r="Y44" s="16"/>
      <c r="Z44" s="16"/>
      <c r="AA44" s="16"/>
      <c r="AB44" s="16"/>
      <c r="AC44" s="16"/>
      <c r="AD44" s="16">
        <f>'[2]комплекты фурнитуры'!$C$13</f>
        <v>740</v>
      </c>
      <c r="AE44" s="16"/>
      <c r="AF44" s="16"/>
      <c r="AG44" s="16"/>
      <c r="AH44" s="16"/>
      <c r="AI44" s="16"/>
      <c r="AJ44" s="16"/>
      <c r="AK44" s="16">
        <f>'[2]комплекты фурнитуры'!$C$72</f>
        <v>210</v>
      </c>
      <c r="AL44" s="16">
        <f>'[2]комплекты фурнитуры'!$C$73</f>
        <v>30</v>
      </c>
      <c r="AM44" s="19">
        <f>SUM(Прайс[[#This Row],[КФ НСТ11]:[KFPr-SB-ZPG]])</f>
        <v>980</v>
      </c>
      <c r="AN44" s="19"/>
      <c r="AO44" s="16"/>
      <c r="AP44" s="16"/>
      <c r="AQ44" s="16"/>
      <c r="AR44" s="19"/>
      <c r="AS44" s="19"/>
      <c r="AT44" s="19"/>
      <c r="AU44" s="19"/>
      <c r="AV44" s="19">
        <f>'[2]комплекты фурнитуры'!$C$54</f>
        <v>1560</v>
      </c>
      <c r="AW44" s="19">
        <f>'[2]комплекты фурнитуры'!$C$55</f>
        <v>190</v>
      </c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20">
        <f>Прайс[[#This Row],[КKFP-SB-GT45]]*2</f>
        <v>3120</v>
      </c>
      <c r="BV44" s="21">
        <f>Прайс[[#This Row],[KFP-SB-N45]]*2</f>
        <v>380</v>
      </c>
      <c r="BW44" s="21">
        <f>Прайс[[#This Row],[KFP-SB-N45]]*2</f>
        <v>380</v>
      </c>
      <c r="BX44" s="22">
        <v>0</v>
      </c>
      <c r="BY44" s="22">
        <v>3</v>
      </c>
      <c r="BZ44" s="22" t="s">
        <v>112</v>
      </c>
      <c r="CA44" s="21" t="s">
        <v>98</v>
      </c>
      <c r="CB44" s="22">
        <v>1</v>
      </c>
      <c r="CC44" s="22" t="s">
        <v>96</v>
      </c>
      <c r="CD44" s="22"/>
      <c r="CE44" s="22"/>
      <c r="CF44" s="22">
        <v>1</v>
      </c>
      <c r="CG44" s="22">
        <v>0</v>
      </c>
      <c r="CH44" s="22">
        <v>0</v>
      </c>
      <c r="CI44" s="22"/>
      <c r="CJ44" s="22"/>
      <c r="CK44" s="22"/>
      <c r="CL44" s="22"/>
      <c r="CM44" s="22" t="s">
        <v>96</v>
      </c>
      <c r="CN44" s="22">
        <f>IF(Прайс[[#This Row],[Наличие подсветки на нижнем горизонте]]="Нет",0,'[2]комплекты фурнитуры'!$C$91)</f>
        <v>0</v>
      </c>
      <c r="CO44"/>
      <c r="CP44"/>
      <c r="CQ44"/>
      <c r="CR44"/>
      <c r="CS44"/>
      <c r="CT44"/>
      <c r="CU44"/>
    </row>
    <row r="45" spans="1:99" ht="15" customHeight="1" x14ac:dyDescent="0.25">
      <c r="A45" s="30" t="s">
        <v>202</v>
      </c>
      <c r="B45" s="16" t="s">
        <v>176</v>
      </c>
      <c r="C45" s="16" t="s">
        <v>203</v>
      </c>
      <c r="D45" s="16" t="s">
        <v>101</v>
      </c>
      <c r="E45" s="16" t="s">
        <v>96</v>
      </c>
      <c r="F45" s="16" t="s">
        <v>138</v>
      </c>
      <c r="G45" s="17">
        <v>601</v>
      </c>
      <c r="H45" s="17">
        <v>1250</v>
      </c>
      <c r="I45" s="17">
        <v>450</v>
      </c>
      <c r="J45" s="17">
        <v>450</v>
      </c>
      <c r="K45" s="17">
        <v>315</v>
      </c>
      <c r="L45" s="17">
        <v>350</v>
      </c>
      <c r="M45" s="44">
        <v>1710</v>
      </c>
      <c r="N45" s="21">
        <v>2040</v>
      </c>
      <c r="O45" s="49">
        <v>720</v>
      </c>
      <c r="P45" s="49">
        <v>450</v>
      </c>
      <c r="Q45" s="49">
        <f>IF(OR(Прайс[[#This Row],[Тип]]="Нижний",Прайс[[#This Row],[Тип]]="Пенал"),"560",IF(Прайс[[#This Row],[Тип]]="Верхний",315,0))</f>
        <v>315</v>
      </c>
      <c r="R45" s="23">
        <v>1.095</v>
      </c>
      <c r="S45" s="23">
        <v>1.0649999999999999</v>
      </c>
      <c r="T45" s="23">
        <v>1.3</v>
      </c>
      <c r="U45" s="18"/>
      <c r="V45" s="18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>
        <f>'[2]комплекты фурнитуры'!$C$16</f>
        <v>340</v>
      </c>
      <c r="AH45" s="16"/>
      <c r="AI45" s="16"/>
      <c r="AJ45" s="16"/>
      <c r="AK45" s="16">
        <f>'[2]комплекты фурнитуры'!$C$72</f>
        <v>210</v>
      </c>
      <c r="AL45" s="16">
        <f>'[2]комплекты фурнитуры'!$C$73</f>
        <v>30</v>
      </c>
      <c r="AM45" s="19">
        <f>SUM(Прайс[[#This Row],[КФ НСТ11]:[KFPr-SB-ZPG]])</f>
        <v>580</v>
      </c>
      <c r="AN45" s="19"/>
      <c r="AO45" s="16"/>
      <c r="AP45" s="16"/>
      <c r="AQ45" s="16"/>
      <c r="AR45" s="19">
        <f>'[2]комплекты фурнитуры'!$C$62</f>
        <v>620</v>
      </c>
      <c r="AS45" s="19">
        <f>'[2]комплекты фурнитуры'!$C$63</f>
        <v>130</v>
      </c>
      <c r="AT45" s="19"/>
      <c r="AU45" s="19"/>
      <c r="AV45" s="19"/>
      <c r="AW45" s="19"/>
      <c r="AX45" s="19">
        <f>'[2]комплекты фурнитуры'!$C$41</f>
        <v>1600</v>
      </c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20">
        <f>Прайс[[#This Row],[КФ петли SENS накл.110 гр. с крестообр. Планкой]]*2+Прайс[[#This Row],[KFS-SB-45 (посудосушители)]]</f>
        <v>2840</v>
      </c>
      <c r="BV45" s="21">
        <f>Прайс[[#This Row],[KFP-SB-N110]]*2+Прайс[[#This Row],[KFS-SB-45 (посудосушители)]]</f>
        <v>1860</v>
      </c>
      <c r="BW45" s="21">
        <f>Прайс[[#This Row],[KFP-SB-N110]]*2+Прайс[[#This Row],[KFS-SB-45 (посудосушители)]]</f>
        <v>1860</v>
      </c>
      <c r="BX45" s="22">
        <v>0</v>
      </c>
      <c r="BY45" s="22">
        <v>2</v>
      </c>
      <c r="BZ45" s="22" t="s">
        <v>112</v>
      </c>
      <c r="CA45" s="21" t="s">
        <v>98</v>
      </c>
      <c r="CB45" s="22">
        <v>1</v>
      </c>
      <c r="CC45" s="22" t="s">
        <v>112</v>
      </c>
      <c r="CD45" s="22"/>
      <c r="CE45" s="22"/>
      <c r="CF45" s="22">
        <v>1</v>
      </c>
      <c r="CG45" s="22">
        <v>0</v>
      </c>
      <c r="CH45" s="22">
        <v>0</v>
      </c>
      <c r="CI45" s="22"/>
      <c r="CJ45" s="22"/>
      <c r="CK45" s="22"/>
      <c r="CL45" s="22"/>
      <c r="CM45" s="22" t="s">
        <v>96</v>
      </c>
      <c r="CN45" s="22">
        <f>IF(Прайс[[#This Row],[Наличие подсветки на нижнем горизонте]]="Нет",0,'[2]комплекты фурнитуры'!$C$91)</f>
        <v>0</v>
      </c>
      <c r="CO45"/>
      <c r="CP45"/>
      <c r="CQ45"/>
      <c r="CR45"/>
      <c r="CS45"/>
      <c r="CT45"/>
      <c r="CU45"/>
    </row>
    <row r="46" spans="1:99" ht="15" customHeight="1" x14ac:dyDescent="0.25">
      <c r="A46" s="30" t="s">
        <v>204</v>
      </c>
      <c r="B46" s="16" t="s">
        <v>176</v>
      </c>
      <c r="C46" s="16" t="s">
        <v>205</v>
      </c>
      <c r="D46" s="16" t="s">
        <v>101</v>
      </c>
      <c r="E46" s="16" t="s">
        <v>96</v>
      </c>
      <c r="F46" s="16" t="s">
        <v>138</v>
      </c>
      <c r="G46" s="17">
        <v>601</v>
      </c>
      <c r="H46" s="17">
        <v>1250</v>
      </c>
      <c r="I46" s="17">
        <v>600</v>
      </c>
      <c r="J46" s="17">
        <v>600</v>
      </c>
      <c r="K46" s="17">
        <v>315</v>
      </c>
      <c r="L46" s="17">
        <v>350</v>
      </c>
      <c r="M46" s="44">
        <v>1710</v>
      </c>
      <c r="N46" s="21">
        <v>2040</v>
      </c>
      <c r="O46" s="49">
        <v>720</v>
      </c>
      <c r="P46" s="49">
        <v>450</v>
      </c>
      <c r="Q46" s="49">
        <f>IF(OR(Прайс[[#This Row],[Тип]]="Нижний",Прайс[[#This Row],[Тип]]="Пенал"),"560",IF(Прайс[[#This Row],[Тип]]="Верхний",315,0))</f>
        <v>315</v>
      </c>
      <c r="R46" s="23">
        <v>1.095</v>
      </c>
      <c r="S46" s="23">
        <v>1.0649999999999999</v>
      </c>
      <c r="T46" s="23">
        <v>1.3</v>
      </c>
      <c r="U46" s="18"/>
      <c r="V46" s="18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>
        <f>'[2]комплекты фурнитуры'!$C$16</f>
        <v>340</v>
      </c>
      <c r="AH46" s="16"/>
      <c r="AI46" s="16"/>
      <c r="AJ46" s="16"/>
      <c r="AK46" s="16">
        <f>'[2]комплекты фурнитуры'!$C$72</f>
        <v>210</v>
      </c>
      <c r="AL46" s="16">
        <f>'[2]комплекты фурнитуры'!$C$73</f>
        <v>30</v>
      </c>
      <c r="AM46" s="19">
        <f>SUM(Прайс[[#This Row],[КФ НСТ11]:[KFPr-SB-ZPG]])</f>
        <v>580</v>
      </c>
      <c r="AN46" s="19"/>
      <c r="AO46" s="16"/>
      <c r="AP46" s="16"/>
      <c r="AQ46" s="16"/>
      <c r="AR46" s="19">
        <f>'[2]комплекты фурнитуры'!$C$62</f>
        <v>620</v>
      </c>
      <c r="AS46" s="19">
        <f>'[2]комплекты фурнитуры'!$C$63</f>
        <v>130</v>
      </c>
      <c r="AT46" s="19"/>
      <c r="AU46" s="19"/>
      <c r="AV46" s="19"/>
      <c r="AW46" s="19"/>
      <c r="AX46" s="19"/>
      <c r="AY46" s="19">
        <f>'[2]комплекты фурнитуры'!$C$38</f>
        <v>4920</v>
      </c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20">
        <f>Прайс[[#This Row],[КФ петли SENS накл.110 гр. с крестообр. Планкой]]*2+Прайс[[#This Row],[КФ Сушка AFF 600]]</f>
        <v>6160</v>
      </c>
      <c r="BV46" s="21">
        <f>Прайс[[#This Row],[KFP-SB-N110]]*2+Прайс[[#This Row],[КФ Сушка AFF 600]]</f>
        <v>5180</v>
      </c>
      <c r="BW46" s="21">
        <f>Прайс[[#This Row],[KFP-SB-N110]]*2+Прайс[[#This Row],[КФ Сушка AFF 600]]</f>
        <v>5180</v>
      </c>
      <c r="BX46" s="22">
        <v>0</v>
      </c>
      <c r="BY46" s="22">
        <v>2</v>
      </c>
      <c r="BZ46" s="22" t="s">
        <v>112</v>
      </c>
      <c r="CA46" s="21" t="s">
        <v>98</v>
      </c>
      <c r="CB46" s="22">
        <v>1</v>
      </c>
      <c r="CC46" s="22" t="s">
        <v>112</v>
      </c>
      <c r="CD46" s="22"/>
      <c r="CE46" s="22"/>
      <c r="CF46" s="22">
        <v>1</v>
      </c>
      <c r="CG46" s="22">
        <v>0</v>
      </c>
      <c r="CH46" s="22">
        <v>0</v>
      </c>
      <c r="CI46" s="22"/>
      <c r="CJ46" s="22"/>
      <c r="CK46" s="22"/>
      <c r="CL46" s="22"/>
      <c r="CM46" s="22" t="s">
        <v>96</v>
      </c>
      <c r="CN46" s="22">
        <f>IF(Прайс[[#This Row],[Наличие подсветки на нижнем горизонте]]="Нет",0,'[2]комплекты фурнитуры'!$C$91)</f>
        <v>0</v>
      </c>
      <c r="CO46"/>
      <c r="CP46"/>
      <c r="CQ46"/>
      <c r="CR46"/>
      <c r="CS46"/>
      <c r="CT46"/>
      <c r="CU46"/>
    </row>
    <row r="47" spans="1:99" ht="15" customHeight="1" x14ac:dyDescent="0.25">
      <c r="A47" s="30" t="s">
        <v>206</v>
      </c>
      <c r="B47" s="16" t="s">
        <v>176</v>
      </c>
      <c r="C47" s="16" t="s">
        <v>207</v>
      </c>
      <c r="D47" s="16" t="s">
        <v>101</v>
      </c>
      <c r="E47" s="16" t="s">
        <v>96</v>
      </c>
      <c r="F47" s="16" t="s">
        <v>138</v>
      </c>
      <c r="G47" s="17">
        <v>601</v>
      </c>
      <c r="H47" s="17">
        <v>1250</v>
      </c>
      <c r="I47" s="17">
        <v>600</v>
      </c>
      <c r="J47" s="17">
        <v>600</v>
      </c>
      <c r="K47" s="17">
        <v>315</v>
      </c>
      <c r="L47" s="17">
        <v>350</v>
      </c>
      <c r="M47" s="44">
        <v>1710</v>
      </c>
      <c r="N47" s="21">
        <v>2040</v>
      </c>
      <c r="O47" s="49">
        <v>720</v>
      </c>
      <c r="P47" s="49">
        <v>450</v>
      </c>
      <c r="Q47" s="49">
        <f>IF(OR(Прайс[[#This Row],[Тип]]="Нижний",Прайс[[#This Row],[Тип]]="Пенал"),"560",IF(Прайс[[#This Row],[Тип]]="Верхний",315,0))</f>
        <v>315</v>
      </c>
      <c r="R47" s="23">
        <v>1.095</v>
      </c>
      <c r="S47" s="23">
        <v>1.0649999999999999</v>
      </c>
      <c r="T47" s="23">
        <v>1.3</v>
      </c>
      <c r="U47" s="18"/>
      <c r="V47" s="18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>
        <f>'[2]комплекты фурнитуры'!$C$16</f>
        <v>340</v>
      </c>
      <c r="AH47" s="16"/>
      <c r="AI47" s="16"/>
      <c r="AJ47" s="16"/>
      <c r="AK47" s="16">
        <f>'[2]комплекты фурнитуры'!$C$72</f>
        <v>210</v>
      </c>
      <c r="AL47" s="16">
        <f>'[2]комплекты фурнитуры'!$C$73</f>
        <v>30</v>
      </c>
      <c r="AM47" s="19">
        <f>SUM(Прайс[[#This Row],[КФ НСТ11]:[KFPr-SB-ZPG]])</f>
        <v>580</v>
      </c>
      <c r="AN47" s="19"/>
      <c r="AO47" s="16"/>
      <c r="AP47" s="16"/>
      <c r="AQ47" s="16"/>
      <c r="AR47" s="19">
        <f>'[2]комплекты фурнитуры'!$C$62</f>
        <v>620</v>
      </c>
      <c r="AS47" s="19">
        <f>'[2]комплекты фурнитуры'!$C$63</f>
        <v>130</v>
      </c>
      <c r="AT47" s="19"/>
      <c r="AU47" s="19"/>
      <c r="AV47" s="19"/>
      <c r="AW47" s="19"/>
      <c r="AX47" s="19"/>
      <c r="AY47" s="19">
        <f>'[2]комплекты фурнитуры'!$C$38</f>
        <v>4920</v>
      </c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20">
        <f>Прайс[[#This Row],[КФ петли SENS накл.110 гр. с крестообр. Планкой]]*4+Прайс[[#This Row],[КФ Сушка AFF 600]]</f>
        <v>7400</v>
      </c>
      <c r="BV47" s="21">
        <f>Прайс[[#This Row],[KFP-SB-N110]]*4+Прайс[[#This Row],[КФ Сушка AFF 600]]</f>
        <v>5440</v>
      </c>
      <c r="BW47" s="21">
        <f>Прайс[[#This Row],[KFP-SB-N110]]*4+Прайс[[#This Row],[КФ Сушка AFF 600]]</f>
        <v>5440</v>
      </c>
      <c r="BX47" s="22">
        <v>0</v>
      </c>
      <c r="BY47" s="22">
        <v>2</v>
      </c>
      <c r="BZ47" s="22" t="s">
        <v>96</v>
      </c>
      <c r="CA47" s="21" t="s">
        <v>127</v>
      </c>
      <c r="CB47" s="22">
        <v>1</v>
      </c>
      <c r="CC47" s="22" t="s">
        <v>112</v>
      </c>
      <c r="CD47" s="22"/>
      <c r="CE47" s="22"/>
      <c r="CF47" s="22">
        <v>2</v>
      </c>
      <c r="CG47" s="22">
        <v>0</v>
      </c>
      <c r="CH47" s="22">
        <v>0</v>
      </c>
      <c r="CI47" s="22"/>
      <c r="CJ47" s="22"/>
      <c r="CK47" s="22"/>
      <c r="CL47" s="22"/>
      <c r="CM47" s="22" t="s">
        <v>96</v>
      </c>
      <c r="CN47" s="22">
        <f>IF(Прайс[[#This Row],[Наличие подсветки на нижнем горизонте]]="Нет",0,'[2]комплекты фурнитуры'!$C$91)</f>
        <v>0</v>
      </c>
      <c r="CO47"/>
      <c r="CP47"/>
      <c r="CQ47"/>
      <c r="CR47"/>
      <c r="CS47"/>
      <c r="CT47"/>
      <c r="CU47"/>
    </row>
    <row r="48" spans="1:99" ht="15" customHeight="1" x14ac:dyDescent="0.25">
      <c r="A48" s="30" t="s">
        <v>208</v>
      </c>
      <c r="B48" s="16" t="s">
        <v>176</v>
      </c>
      <c r="C48" s="16" t="s">
        <v>209</v>
      </c>
      <c r="D48" s="16" t="s">
        <v>101</v>
      </c>
      <c r="E48" s="16" t="s">
        <v>96</v>
      </c>
      <c r="F48" s="16" t="s">
        <v>138</v>
      </c>
      <c r="G48" s="17">
        <v>601</v>
      </c>
      <c r="H48" s="17">
        <v>1250</v>
      </c>
      <c r="I48" s="17">
        <v>796</v>
      </c>
      <c r="J48" s="17">
        <v>796</v>
      </c>
      <c r="K48" s="17">
        <v>315</v>
      </c>
      <c r="L48" s="17">
        <v>350</v>
      </c>
      <c r="M48" s="44">
        <v>1710</v>
      </c>
      <c r="N48" s="21">
        <v>2040</v>
      </c>
      <c r="O48" s="49">
        <v>720</v>
      </c>
      <c r="P48" s="49">
        <v>450</v>
      </c>
      <c r="Q48" s="49">
        <f>IF(OR(Прайс[[#This Row],[Тип]]="Нижний",Прайс[[#This Row],[Тип]]="Пенал"),"560",IF(Прайс[[#This Row],[Тип]]="Верхний",315,0))</f>
        <v>315</v>
      </c>
      <c r="R48" s="23">
        <v>1.095</v>
      </c>
      <c r="S48" s="23">
        <v>1.0649999999999999</v>
      </c>
      <c r="T48" s="23">
        <v>1.3</v>
      </c>
      <c r="U48" s="18"/>
      <c r="V48" s="18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>
        <f>'[2]комплекты фурнитуры'!$C$16</f>
        <v>340</v>
      </c>
      <c r="AH48" s="16"/>
      <c r="AI48" s="16"/>
      <c r="AJ48" s="16"/>
      <c r="AK48" s="16">
        <f>'[2]комплекты фурнитуры'!$C$72</f>
        <v>210</v>
      </c>
      <c r="AL48" s="16">
        <f>'[2]комплекты фурнитуры'!$C$73</f>
        <v>30</v>
      </c>
      <c r="AM48" s="19">
        <f>SUM(Прайс[[#This Row],[КФ НСТ11]:[KFPr-SB-ZPG]])</f>
        <v>580</v>
      </c>
      <c r="AN48" s="19"/>
      <c r="AO48" s="16"/>
      <c r="AP48" s="16"/>
      <c r="AQ48" s="16"/>
      <c r="AR48" s="19">
        <f>'[2]комплекты фурнитуры'!$C$62</f>
        <v>620</v>
      </c>
      <c r="AS48" s="19">
        <f>'[2]комплекты фурнитуры'!$C$63</f>
        <v>130</v>
      </c>
      <c r="AT48" s="19"/>
      <c r="AU48" s="19"/>
      <c r="AV48" s="19"/>
      <c r="AW48" s="19"/>
      <c r="AX48" s="19"/>
      <c r="AY48" s="19"/>
      <c r="AZ48" s="19">
        <f>'[2]комплекты фурнитуры'!$C$39</f>
        <v>5530</v>
      </c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20">
        <f>Прайс[[#This Row],[КФ петли SENS накл.110 гр. с крестообр. Планкой]]*4+Прайс[[#This Row],[КФ Сушка AFF 800]]</f>
        <v>8010</v>
      </c>
      <c r="BV48" s="21">
        <f>Прайс[[#This Row],[KFP-SB-N110]]*4+Прайс[[#This Row],[КФ Сушка AFF 800]]</f>
        <v>6050</v>
      </c>
      <c r="BW48" s="21">
        <f>Прайс[[#This Row],[KFP-SB-N110]]*4+Прайс[[#This Row],[КФ Сушка AFF 800]]</f>
        <v>6050</v>
      </c>
      <c r="BX48" s="22">
        <v>0</v>
      </c>
      <c r="BY48" s="22">
        <v>2</v>
      </c>
      <c r="BZ48" s="22" t="s">
        <v>96</v>
      </c>
      <c r="CA48" s="21" t="s">
        <v>127</v>
      </c>
      <c r="CB48" s="22">
        <v>1</v>
      </c>
      <c r="CC48" s="22" t="s">
        <v>112</v>
      </c>
      <c r="CD48" s="22"/>
      <c r="CE48" s="22"/>
      <c r="CF48" s="22">
        <v>2</v>
      </c>
      <c r="CG48" s="22">
        <v>0</v>
      </c>
      <c r="CH48" s="22">
        <v>0</v>
      </c>
      <c r="CI48" s="22"/>
      <c r="CJ48" s="22"/>
      <c r="CK48" s="22"/>
      <c r="CL48" s="22"/>
      <c r="CM48" s="22" t="s">
        <v>96</v>
      </c>
      <c r="CN48" s="22">
        <f>IF(Прайс[[#This Row],[Наличие подсветки на нижнем горизонте]]="Нет",0,'[2]комплекты фурнитуры'!$C$91)</f>
        <v>0</v>
      </c>
      <c r="CO48"/>
      <c r="CP48"/>
      <c r="CQ48"/>
      <c r="CR48"/>
      <c r="CS48"/>
      <c r="CT48"/>
      <c r="CU48"/>
    </row>
    <row r="49" spans="1:99" ht="15" customHeight="1" x14ac:dyDescent="0.25">
      <c r="A49" s="30" t="s">
        <v>210</v>
      </c>
      <c r="B49" s="16" t="s">
        <v>176</v>
      </c>
      <c r="C49" s="16" t="s">
        <v>211</v>
      </c>
      <c r="D49" s="16" t="s">
        <v>101</v>
      </c>
      <c r="E49" s="16" t="s">
        <v>96</v>
      </c>
      <c r="F49" s="16" t="s">
        <v>138</v>
      </c>
      <c r="G49" s="17">
        <v>601</v>
      </c>
      <c r="H49" s="17">
        <v>1250</v>
      </c>
      <c r="I49" s="17">
        <v>896</v>
      </c>
      <c r="J49" s="17">
        <v>896</v>
      </c>
      <c r="K49" s="17">
        <v>315</v>
      </c>
      <c r="L49" s="17">
        <v>350</v>
      </c>
      <c r="M49" s="44">
        <v>1710</v>
      </c>
      <c r="N49" s="21">
        <v>2040</v>
      </c>
      <c r="O49" s="49">
        <v>720</v>
      </c>
      <c r="P49" s="49">
        <v>450</v>
      </c>
      <c r="Q49" s="49">
        <f>IF(OR(Прайс[[#This Row],[Тип]]="Нижний",Прайс[[#This Row],[Тип]]="Пенал"),"560",IF(Прайс[[#This Row],[Тип]]="Верхний",315,0))</f>
        <v>315</v>
      </c>
      <c r="R49" s="23">
        <v>1.095</v>
      </c>
      <c r="S49" s="23">
        <v>1.0649999999999999</v>
      </c>
      <c r="T49" s="23">
        <v>1.3</v>
      </c>
      <c r="U49" s="18"/>
      <c r="V49" s="18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>
        <f>'[2]комплекты фурнитуры'!$C$16</f>
        <v>340</v>
      </c>
      <c r="AH49" s="16"/>
      <c r="AI49" s="16"/>
      <c r="AJ49" s="16"/>
      <c r="AK49" s="16">
        <f>'[2]комплекты фурнитуры'!$C$72</f>
        <v>210</v>
      </c>
      <c r="AL49" s="16">
        <f>'[2]комплекты фурнитуры'!$C$73</f>
        <v>30</v>
      </c>
      <c r="AM49" s="19">
        <f>SUM(Прайс[[#This Row],[КФ НСТ11]:[KFPr-SB-ZPG]])</f>
        <v>580</v>
      </c>
      <c r="AN49" s="19"/>
      <c r="AO49" s="16"/>
      <c r="AP49" s="16"/>
      <c r="AQ49" s="16"/>
      <c r="AR49" s="19">
        <f>'[2]комплекты фурнитуры'!$C$62</f>
        <v>620</v>
      </c>
      <c r="AS49" s="19">
        <f>'[2]комплекты фурнитуры'!$C$63</f>
        <v>130</v>
      </c>
      <c r="AT49" s="19"/>
      <c r="AU49" s="19"/>
      <c r="AV49" s="19"/>
      <c r="AW49" s="19"/>
      <c r="AX49" s="19"/>
      <c r="AY49" s="19"/>
      <c r="AZ49" s="19"/>
      <c r="BA49" s="19">
        <f>'[2]комплекты фурнитуры'!$C$40</f>
        <v>6130</v>
      </c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20">
        <f>Прайс[[#This Row],[КФ петли SENS накл.110 гр. с крестообр. Планкой]]*4+Прайс[[#This Row],[КФ Сушка AFF 900]]</f>
        <v>8610</v>
      </c>
      <c r="BV49" s="21">
        <f>Прайс[[#This Row],[KFP-SB-N110]]*4+Прайс[[#This Row],[КФ Сушка AFF 900]]</f>
        <v>6650</v>
      </c>
      <c r="BW49" s="21">
        <f>Прайс[[#This Row],[KFP-SB-N110]]*4+Прайс[[#This Row],[КФ Сушка AFF 900]]</f>
        <v>6650</v>
      </c>
      <c r="BX49" s="22">
        <v>0</v>
      </c>
      <c r="BY49" s="22">
        <v>2</v>
      </c>
      <c r="BZ49" s="22" t="s">
        <v>96</v>
      </c>
      <c r="CA49" s="21" t="s">
        <v>127</v>
      </c>
      <c r="CB49" s="22">
        <v>1</v>
      </c>
      <c r="CC49" s="22" t="s">
        <v>112</v>
      </c>
      <c r="CD49" s="22"/>
      <c r="CE49" s="22"/>
      <c r="CF49" s="22">
        <v>2</v>
      </c>
      <c r="CG49" s="22">
        <v>0</v>
      </c>
      <c r="CH49" s="22">
        <v>0</v>
      </c>
      <c r="CI49" s="22"/>
      <c r="CJ49" s="22"/>
      <c r="CK49" s="22"/>
      <c r="CL49" s="22"/>
      <c r="CM49" s="22" t="s">
        <v>96</v>
      </c>
      <c r="CN49" s="22">
        <f>IF(Прайс[[#This Row],[Наличие подсветки на нижнем горизонте]]="Нет",0,'[2]комплекты фурнитуры'!$C$91)</f>
        <v>0</v>
      </c>
      <c r="CO49"/>
      <c r="CP49"/>
      <c r="CQ49"/>
      <c r="CR49"/>
      <c r="CS49"/>
      <c r="CT49"/>
      <c r="CU49"/>
    </row>
    <row r="50" spans="1:99" ht="15" customHeight="1" x14ac:dyDescent="0.25">
      <c r="A50" s="30" t="s">
        <v>212</v>
      </c>
      <c r="B50" s="16" t="s">
        <v>176</v>
      </c>
      <c r="C50" s="16" t="s">
        <v>213</v>
      </c>
      <c r="D50" s="16" t="s">
        <v>101</v>
      </c>
      <c r="E50" s="16" t="s">
        <v>96</v>
      </c>
      <c r="F50" s="16" t="s">
        <v>138</v>
      </c>
      <c r="G50" s="17">
        <v>720</v>
      </c>
      <c r="H50" s="17">
        <v>720</v>
      </c>
      <c r="I50" s="17">
        <v>450</v>
      </c>
      <c r="J50" s="17">
        <v>450</v>
      </c>
      <c r="K50" s="17">
        <v>315</v>
      </c>
      <c r="L50" s="17">
        <v>315</v>
      </c>
      <c r="M50" s="44">
        <v>1710</v>
      </c>
      <c r="N50" s="21">
        <v>2040</v>
      </c>
      <c r="O50" s="49">
        <v>720</v>
      </c>
      <c r="P50" s="49">
        <v>450</v>
      </c>
      <c r="Q50" s="49">
        <f>IF(OR(Прайс[[#This Row],[Тип]]="Нижний",Прайс[[#This Row],[Тип]]="Пенал"),"560",IF(Прайс[[#This Row],[Тип]]="Верхний",315,0))</f>
        <v>315</v>
      </c>
      <c r="R50" s="23">
        <v>1.08</v>
      </c>
      <c r="S50" s="23">
        <v>1.0649999999999999</v>
      </c>
      <c r="T50" s="23">
        <v>1.3</v>
      </c>
      <c r="U50" s="18"/>
      <c r="V50" s="18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>
        <f>'[2]комплекты фурнитуры'!$C$16</f>
        <v>340</v>
      </c>
      <c r="AH50" s="16"/>
      <c r="AI50" s="16"/>
      <c r="AJ50" s="16"/>
      <c r="AK50" s="16">
        <f>'[2]комплекты фурнитуры'!$C$72</f>
        <v>210</v>
      </c>
      <c r="AL50" s="16">
        <f>'[2]комплекты фурнитуры'!$C$73</f>
        <v>30</v>
      </c>
      <c r="AM50" s="19">
        <f>SUM(Прайс[[#This Row],[КФ НСТ11]:[KFPr-SB-ZPG]])</f>
        <v>580</v>
      </c>
      <c r="AN50" s="19"/>
      <c r="AO50" s="16"/>
      <c r="AP50" s="16"/>
      <c r="AQ50" s="16"/>
      <c r="AR50" s="19"/>
      <c r="AS50" s="19"/>
      <c r="AT50" s="19"/>
      <c r="AU50" s="19"/>
      <c r="AV50" s="19"/>
      <c r="AW50" s="19"/>
      <c r="AX50" s="19">
        <f>'[2]комплекты фурнитуры'!$C$41</f>
        <v>1600</v>
      </c>
      <c r="AY50" s="19"/>
      <c r="AZ50" s="19"/>
      <c r="BA50" s="19"/>
      <c r="BB50" s="19"/>
      <c r="BC50" s="19"/>
      <c r="BD50" s="19"/>
      <c r="BE50" s="19">
        <f>'[2]комплекты фурнитуры'!$C$69</f>
        <v>13990</v>
      </c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20">
        <f>Прайс[[#This Row],[KFS-SB-45 (посудосушители)]]+Прайс[[#This Row],[KFP-SB-PPHF_W]]</f>
        <v>15590</v>
      </c>
      <c r="BV50" s="20">
        <f>Прайс[[#This Row],[KFS-SB-45 (посудосушители)]]+Прайс[[#This Row],[KFP-SB-PPHF_W]]</f>
        <v>15590</v>
      </c>
      <c r="BW50" s="20">
        <f>Прайс[[#This Row],[KFS-SB-45 (посудосушители)]]+Прайс[[#This Row],[KFP-SB-PPHF_W]]</f>
        <v>15590</v>
      </c>
      <c r="BX50" s="22">
        <v>0</v>
      </c>
      <c r="BY50" s="22">
        <v>0</v>
      </c>
      <c r="BZ50" s="22" t="s">
        <v>96</v>
      </c>
      <c r="CA50" s="21" t="s">
        <v>139</v>
      </c>
      <c r="CB50" s="22">
        <v>0</v>
      </c>
      <c r="CC50" s="22" t="s">
        <v>96</v>
      </c>
      <c r="CD50" s="22"/>
      <c r="CE50" s="22"/>
      <c r="CF50" s="22">
        <v>2</v>
      </c>
      <c r="CG50" s="22">
        <v>0</v>
      </c>
      <c r="CH50" s="22">
        <v>0</v>
      </c>
      <c r="CI50" s="22"/>
      <c r="CJ50" s="22"/>
      <c r="CK50" s="22"/>
      <c r="CL50" s="22"/>
      <c r="CM50" s="22" t="s">
        <v>96</v>
      </c>
      <c r="CN50" s="22">
        <f>IF(Прайс[[#This Row],[Наличие подсветки на нижнем горизонте]]="Нет",0,'[2]комплекты фурнитуры'!$C$91)</f>
        <v>0</v>
      </c>
      <c r="CO50"/>
      <c r="CP50"/>
      <c r="CQ50"/>
      <c r="CR50"/>
      <c r="CS50"/>
      <c r="CT50"/>
      <c r="CU50"/>
    </row>
    <row r="51" spans="1:99" ht="15" customHeight="1" x14ac:dyDescent="0.25">
      <c r="A51" s="32" t="s">
        <v>214</v>
      </c>
      <c r="B51" s="16" t="s">
        <v>176</v>
      </c>
      <c r="C51" s="16" t="s">
        <v>215</v>
      </c>
      <c r="D51" s="16" t="s">
        <v>101</v>
      </c>
      <c r="E51" s="16" t="s">
        <v>96</v>
      </c>
      <c r="F51" s="16" t="s">
        <v>138</v>
      </c>
      <c r="G51" s="17">
        <v>240</v>
      </c>
      <c r="H51" s="17">
        <v>600</v>
      </c>
      <c r="I51" s="17">
        <v>446</v>
      </c>
      <c r="J51" s="17">
        <v>446</v>
      </c>
      <c r="K51" s="17">
        <v>315</v>
      </c>
      <c r="L51" s="17">
        <v>360</v>
      </c>
      <c r="M51" s="44">
        <v>1710</v>
      </c>
      <c r="N51" s="21">
        <v>2130</v>
      </c>
      <c r="O51" s="49">
        <v>720</v>
      </c>
      <c r="P51" s="49">
        <v>300</v>
      </c>
      <c r="Q51" s="49">
        <f>IF(OR(Прайс[[#This Row],[Тип]]="Нижний",Прайс[[#This Row],[Тип]]="Пенал"),"560",IF(Прайс[[#This Row],[Тип]]="Верхний",315,0))</f>
        <v>315</v>
      </c>
      <c r="R51" s="23">
        <v>1.08</v>
      </c>
      <c r="S51" s="23">
        <v>1.0649999999999999</v>
      </c>
      <c r="T51" s="23">
        <v>1.3</v>
      </c>
      <c r="U51" s="18"/>
      <c r="V51" s="18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'[2]комплекты фурнитуры'!$C$16</f>
        <v>340</v>
      </c>
      <c r="AH51" s="16"/>
      <c r="AI51" s="16"/>
      <c r="AJ51" s="16"/>
      <c r="AK51" s="16">
        <f>'[2]комплекты фурнитуры'!$C$72</f>
        <v>210</v>
      </c>
      <c r="AL51" s="16">
        <f>'[2]комплекты фурнитуры'!$C$73</f>
        <v>30</v>
      </c>
      <c r="AM51" s="19">
        <f>SUM(Прайс[[#This Row],[КФ НСТ11]:[KFPr-SB-ZPG]])</f>
        <v>580</v>
      </c>
      <c r="AN51" s="19"/>
      <c r="AO51" s="16"/>
      <c r="AP51" s="16"/>
      <c r="AQ51" s="16"/>
      <c r="AR51" s="19"/>
      <c r="AS51" s="19"/>
      <c r="AT51" s="19"/>
      <c r="AU51" s="19"/>
      <c r="AV51" s="19"/>
      <c r="AW51" s="19"/>
      <c r="AX51" s="19">
        <f>'[2]комплекты фурнитуры'!D49</f>
        <v>1000</v>
      </c>
      <c r="AY51" s="19"/>
      <c r="AZ51" s="19"/>
      <c r="BA51" s="19"/>
      <c r="BB51" s="19">
        <f>'[2]комплекты фурнитуры'!$C$67</f>
        <v>6080</v>
      </c>
      <c r="BC51" s="19">
        <f>'[2]комплекты фурнитуры'!$C$68</f>
        <v>6940</v>
      </c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20">
        <f>Прайс[[#This Row],[KFP-SP-PPGK]]+Прайс[[#This Row],[KFS-SB-45 (посудосушители)]]</f>
        <v>7080</v>
      </c>
      <c r="BV51" s="20">
        <f>Прайс[[#This Row],[KFP-SP-PPGK]]+Прайс[[#This Row],[KFS-SB-45 (посудосушители)]]</f>
        <v>7080</v>
      </c>
      <c r="BW51" s="20">
        <f>Прайс[[#This Row],[KFP-SP-PPGK]]+Прайс[[#This Row],[KFS-SB-45 (посудосушители)]]</f>
        <v>7080</v>
      </c>
      <c r="BX51" s="22">
        <v>0</v>
      </c>
      <c r="BY51" s="22">
        <v>0</v>
      </c>
      <c r="BZ51" s="22" t="s">
        <v>96</v>
      </c>
      <c r="CA51" s="21" t="s">
        <v>139</v>
      </c>
      <c r="CB51" s="22">
        <v>0</v>
      </c>
      <c r="CC51" s="22" t="s">
        <v>96</v>
      </c>
      <c r="CD51" s="22"/>
      <c r="CE51" s="22"/>
      <c r="CF51" s="22">
        <v>1</v>
      </c>
      <c r="CG51" s="22">
        <v>0</v>
      </c>
      <c r="CH51" s="22">
        <v>0</v>
      </c>
      <c r="CI51" s="22"/>
      <c r="CJ51" s="22"/>
      <c r="CK51" s="22"/>
      <c r="CL51" s="22"/>
      <c r="CM51" s="22" t="s">
        <v>96</v>
      </c>
      <c r="CN51" s="22">
        <f>IF(Прайс[[#This Row],[Наличие подсветки на нижнем горизонте]]="Нет",0,'[2]комплекты фурнитуры'!$C$91)</f>
        <v>0</v>
      </c>
      <c r="CO51"/>
      <c r="CP51"/>
      <c r="CQ51"/>
      <c r="CR51"/>
      <c r="CS51"/>
      <c r="CT51"/>
      <c r="CU51"/>
    </row>
    <row r="52" spans="1:99" ht="15" customHeight="1" x14ac:dyDescent="0.25">
      <c r="A52" s="32" t="s">
        <v>216</v>
      </c>
      <c r="B52" s="16" t="s">
        <v>176</v>
      </c>
      <c r="C52" s="16" t="s">
        <v>217</v>
      </c>
      <c r="D52" s="16" t="s">
        <v>101</v>
      </c>
      <c r="E52" s="16" t="s">
        <v>96</v>
      </c>
      <c r="F52" s="16" t="s">
        <v>138</v>
      </c>
      <c r="G52" s="17">
        <v>240</v>
      </c>
      <c r="H52" s="17">
        <v>600</v>
      </c>
      <c r="I52" s="17">
        <v>596</v>
      </c>
      <c r="J52" s="17">
        <v>596</v>
      </c>
      <c r="K52" s="17">
        <v>315</v>
      </c>
      <c r="L52" s="17">
        <v>360</v>
      </c>
      <c r="M52" s="44">
        <v>1710</v>
      </c>
      <c r="N52" s="21">
        <v>2130</v>
      </c>
      <c r="O52" s="49">
        <v>720</v>
      </c>
      <c r="P52" s="49">
        <v>300</v>
      </c>
      <c r="Q52" s="49">
        <f>IF(OR(Прайс[[#This Row],[Тип]]="Нижний",Прайс[[#This Row],[Тип]]="Пенал"),"560",IF(Прайс[[#This Row],[Тип]]="Верхний",315,0))</f>
        <v>315</v>
      </c>
      <c r="R52" s="23">
        <v>1.08</v>
      </c>
      <c r="S52" s="23">
        <v>1.0649999999999999</v>
      </c>
      <c r="T52" s="23">
        <v>1.3</v>
      </c>
      <c r="U52" s="18"/>
      <c r="V52" s="18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>
        <f>'[2]комплекты фурнитуры'!$C$16</f>
        <v>340</v>
      </c>
      <c r="AH52" s="16"/>
      <c r="AI52" s="16"/>
      <c r="AJ52" s="16"/>
      <c r="AK52" s="16">
        <f>'[2]комплекты фурнитуры'!$C$72</f>
        <v>210</v>
      </c>
      <c r="AL52" s="16">
        <f>'[2]комплекты фурнитуры'!$C$73</f>
        <v>30</v>
      </c>
      <c r="AM52" s="19">
        <f>SUM(Прайс[[#This Row],[КФ НСТ11]:[KFPr-SB-ZPG]])</f>
        <v>580</v>
      </c>
      <c r="AN52" s="19"/>
      <c r="AO52" s="16"/>
      <c r="AP52" s="16"/>
      <c r="AQ52" s="16"/>
      <c r="AR52" s="19"/>
      <c r="AS52" s="19"/>
      <c r="AT52" s="19"/>
      <c r="AU52" s="19"/>
      <c r="AV52" s="19"/>
      <c r="AW52" s="19"/>
      <c r="AX52" s="19"/>
      <c r="AY52" s="19">
        <f>'[2]комплекты фурнитуры'!D50</f>
        <v>1000</v>
      </c>
      <c r="AZ52" s="19"/>
      <c r="BA52" s="19"/>
      <c r="BB52" s="19">
        <f>'[2]комплекты фурнитуры'!$C$67</f>
        <v>6080</v>
      </c>
      <c r="BC52" s="19">
        <f>'[2]комплекты фурнитуры'!$C$68</f>
        <v>6940</v>
      </c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20">
        <f>Прайс[[#This Row],[KFP-SP-PPGK]]+Прайс[[#This Row],[КФ Сушка AFF 600]]</f>
        <v>7080</v>
      </c>
      <c r="BV52" s="20">
        <f>Прайс[[#This Row],[KFP-SP-PPGK]]+Прайс[[#This Row],[КФ Сушка AFF 600]]</f>
        <v>7080</v>
      </c>
      <c r="BW52" s="20">
        <f>Прайс[[#This Row],[KFP-SP-PPGK]]+Прайс[[#This Row],[КФ Сушка AFF 600]]</f>
        <v>7080</v>
      </c>
      <c r="BX52" s="22">
        <v>0</v>
      </c>
      <c r="BY52" s="22">
        <v>0</v>
      </c>
      <c r="BZ52" s="22" t="s">
        <v>96</v>
      </c>
      <c r="CA52" s="21" t="s">
        <v>139</v>
      </c>
      <c r="CB52" s="22">
        <v>0</v>
      </c>
      <c r="CC52" s="22" t="s">
        <v>96</v>
      </c>
      <c r="CD52" s="22"/>
      <c r="CE52" s="22"/>
      <c r="CF52" s="22">
        <v>1</v>
      </c>
      <c r="CG52" s="22">
        <v>0</v>
      </c>
      <c r="CH52" s="22">
        <v>0</v>
      </c>
      <c r="CI52" s="22"/>
      <c r="CJ52" s="22"/>
      <c r="CK52" s="22"/>
      <c r="CL52" s="22"/>
      <c r="CM52" s="22" t="s">
        <v>96</v>
      </c>
      <c r="CN52" s="22">
        <f>IF(Прайс[[#This Row],[Наличие подсветки на нижнем горизонте]]="Нет",0,'[2]комплекты фурнитуры'!$C$91)</f>
        <v>0</v>
      </c>
      <c r="CO52"/>
      <c r="CP52"/>
      <c r="CQ52"/>
      <c r="CR52"/>
      <c r="CS52"/>
      <c r="CT52"/>
      <c r="CU52"/>
    </row>
    <row r="53" spans="1:99" ht="15" customHeight="1" x14ac:dyDescent="0.25">
      <c r="A53" s="32" t="s">
        <v>218</v>
      </c>
      <c r="B53" s="16" t="s">
        <v>176</v>
      </c>
      <c r="C53" s="16" t="s">
        <v>219</v>
      </c>
      <c r="D53" s="16" t="s">
        <v>101</v>
      </c>
      <c r="E53" s="16" t="s">
        <v>96</v>
      </c>
      <c r="F53" s="16" t="s">
        <v>138</v>
      </c>
      <c r="G53" s="17">
        <v>240</v>
      </c>
      <c r="H53" s="17">
        <v>600</v>
      </c>
      <c r="I53" s="17">
        <v>896</v>
      </c>
      <c r="J53" s="17">
        <v>896</v>
      </c>
      <c r="K53" s="17">
        <v>315</v>
      </c>
      <c r="L53" s="17">
        <v>360</v>
      </c>
      <c r="M53" s="44">
        <v>1710</v>
      </c>
      <c r="N53" s="21">
        <v>2130</v>
      </c>
      <c r="O53" s="49">
        <v>720</v>
      </c>
      <c r="P53" s="49">
        <v>300</v>
      </c>
      <c r="Q53" s="49">
        <f>IF(OR(Прайс[[#This Row],[Тип]]="Нижний",Прайс[[#This Row],[Тип]]="Пенал"),"560",IF(Прайс[[#This Row],[Тип]]="Верхний",315,0))</f>
        <v>315</v>
      </c>
      <c r="R53" s="23">
        <v>1.08</v>
      </c>
      <c r="S53" s="23">
        <v>1.0649999999999999</v>
      </c>
      <c r="T53" s="23">
        <v>1.3</v>
      </c>
      <c r="U53" s="18"/>
      <c r="V53" s="18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>
        <f>'[2]комплекты фурнитуры'!$C$16</f>
        <v>340</v>
      </c>
      <c r="AH53" s="16"/>
      <c r="AI53" s="16"/>
      <c r="AJ53" s="16"/>
      <c r="AK53" s="16">
        <f>'[2]комплекты фурнитуры'!$C$72</f>
        <v>210</v>
      </c>
      <c r="AL53" s="16">
        <f>'[2]комплекты фурнитуры'!$C$73</f>
        <v>30</v>
      </c>
      <c r="AM53" s="19">
        <f>SUM(Прайс[[#This Row],[КФ НСТ11]:[KFPr-SB-ZPG]])</f>
        <v>580</v>
      </c>
      <c r="AN53" s="19"/>
      <c r="AO53" s="16"/>
      <c r="AP53" s="16"/>
      <c r="AQ53" s="16"/>
      <c r="AR53" s="19"/>
      <c r="AS53" s="19"/>
      <c r="AT53" s="19"/>
      <c r="AU53" s="19"/>
      <c r="AV53" s="19"/>
      <c r="AW53" s="19"/>
      <c r="AX53" s="19"/>
      <c r="AY53" s="19">
        <f>'[2]комплекты фурнитуры'!D51</f>
        <v>1000</v>
      </c>
      <c r="AZ53" s="19"/>
      <c r="BA53" s="19"/>
      <c r="BB53" s="19">
        <f>'[2]комплекты фурнитуры'!$C$67</f>
        <v>6080</v>
      </c>
      <c r="BC53" s="19">
        <f>'[2]комплекты фурнитуры'!$C$68</f>
        <v>6940</v>
      </c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20">
        <f>Прайс[[#This Row],[KFP-SP-PPGK]]+Прайс[[#This Row],[КФ Сушка AFF 600]]</f>
        <v>7080</v>
      </c>
      <c r="BV53" s="20">
        <f>Прайс[[#This Row],[KFP-SP-PPGK]]+Прайс[[#This Row],[КФ Сушка AFF 600]]</f>
        <v>7080</v>
      </c>
      <c r="BW53" s="20">
        <f>Прайс[[#This Row],[KFP-SP-PPGK]]+Прайс[[#This Row],[КФ Сушка AFF 600]]</f>
        <v>7080</v>
      </c>
      <c r="BX53" s="22">
        <v>0</v>
      </c>
      <c r="BY53" s="22">
        <v>0</v>
      </c>
      <c r="BZ53" s="22" t="s">
        <v>96</v>
      </c>
      <c r="CA53" s="21" t="s">
        <v>139</v>
      </c>
      <c r="CB53" s="22">
        <v>0</v>
      </c>
      <c r="CC53" s="22" t="s">
        <v>96</v>
      </c>
      <c r="CD53" s="22"/>
      <c r="CE53" s="22"/>
      <c r="CF53" s="22">
        <v>1</v>
      </c>
      <c r="CG53" s="22">
        <v>0</v>
      </c>
      <c r="CH53" s="22">
        <v>0</v>
      </c>
      <c r="CI53" s="22"/>
      <c r="CJ53" s="22"/>
      <c r="CK53" s="22"/>
      <c r="CL53" s="22"/>
      <c r="CM53" s="22" t="s">
        <v>96</v>
      </c>
      <c r="CN53" s="22">
        <f>IF(Прайс[[#This Row],[Наличие подсветки на нижнем горизонте]]="Нет",0,'[2]комплекты фурнитуры'!$C$91)</f>
        <v>0</v>
      </c>
      <c r="CO53"/>
      <c r="CP53"/>
      <c r="CQ53"/>
      <c r="CR53"/>
      <c r="CS53"/>
      <c r="CT53"/>
      <c r="CU53"/>
    </row>
    <row r="54" spans="1:99" ht="15" customHeight="1" x14ac:dyDescent="0.25">
      <c r="A54" s="30" t="s">
        <v>220</v>
      </c>
      <c r="B54" s="16" t="s">
        <v>176</v>
      </c>
      <c r="C54" s="16" t="s">
        <v>221</v>
      </c>
      <c r="D54" s="16" t="s">
        <v>149</v>
      </c>
      <c r="E54" s="16" t="s">
        <v>96</v>
      </c>
      <c r="F54" s="16" t="s">
        <v>97</v>
      </c>
      <c r="G54" s="17">
        <v>480</v>
      </c>
      <c r="H54" s="17">
        <v>960</v>
      </c>
      <c r="I54" s="17">
        <v>315</v>
      </c>
      <c r="J54" s="17">
        <v>315</v>
      </c>
      <c r="K54" s="17">
        <v>315</v>
      </c>
      <c r="L54" s="17">
        <v>315</v>
      </c>
      <c r="M54" s="44">
        <v>2120</v>
      </c>
      <c r="N54" s="21">
        <v>2530</v>
      </c>
      <c r="O54" s="49">
        <v>720</v>
      </c>
      <c r="P54" s="49">
        <v>315</v>
      </c>
      <c r="Q54" s="49">
        <f>IF(OR(Прайс[[#This Row],[Тип]]="Нижний",Прайс[[#This Row],[Тип]]="Пенал"),"560",IF(Прайс[[#This Row],[Тип]]="Верхний",315,0))</f>
        <v>315</v>
      </c>
      <c r="R54" s="23">
        <v>1.08</v>
      </c>
      <c r="S54" s="23">
        <v>1.0649999999999999</v>
      </c>
      <c r="T54" s="23">
        <v>0</v>
      </c>
      <c r="U54" s="18"/>
      <c r="V54" s="18"/>
      <c r="W54" s="16"/>
      <c r="X54" s="16"/>
      <c r="Y54" s="16"/>
      <c r="Z54" s="16"/>
      <c r="AA54" s="16"/>
      <c r="AB54" s="16"/>
      <c r="AC54" s="16">
        <f>'[2]комплекты фурнитуры'!$C$12</f>
        <v>850</v>
      </c>
      <c r="AD54" s="16"/>
      <c r="AE54" s="16"/>
      <c r="AF54" s="16"/>
      <c r="AG54" s="16"/>
      <c r="AH54" s="16"/>
      <c r="AI54" s="16"/>
      <c r="AJ54" s="16"/>
      <c r="AK54" s="16"/>
      <c r="AL54" s="16"/>
      <c r="AM54" s="19">
        <f>SUM(Прайс[[#This Row],[КФ НСТ11]:[KFPr-SB-ZPG]])</f>
        <v>850</v>
      </c>
      <c r="AN54" s="19">
        <f>'[2]комплекты фурнитуры'!$C$79</f>
        <v>40</v>
      </c>
      <c r="AO54" s="16"/>
      <c r="AP54" s="16"/>
      <c r="AQ54" s="16"/>
      <c r="AR54" s="19">
        <f>'[2]комплекты фурнитуры'!$C$62</f>
        <v>620</v>
      </c>
      <c r="AS54" s="19">
        <f>'[2]комплекты фурнитуры'!$C$63</f>
        <v>130</v>
      </c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20">
        <f>Прайс[[#This Row],[ KFPr-SB-StK ]]*2+Прайс[[#This Row],[КФ петли SENS накл.110 гр. с крестообр. Планкой]]*2</f>
        <v>1320</v>
      </c>
      <c r="BV54" s="21">
        <f>Прайс[[#This Row],[ KFPr-SB-StK ]]*2+Прайс[[#This Row],[KFP-SB-N110]]*2</f>
        <v>340</v>
      </c>
      <c r="BW54" s="21">
        <f>Прайс[[#This Row],[ KFPr-SB-StK ]]*2+Прайс[[#This Row],[KFP-SB-N110]]*2</f>
        <v>340</v>
      </c>
      <c r="BX54" s="22">
        <v>0</v>
      </c>
      <c r="BY54" s="22">
        <v>0</v>
      </c>
      <c r="BZ54" s="22" t="s">
        <v>96</v>
      </c>
      <c r="CA54" s="21" t="s">
        <v>98</v>
      </c>
      <c r="CB54" s="22">
        <v>0</v>
      </c>
      <c r="CC54" s="22" t="s">
        <v>96</v>
      </c>
      <c r="CD54" s="22"/>
      <c r="CE54" s="22"/>
      <c r="CF54" s="22">
        <v>1</v>
      </c>
      <c r="CG54" s="22">
        <v>0</v>
      </c>
      <c r="CH54" s="22">
        <v>0</v>
      </c>
      <c r="CI54" s="22"/>
      <c r="CJ54" s="22"/>
      <c r="CK54" s="22"/>
      <c r="CL54" s="22"/>
      <c r="CM54" s="22" t="s">
        <v>96</v>
      </c>
      <c r="CN54" s="22">
        <f>IF(Прайс[[#This Row],[Наличие подсветки на нижнем горизонте]]="Нет",0,'[2]комплекты фурнитуры'!$C$91)</f>
        <v>0</v>
      </c>
      <c r="CO54"/>
      <c r="CP54"/>
      <c r="CQ54"/>
      <c r="CR54"/>
      <c r="CS54"/>
      <c r="CT54"/>
      <c r="CU54"/>
    </row>
    <row r="55" spans="1:99" ht="15" customHeight="1" x14ac:dyDescent="0.25">
      <c r="A55" s="30" t="s">
        <v>222</v>
      </c>
      <c r="B55" s="16" t="s">
        <v>176</v>
      </c>
      <c r="C55" s="16" t="s">
        <v>223</v>
      </c>
      <c r="D55" s="16" t="s">
        <v>101</v>
      </c>
      <c r="E55" s="16" t="s">
        <v>112</v>
      </c>
      <c r="F55" s="16" t="s">
        <v>97</v>
      </c>
      <c r="G55" s="17">
        <v>360</v>
      </c>
      <c r="H55" s="17">
        <v>1250</v>
      </c>
      <c r="I55" s="17">
        <v>150</v>
      </c>
      <c r="J55" s="17">
        <v>600</v>
      </c>
      <c r="K55" s="17">
        <v>250</v>
      </c>
      <c r="L55" s="17">
        <v>560</v>
      </c>
      <c r="M55" s="44">
        <v>1780</v>
      </c>
      <c r="N55" s="21">
        <v>2130</v>
      </c>
      <c r="O55" s="49">
        <v>720</v>
      </c>
      <c r="P55" s="49">
        <v>300</v>
      </c>
      <c r="Q55" s="49">
        <f>IF(OR(Прайс[[#This Row],[Тип]]="Нижний",Прайс[[#This Row],[Тип]]="Пенал"),"560",IF(Прайс[[#This Row],[Тип]]="Верхний",315,0))</f>
        <v>315</v>
      </c>
      <c r="R55" s="23">
        <v>1.08</v>
      </c>
      <c r="S55" s="23">
        <v>1.0649999999999999</v>
      </c>
      <c r="T55" s="23">
        <v>1.3</v>
      </c>
      <c r="U55" s="18"/>
      <c r="V55" s="18"/>
      <c r="W55" s="16">
        <f>'[2]комплекты фурнитуры'!$C$3</f>
        <v>550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'[2]комплекты фурнитуры'!$C$72</f>
        <v>210</v>
      </c>
      <c r="AL55" s="16">
        <f>'[2]комплекты фурнитуры'!$C$73</f>
        <v>30</v>
      </c>
      <c r="AM55" s="19">
        <f>SUM(Прайс[[#This Row],[КФ НСТ11]:[KFPr-SB-ZPG]])</f>
        <v>790</v>
      </c>
      <c r="AN55" s="19"/>
      <c r="AO55" s="16"/>
      <c r="AP55" s="16"/>
      <c r="AQ55" s="16"/>
      <c r="AR55" s="19">
        <f>'[2]комплекты фурнитуры'!$C$62</f>
        <v>620</v>
      </c>
      <c r="AS55" s="19">
        <f>'[2]комплекты фурнитуры'!$C$63</f>
        <v>130</v>
      </c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>
        <f>'[2]комплекты фурнитуры'!$C$81</f>
        <v>1110</v>
      </c>
      <c r="BU55" s="20">
        <f>Прайс[[#This Row],[ KFPr-SB-StK ]]*2+Прайс[[#This Row],[КФ петли SENS накл.110 гр. с крестообр. Планкой]]*2</f>
        <v>1240</v>
      </c>
      <c r="BV55" s="21">
        <f>Прайс[[#This Row],[ KFPr-SB-StK ]]*2+Прайс[[#This Row],[KFP-SB-N110]]*2</f>
        <v>260</v>
      </c>
      <c r="BW55" s="21">
        <f>Прайс[[#This Row],[ KFPr-SB-StK ]]*2+Прайс[[#This Row],[KFP-SB-N110]]*2</f>
        <v>260</v>
      </c>
      <c r="BX55" s="22">
        <v>0</v>
      </c>
      <c r="BY55" s="22">
        <v>3</v>
      </c>
      <c r="BZ55" s="22" t="s">
        <v>96</v>
      </c>
      <c r="CA55" s="21" t="s">
        <v>127</v>
      </c>
      <c r="CB55" s="22">
        <v>1</v>
      </c>
      <c r="CC55" s="22" t="s">
        <v>112</v>
      </c>
      <c r="CD55" s="22"/>
      <c r="CE55" s="22"/>
      <c r="CF55" s="22">
        <v>1</v>
      </c>
      <c r="CG55" s="22">
        <v>0</v>
      </c>
      <c r="CH55" s="22">
        <v>0</v>
      </c>
      <c r="CI55" s="22"/>
      <c r="CJ55" s="22"/>
      <c r="CK55" s="22"/>
      <c r="CL55" s="22"/>
      <c r="CM55" s="22" t="s">
        <v>112</v>
      </c>
      <c r="CN55" s="22">
        <f>IF(Прайс[[#This Row],[Наличие подсветки на нижнем горизонте]]="Нет",0,'[2]комплекты фурнитуры'!$C$91)</f>
        <v>400</v>
      </c>
      <c r="CO55"/>
      <c r="CP55"/>
      <c r="CQ55"/>
      <c r="CR55"/>
      <c r="CS55"/>
      <c r="CT55"/>
      <c r="CU55"/>
    </row>
    <row r="56" spans="1:99" ht="15" customHeight="1" x14ac:dyDescent="0.25">
      <c r="A56" s="30" t="s">
        <v>224</v>
      </c>
      <c r="B56" s="16" t="s">
        <v>176</v>
      </c>
      <c r="C56" s="16" t="s">
        <v>225</v>
      </c>
      <c r="D56" s="16" t="s">
        <v>101</v>
      </c>
      <c r="E56" s="16" t="s">
        <v>112</v>
      </c>
      <c r="F56" s="16" t="s">
        <v>97</v>
      </c>
      <c r="G56" s="17">
        <v>360</v>
      </c>
      <c r="H56" s="17">
        <v>1250</v>
      </c>
      <c r="I56" s="17">
        <v>400</v>
      </c>
      <c r="J56" s="17">
        <v>900</v>
      </c>
      <c r="K56" s="17">
        <v>250</v>
      </c>
      <c r="L56" s="17">
        <v>560</v>
      </c>
      <c r="M56" s="44">
        <v>1780</v>
      </c>
      <c r="N56" s="21">
        <v>2130</v>
      </c>
      <c r="O56" s="49">
        <v>720</v>
      </c>
      <c r="P56" s="49">
        <v>300</v>
      </c>
      <c r="Q56" s="49">
        <f>IF(OR(Прайс[[#This Row],[Тип]]="Нижний",Прайс[[#This Row],[Тип]]="Пенал"),"560",IF(Прайс[[#This Row],[Тип]]="Верхний",315,0))</f>
        <v>315</v>
      </c>
      <c r="R56" s="23">
        <v>1.08</v>
      </c>
      <c r="S56" s="23">
        <v>1.0649999999999999</v>
      </c>
      <c r="T56" s="23">
        <v>1.3</v>
      </c>
      <c r="U56" s="18"/>
      <c r="V56" s="18"/>
      <c r="W56" s="16">
        <f>'[2]комплекты фурнитуры'!$C$3</f>
        <v>550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>
        <f>'[2]комплекты фурнитуры'!$C$72</f>
        <v>210</v>
      </c>
      <c r="AL56" s="16">
        <f>'[2]комплекты фурнитуры'!$C$73</f>
        <v>30</v>
      </c>
      <c r="AM56" s="19">
        <f>SUM(Прайс[[#This Row],[КФ НСТ11]:[KFPr-SB-ZPG]])</f>
        <v>790</v>
      </c>
      <c r="AN56" s="19"/>
      <c r="AO56" s="16"/>
      <c r="AP56" s="16"/>
      <c r="AQ56" s="16"/>
      <c r="AR56" s="19">
        <f>'[2]комплекты фурнитуры'!$C$62</f>
        <v>620</v>
      </c>
      <c r="AS56" s="19">
        <f>'[2]комплекты фурнитуры'!$C$63</f>
        <v>130</v>
      </c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>
        <f>'[2]комплекты фурнитуры'!$C$81</f>
        <v>1110</v>
      </c>
      <c r="BU56" s="20">
        <f>Прайс[[#This Row],[ KFPr-SB-StK ]]*2+Прайс[[#This Row],[КФ петли SENS накл.110 гр. с крестообр. Планкой]]*4</f>
        <v>2480</v>
      </c>
      <c r="BV56" s="21">
        <f>Прайс[[#This Row],[ KFPr-SB-StK ]]*2+Прайс[[#This Row],[KFP-SB-N110]]*4</f>
        <v>520</v>
      </c>
      <c r="BW56" s="21">
        <f>Прайс[[#This Row],[ KFPr-SB-StK ]]*2+Прайс[[#This Row],[KFP-SB-N110]]*4</f>
        <v>520</v>
      </c>
      <c r="BX56" s="22">
        <v>0</v>
      </c>
      <c r="BY56" s="22">
        <v>3</v>
      </c>
      <c r="BZ56" s="22" t="s">
        <v>96</v>
      </c>
      <c r="CA56" s="21" t="s">
        <v>127</v>
      </c>
      <c r="CB56" s="22">
        <v>1</v>
      </c>
      <c r="CC56" s="22" t="s">
        <v>112</v>
      </c>
      <c r="CD56" s="22"/>
      <c r="CE56" s="22"/>
      <c r="CF56" s="22">
        <v>2</v>
      </c>
      <c r="CG56" s="22">
        <v>0</v>
      </c>
      <c r="CH56" s="22">
        <v>0</v>
      </c>
      <c r="CI56" s="22"/>
      <c r="CJ56" s="22"/>
      <c r="CK56" s="22"/>
      <c r="CL56" s="22"/>
      <c r="CM56" s="22" t="s">
        <v>112</v>
      </c>
      <c r="CN56" s="22">
        <f>IF(Прайс[[#This Row],[Наличие подсветки на нижнем горизонте]]="Нет",0,'[2]комплекты фурнитуры'!$C$91)</f>
        <v>400</v>
      </c>
      <c r="CO56"/>
      <c r="CP56"/>
      <c r="CQ56"/>
      <c r="CR56"/>
      <c r="CS56"/>
      <c r="CT56"/>
      <c r="CU56"/>
    </row>
    <row r="57" spans="1:99" ht="15" customHeight="1" x14ac:dyDescent="0.25">
      <c r="A57" s="30" t="s">
        <v>226</v>
      </c>
      <c r="B57" s="16" t="s">
        <v>176</v>
      </c>
      <c r="C57" s="16" t="s">
        <v>227</v>
      </c>
      <c r="D57" s="16" t="s">
        <v>101</v>
      </c>
      <c r="E57" s="16" t="s">
        <v>112</v>
      </c>
      <c r="F57" s="16" t="s">
        <v>185</v>
      </c>
      <c r="G57" s="17">
        <v>720</v>
      </c>
      <c r="H57" s="17">
        <v>720</v>
      </c>
      <c r="I57" s="17">
        <v>400</v>
      </c>
      <c r="J57" s="17">
        <v>900</v>
      </c>
      <c r="K57" s="17">
        <v>300</v>
      </c>
      <c r="L57" s="17">
        <v>400</v>
      </c>
      <c r="M57" s="44">
        <v>1780</v>
      </c>
      <c r="N57" s="21">
        <v>2130</v>
      </c>
      <c r="O57" s="49">
        <v>720</v>
      </c>
      <c r="P57" s="49">
        <v>300</v>
      </c>
      <c r="Q57" s="49">
        <f>IF(OR(Прайс[[#This Row],[Тип]]="Нижний",Прайс[[#This Row],[Тип]]="Пенал"),"560",IF(Прайс[[#This Row],[Тип]]="Верхний",315,0))</f>
        <v>315</v>
      </c>
      <c r="R57" s="23">
        <v>1.08</v>
      </c>
      <c r="S57" s="23">
        <v>1.0649999999999999</v>
      </c>
      <c r="T57" s="23">
        <v>1.3</v>
      </c>
      <c r="U57" s="18"/>
      <c r="V57" s="18"/>
      <c r="W57" s="16">
        <f>'[2]комплекты фурнитуры'!$C$3</f>
        <v>550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>
        <f>'[2]комплекты фурнитуры'!$C$72</f>
        <v>210</v>
      </c>
      <c r="AL57" s="16">
        <f>'[2]комплекты фурнитуры'!$C$73</f>
        <v>30</v>
      </c>
      <c r="AM57" s="19">
        <f>SUM(Прайс[[#This Row],[КФ НСТ11]:[KFPr-SB-ZPG]])</f>
        <v>790</v>
      </c>
      <c r="AN57" s="19"/>
      <c r="AO57" s="16"/>
      <c r="AP57" s="16"/>
      <c r="AQ57" s="16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>
        <f>'[2]комплекты фурнитуры'!$C$69</f>
        <v>13990</v>
      </c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>
        <f>'[2]комплекты фурнитуры'!$C$81</f>
        <v>1110</v>
      </c>
      <c r="BU57" s="20">
        <f>Прайс[[#This Row],[KFP-SB-PPHF_W]]</f>
        <v>13990</v>
      </c>
      <c r="BV57" s="20">
        <f>Прайс[[#This Row],[KFP-SB-PPHF_W]]</f>
        <v>13990</v>
      </c>
      <c r="BW57" s="20">
        <f>Прайс[[#This Row],[KFP-SB-PPHF_W]]</f>
        <v>13990</v>
      </c>
      <c r="BX57" s="22">
        <v>1</v>
      </c>
      <c r="BY57" s="22">
        <v>1</v>
      </c>
      <c r="BZ57" s="22" t="s">
        <v>96</v>
      </c>
      <c r="CA57" s="21" t="s">
        <v>139</v>
      </c>
      <c r="CB57" s="22">
        <v>1</v>
      </c>
      <c r="CC57" s="22" t="s">
        <v>112</v>
      </c>
      <c r="CD57" s="22"/>
      <c r="CE57" s="22"/>
      <c r="CF57" s="22">
        <v>2</v>
      </c>
      <c r="CG57" s="22">
        <v>0</v>
      </c>
      <c r="CH57" s="22">
        <v>0</v>
      </c>
      <c r="CI57" s="22"/>
      <c r="CJ57" s="22"/>
      <c r="CK57" s="22"/>
      <c r="CL57" s="22"/>
      <c r="CM57" s="22" t="s">
        <v>112</v>
      </c>
      <c r="CN57" s="22">
        <f>IF(Прайс[[#This Row],[Наличие подсветки на нижнем горизонте]]="Нет",0,'[2]комплекты фурнитуры'!$C$91)</f>
        <v>400</v>
      </c>
      <c r="CO57"/>
      <c r="CP57"/>
      <c r="CQ57"/>
      <c r="CR57"/>
      <c r="CS57"/>
      <c r="CT57"/>
      <c r="CU57"/>
    </row>
    <row r="58" spans="1:99" s="7" customFormat="1" ht="15" customHeight="1" x14ac:dyDescent="0.25">
      <c r="A58" s="30" t="s">
        <v>228</v>
      </c>
      <c r="B58" s="16" t="s">
        <v>176</v>
      </c>
      <c r="C58" s="16" t="s">
        <v>229</v>
      </c>
      <c r="D58" s="16" t="s">
        <v>117</v>
      </c>
      <c r="E58" s="16" t="s">
        <v>112</v>
      </c>
      <c r="F58" s="16" t="s">
        <v>97</v>
      </c>
      <c r="G58" s="17">
        <v>360</v>
      </c>
      <c r="H58" s="17">
        <v>1250</v>
      </c>
      <c r="I58" s="17">
        <v>595</v>
      </c>
      <c r="J58" s="17">
        <v>1000</v>
      </c>
      <c r="K58" s="17">
        <v>315</v>
      </c>
      <c r="L58" s="17">
        <v>560</v>
      </c>
      <c r="M58" s="44">
        <v>2960</v>
      </c>
      <c r="N58" s="21">
        <v>3560</v>
      </c>
      <c r="O58" s="49">
        <v>720</v>
      </c>
      <c r="P58" s="49">
        <v>600</v>
      </c>
      <c r="Q58" s="49">
        <f>IF(OR(Прайс[[#This Row],[Тип]]="Нижний",Прайс[[#This Row],[Тип]]="Пенал"),"560",IF(Прайс[[#This Row],[Тип]]="Верхний",315,0))</f>
        <v>315</v>
      </c>
      <c r="R58" s="23">
        <v>1.08</v>
      </c>
      <c r="S58" s="23">
        <v>1.0649999999999999</v>
      </c>
      <c r="T58" s="23">
        <v>0</v>
      </c>
      <c r="U58" s="18"/>
      <c r="V58" s="18"/>
      <c r="W58" s="16"/>
      <c r="X58" s="16"/>
      <c r="Y58" s="16"/>
      <c r="Z58" s="16"/>
      <c r="AA58" s="16"/>
      <c r="AB58" s="16"/>
      <c r="AC58" s="16"/>
      <c r="AD58" s="16"/>
      <c r="AE58" s="16"/>
      <c r="AF58" s="16">
        <f>'[2]комплекты фурнитуры'!$C$15</f>
        <v>1130</v>
      </c>
      <c r="AG58" s="16"/>
      <c r="AH58" s="16"/>
      <c r="AI58" s="16"/>
      <c r="AJ58" s="16"/>
      <c r="AK58" s="16">
        <f>'[2]комплекты фурнитуры'!$C$72</f>
        <v>210</v>
      </c>
      <c r="AL58" s="16">
        <f>'[2]комплекты фурнитуры'!$C$73</f>
        <v>30</v>
      </c>
      <c r="AM58" s="19">
        <f>SUM(Прайс[[#This Row],[КФ НСТ11]:[KFPr-SB-ZPG]])</f>
        <v>1370</v>
      </c>
      <c r="AN58" s="19"/>
      <c r="AO58" s="16">
        <f>'[2]комплекты фурнитуры'!$C$78</f>
        <v>30</v>
      </c>
      <c r="AP58" s="16"/>
      <c r="AQ58" s="16"/>
      <c r="AR58" s="19"/>
      <c r="AS58" s="19"/>
      <c r="AT58" s="19">
        <f>'[2]комплекты фурнитуры'!$C$56</f>
        <v>1300</v>
      </c>
      <c r="AU58" s="19">
        <f>'[2]комплекты фурнитуры'!$C$58</f>
        <v>480</v>
      </c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>
        <f>'[2]комплекты фурнитуры'!$C$81</f>
        <v>1110</v>
      </c>
      <c r="BU58" s="20">
        <f>Прайс[[#This Row],[KFPr-SB-SPL]]+Прайс[[#This Row],[КФ петли вклад. 95 гр. с крестообр. планкой]]*2</f>
        <v>2630</v>
      </c>
      <c r="BV58" s="21">
        <f>Прайс[[#This Row],[KFP-SB-PY94]]*2</f>
        <v>960</v>
      </c>
      <c r="BW58" s="21">
        <f>Прайс[[#This Row],[KFP-SB-PY94]]*2</f>
        <v>960</v>
      </c>
      <c r="BX58" s="22">
        <v>1</v>
      </c>
      <c r="BY58" s="22">
        <v>3</v>
      </c>
      <c r="BZ58" s="22" t="s">
        <v>96</v>
      </c>
      <c r="CA58" s="21" t="s">
        <v>127</v>
      </c>
      <c r="CB58" s="22">
        <v>1</v>
      </c>
      <c r="CC58" s="22" t="s">
        <v>96</v>
      </c>
      <c r="CD58" s="22"/>
      <c r="CE58" s="22"/>
      <c r="CF58" s="22">
        <v>1</v>
      </c>
      <c r="CG58" s="22">
        <v>0</v>
      </c>
      <c r="CH58" s="22">
        <v>0</v>
      </c>
      <c r="CI58" s="22"/>
      <c r="CJ58" s="22"/>
      <c r="CK58" s="22"/>
      <c r="CL58" s="22"/>
      <c r="CM58" s="22" t="s">
        <v>112</v>
      </c>
      <c r="CN58" s="22">
        <f>IF(Прайс[[#This Row],[Наличие подсветки на нижнем горизонте]]="Нет",0,'[2]комплекты фурнитуры'!$C$91)</f>
        <v>400</v>
      </c>
    </row>
    <row r="59" spans="1:99" ht="15" customHeight="1" x14ac:dyDescent="0.25">
      <c r="A59" s="30" t="s">
        <v>172</v>
      </c>
      <c r="B59" s="16" t="s">
        <v>176</v>
      </c>
      <c r="C59" s="16" t="s">
        <v>230</v>
      </c>
      <c r="D59" s="16" t="s">
        <v>101</v>
      </c>
      <c r="E59" s="16" t="s">
        <v>96</v>
      </c>
      <c r="F59" s="16" t="s">
        <v>174</v>
      </c>
      <c r="G59" s="17">
        <v>240</v>
      </c>
      <c r="H59" s="17">
        <v>2400</v>
      </c>
      <c r="I59" s="17">
        <v>50</v>
      </c>
      <c r="J59" s="17">
        <v>100</v>
      </c>
      <c r="K59" s="17">
        <v>315</v>
      </c>
      <c r="L59" s="17">
        <v>700</v>
      </c>
      <c r="M59" s="44">
        <v>1940</v>
      </c>
      <c r="N59" s="21">
        <v>2360</v>
      </c>
      <c r="O59" s="49">
        <v>720</v>
      </c>
      <c r="P59" s="49">
        <v>100</v>
      </c>
      <c r="Q59" s="49">
        <v>560</v>
      </c>
      <c r="R59" s="23">
        <v>1.08</v>
      </c>
      <c r="S59" s="23">
        <v>1.0649999999999999</v>
      </c>
      <c r="T59" s="23">
        <v>1.3</v>
      </c>
      <c r="U59" s="18"/>
      <c r="V59" s="18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>
        <f>'[2]комплекты фурнитуры'!$C$18</f>
        <v>600</v>
      </c>
      <c r="AJ59" s="16"/>
      <c r="AK59" s="16"/>
      <c r="AL59" s="16"/>
      <c r="AM59" s="19">
        <f>SUM(Прайс[[#This Row],[КФ НСТ11]:[KFPr-SB-ZPG]])</f>
        <v>600</v>
      </c>
      <c r="AN59" s="19"/>
      <c r="AO59" s="16"/>
      <c r="AP59" s="16"/>
      <c r="AQ59" s="16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20">
        <v>0</v>
      </c>
      <c r="BV59" s="21">
        <v>0</v>
      </c>
      <c r="BW59" s="21">
        <v>0</v>
      </c>
      <c r="BX59" s="22">
        <v>0</v>
      </c>
      <c r="BY59" s="22">
        <v>0</v>
      </c>
      <c r="BZ59" s="22" t="s">
        <v>96</v>
      </c>
      <c r="CA59" s="21" t="s">
        <v>98</v>
      </c>
      <c r="CB59" s="22">
        <v>0</v>
      </c>
      <c r="CC59" s="22" t="s">
        <v>96</v>
      </c>
      <c r="CD59" s="22"/>
      <c r="CE59" s="22"/>
      <c r="CF59" s="22">
        <v>1</v>
      </c>
      <c r="CG59" s="22">
        <v>0</v>
      </c>
      <c r="CH59" s="22">
        <v>0</v>
      </c>
      <c r="CI59" s="22"/>
      <c r="CJ59" s="22"/>
      <c r="CK59" s="22"/>
      <c r="CL59" s="22"/>
      <c r="CM59" s="22" t="s">
        <v>96</v>
      </c>
      <c r="CN59" s="22">
        <f>IF(Прайс[[#This Row],[Наличие подсветки на нижнем горизонте]]="Нет",0,'[2]комплекты фурнитуры'!$C$91)</f>
        <v>0</v>
      </c>
      <c r="CO59"/>
      <c r="CP59"/>
      <c r="CQ59"/>
      <c r="CR59"/>
      <c r="CS59"/>
      <c r="CT59"/>
      <c r="CU59"/>
    </row>
    <row r="60" spans="1:99" ht="15" customHeight="1" x14ac:dyDescent="0.25">
      <c r="A60" s="31" t="s">
        <v>231</v>
      </c>
      <c r="B60" s="16" t="s">
        <v>176</v>
      </c>
      <c r="C60" s="16" t="s">
        <v>232</v>
      </c>
      <c r="D60" s="16" t="s">
        <v>146</v>
      </c>
      <c r="E60" s="16" t="s">
        <v>96</v>
      </c>
      <c r="F60" s="16" t="s">
        <v>97</v>
      </c>
      <c r="G60" s="17">
        <v>480</v>
      </c>
      <c r="H60" s="17">
        <v>960</v>
      </c>
      <c r="I60" s="17">
        <v>210</v>
      </c>
      <c r="J60" s="17">
        <v>210</v>
      </c>
      <c r="K60" s="17">
        <v>300</v>
      </c>
      <c r="L60" s="17">
        <v>500</v>
      </c>
      <c r="M60" s="44">
        <v>2170</v>
      </c>
      <c r="N60" s="21">
        <v>2630</v>
      </c>
      <c r="O60" s="49">
        <v>960</v>
      </c>
      <c r="P60" s="49">
        <v>210</v>
      </c>
      <c r="Q60" s="49">
        <f>IF(OR(Прайс[[#This Row],[Тип]]="Нижний",Прайс[[#This Row],[Тип]]="Пенал"),"560",IF(Прайс[[#This Row],[Тип]]="Верхний",315,0))</f>
        <v>315</v>
      </c>
      <c r="R60" s="23">
        <v>1.08</v>
      </c>
      <c r="S60" s="23">
        <v>1.0649999999999999</v>
      </c>
      <c r="T60" s="23">
        <v>1.3</v>
      </c>
      <c r="U60" s="18"/>
      <c r="V60" s="18"/>
      <c r="W60" s="16"/>
      <c r="X60" s="16"/>
      <c r="Y60" s="16"/>
      <c r="Z60" s="16"/>
      <c r="AA60" s="16">
        <f>'[2]комплекты фурнитуры'!$C$9</f>
        <v>950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9">
        <f>SUM(Прайс[[#This Row],[КФ НСТ11]:[KFPr-SB-ZPG]])</f>
        <v>950</v>
      </c>
      <c r="AN60" s="19">
        <f>'[2]комплекты фурнитуры'!$C$79</f>
        <v>40</v>
      </c>
      <c r="AO60" s="16"/>
      <c r="AP60" s="16"/>
      <c r="AQ60" s="16"/>
      <c r="AR60" s="19"/>
      <c r="AS60" s="19"/>
      <c r="AT60" s="19"/>
      <c r="AU60" s="19"/>
      <c r="AV60" s="19">
        <f>'[2]комплекты фурнитуры'!$C$54</f>
        <v>1560</v>
      </c>
      <c r="AW60" s="19">
        <f>'[2]комплекты фурнитуры'!$C$55</f>
        <v>190</v>
      </c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20">
        <f>Прайс[[#This Row],[ KFPr-SB-StK ]]*2+Прайс[[#This Row],[КKFP-SB-GT45]]*2</f>
        <v>3200</v>
      </c>
      <c r="BV60" s="21">
        <f>Прайс[[#This Row],[ KFPr-SB-StK ]]*2+Прайс[[#This Row],[KFP-SB-N45]]*2</f>
        <v>460</v>
      </c>
      <c r="BW60" s="21">
        <f>Прайс[[#This Row],[KFP-SB-N45]]*2</f>
        <v>380</v>
      </c>
      <c r="BX60" s="22">
        <v>1</v>
      </c>
      <c r="BY60" s="22">
        <v>3</v>
      </c>
      <c r="BZ60" s="22" t="s">
        <v>112</v>
      </c>
      <c r="CA60" s="21" t="s">
        <v>98</v>
      </c>
      <c r="CB60" s="22">
        <v>2</v>
      </c>
      <c r="CC60" s="22" t="s">
        <v>96</v>
      </c>
      <c r="CD60" s="22"/>
      <c r="CE60" s="22"/>
      <c r="CF60" s="22">
        <v>1</v>
      </c>
      <c r="CG60" s="22">
        <v>0</v>
      </c>
      <c r="CH60" s="22">
        <v>0</v>
      </c>
      <c r="CI60" s="22"/>
      <c r="CJ60" s="22"/>
      <c r="CK60" s="22"/>
      <c r="CL60" s="22"/>
      <c r="CM60" s="22" t="s">
        <v>96</v>
      </c>
      <c r="CN60" s="22">
        <f>IF(Прайс[[#This Row],[Наличие подсветки на нижнем горизонте]]="Нет",0,'[2]комплекты фурнитуры'!$C$91)</f>
        <v>0</v>
      </c>
      <c r="CO60"/>
      <c r="CP60"/>
      <c r="CQ60"/>
      <c r="CR60"/>
      <c r="CS60"/>
      <c r="CT60"/>
      <c r="CU60"/>
    </row>
    <row r="61" spans="1:99" s="6" customFormat="1" ht="15" customHeight="1" x14ac:dyDescent="0.25">
      <c r="A61" s="30" t="s">
        <v>233</v>
      </c>
      <c r="B61" s="16" t="s">
        <v>234</v>
      </c>
      <c r="C61" s="16" t="s">
        <v>235</v>
      </c>
      <c r="D61" s="16" t="s">
        <v>101</v>
      </c>
      <c r="E61" s="16" t="s">
        <v>96</v>
      </c>
      <c r="F61" s="16" t="s">
        <v>97</v>
      </c>
      <c r="G61" s="17">
        <v>1220</v>
      </c>
      <c r="H61" s="17">
        <v>1500</v>
      </c>
      <c r="I61" s="17">
        <v>150</v>
      </c>
      <c r="J61" s="17">
        <v>600</v>
      </c>
      <c r="K61" s="17">
        <v>300</v>
      </c>
      <c r="L61" s="17">
        <v>640</v>
      </c>
      <c r="M61" s="44">
        <v>5220</v>
      </c>
      <c r="N61" s="21">
        <v>6630</v>
      </c>
      <c r="O61" s="49">
        <v>1320</v>
      </c>
      <c r="P61" s="49">
        <v>600</v>
      </c>
      <c r="Q61" s="49" t="str">
        <f>IF(OR(Прайс[[#This Row],[Тип]]="Нижний",Прайс[[#This Row],[Тип]]="Пенал"),"560",IF(Прайс[[#This Row],[Тип]]="Верхний",315,0))</f>
        <v>560</v>
      </c>
      <c r="R61" s="23">
        <v>1.08</v>
      </c>
      <c r="S61" s="23">
        <v>1.0649999999999999</v>
      </c>
      <c r="T61" s="23">
        <v>1.3</v>
      </c>
      <c r="U61" s="18"/>
      <c r="V61" s="18"/>
      <c r="W61" s="16"/>
      <c r="X61" s="16"/>
      <c r="Y61" s="16"/>
      <c r="Z61" s="16"/>
      <c r="AA61" s="16"/>
      <c r="AB61" s="16"/>
      <c r="AC61" s="16"/>
      <c r="AD61" s="16">
        <f>'[2]комплекты фурнитуры'!$C$13</f>
        <v>740</v>
      </c>
      <c r="AE61" s="16"/>
      <c r="AF61" s="16"/>
      <c r="AG61" s="16"/>
      <c r="AH61" s="16"/>
      <c r="AI61" s="16"/>
      <c r="AJ61" s="16">
        <f>'[2]комплекты фурнитуры'!$C$23*2</f>
        <v>560</v>
      </c>
      <c r="AK61" s="16"/>
      <c r="AL61" s="16"/>
      <c r="AM61" s="19">
        <f>SUM(Прайс[[#This Row],[КФ НСТ11]:[KFPr-SB-ZPG]])</f>
        <v>1300</v>
      </c>
      <c r="AN61" s="19"/>
      <c r="AO61" s="16"/>
      <c r="AP61" s="16"/>
      <c r="AQ61" s="33"/>
      <c r="AR61" s="19">
        <f>'[2]комплекты фурнитуры'!$C$62</f>
        <v>620</v>
      </c>
      <c r="AS61" s="19">
        <f>'[2]комплекты фурнитуры'!$C$63</f>
        <v>130</v>
      </c>
      <c r="AT61" s="19"/>
      <c r="AU61" s="19"/>
      <c r="AV61" s="19"/>
      <c r="AW61" s="19"/>
      <c r="AX61" s="19"/>
      <c r="AY61" s="19"/>
      <c r="AZ61" s="19"/>
      <c r="BA61" s="19"/>
      <c r="BB61" s="26"/>
      <c r="BC61" s="19"/>
      <c r="BD61" s="26"/>
      <c r="BE61" s="19"/>
      <c r="BF61" s="19"/>
      <c r="BG61" s="26"/>
      <c r="BH61" s="26"/>
      <c r="BI61" s="26"/>
      <c r="BJ61" s="26"/>
      <c r="BK61" s="26"/>
      <c r="BL61" s="26"/>
      <c r="BM61" s="26"/>
      <c r="BN61" s="26"/>
      <c r="BO61" s="19"/>
      <c r="BP61" s="19"/>
      <c r="BQ61" s="19"/>
      <c r="BR61" s="19"/>
      <c r="BS61" s="19"/>
      <c r="BT61" s="19"/>
      <c r="BU61" s="20">
        <f>Прайс[[#This Row],[КФ петли SENS накл.110 гр. с крестообр. Планкой]]*3</f>
        <v>1860</v>
      </c>
      <c r="BV61" s="21">
        <f>Прайс[[#This Row],[KFP-SB-N110]]*3</f>
        <v>390</v>
      </c>
      <c r="BW61" s="21">
        <f>Прайс[[#This Row],[KFP-SB-N110]]*3</f>
        <v>390</v>
      </c>
      <c r="BX61" s="22">
        <v>2</v>
      </c>
      <c r="BY61" s="22">
        <v>2</v>
      </c>
      <c r="BZ61" s="22" t="s">
        <v>112</v>
      </c>
      <c r="CA61" s="21" t="s">
        <v>98</v>
      </c>
      <c r="CB61" s="22">
        <v>2</v>
      </c>
      <c r="CC61" s="22" t="s">
        <v>112</v>
      </c>
      <c r="CD61" s="22"/>
      <c r="CE61" s="22"/>
      <c r="CF61" s="22">
        <v>1</v>
      </c>
      <c r="CG61" s="22">
        <v>0</v>
      </c>
      <c r="CH61" s="22">
        <v>0</v>
      </c>
      <c r="CI61" s="22"/>
      <c r="CJ61" s="22"/>
      <c r="CK61" s="22"/>
      <c r="CL61" s="22"/>
      <c r="CM61" s="22" t="s">
        <v>96</v>
      </c>
      <c r="CN61" s="22">
        <f>IF(Прайс[[#This Row],[Наличие подсветки на нижнем горизонте]]="Нет",0,'[2]комплекты фурнитуры'!$C$91)</f>
        <v>0</v>
      </c>
    </row>
    <row r="62" spans="1:99" ht="15" customHeight="1" x14ac:dyDescent="0.25">
      <c r="A62" s="30" t="s">
        <v>236</v>
      </c>
      <c r="B62" s="16" t="s">
        <v>234</v>
      </c>
      <c r="C62" s="16" t="s">
        <v>237</v>
      </c>
      <c r="D62" s="16" t="s">
        <v>101</v>
      </c>
      <c r="E62" s="16" t="s">
        <v>112</v>
      </c>
      <c r="F62" s="16" t="s">
        <v>97</v>
      </c>
      <c r="G62" s="17">
        <v>1220</v>
      </c>
      <c r="H62" s="17">
        <v>1500</v>
      </c>
      <c r="I62" s="17">
        <v>150</v>
      </c>
      <c r="J62" s="17">
        <v>600</v>
      </c>
      <c r="K62" s="17">
        <v>300</v>
      </c>
      <c r="L62" s="17">
        <v>640</v>
      </c>
      <c r="M62" s="44">
        <v>5637.6</v>
      </c>
      <c r="N62" s="21">
        <v>7160.4</v>
      </c>
      <c r="O62" s="49">
        <v>1320</v>
      </c>
      <c r="P62" s="49">
        <v>600</v>
      </c>
      <c r="Q62" s="49" t="str">
        <f>IF(OR(Прайс[[#This Row],[Тип]]="Нижний",Прайс[[#This Row],[Тип]]="Пенал"),"560",IF(Прайс[[#This Row],[Тип]]="Верхний",315,0))</f>
        <v>560</v>
      </c>
      <c r="R62" s="23">
        <v>1.08</v>
      </c>
      <c r="S62" s="23">
        <v>1.0649999999999999</v>
      </c>
      <c r="T62" s="23">
        <v>1.3</v>
      </c>
      <c r="U62" s="18">
        <v>740</v>
      </c>
      <c r="V62" s="18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>
        <f>'[2]комплекты фурнитуры'!$C$23*2</f>
        <v>560</v>
      </c>
      <c r="AK62" s="16"/>
      <c r="AL62" s="16"/>
      <c r="AM62" s="19">
        <f>SUM(Прайс[[#This Row],[КФ НСТ11]:[KFPr-SB-ZPG]])</f>
        <v>1300</v>
      </c>
      <c r="AN62" s="19"/>
      <c r="AO62" s="16"/>
      <c r="AP62" s="16"/>
      <c r="AQ62" s="33">
        <f>'[2]комплекты фурнитуры'!$C$85</f>
        <v>290</v>
      </c>
      <c r="AR62" s="19">
        <f>'[2]комплекты фурнитуры'!$C$62</f>
        <v>620</v>
      </c>
      <c r="AS62" s="26"/>
      <c r="AT62" s="19"/>
      <c r="AU62" s="19"/>
      <c r="AV62" s="19"/>
      <c r="AW62" s="19"/>
      <c r="AX62" s="19"/>
      <c r="AY62" s="19"/>
      <c r="AZ62" s="19"/>
      <c r="BA62" s="19"/>
      <c r="BB62" s="26"/>
      <c r="BC62" s="19"/>
      <c r="BD62" s="26"/>
      <c r="BE62" s="19"/>
      <c r="BF62" s="19"/>
      <c r="BG62" s="26"/>
      <c r="BH62" s="26"/>
      <c r="BI62" s="26"/>
      <c r="BJ62" s="26"/>
      <c r="BK62" s="26"/>
      <c r="BL62" s="26"/>
      <c r="BM62" s="26"/>
      <c r="BN62" s="26"/>
      <c r="BO62" s="19"/>
      <c r="BP62" s="19"/>
      <c r="BQ62" s="19"/>
      <c r="BR62" s="19"/>
      <c r="BS62" s="19"/>
      <c r="BT62" s="19"/>
      <c r="BU62" s="20">
        <f>Прайс[[#This Row],[КФ KEKU]]*4+Прайс[[#This Row],[КФ петли SENS накл.110 гр. с крестообр. Планкой]]*3</f>
        <v>3020</v>
      </c>
      <c r="BV62" s="20">
        <f>Прайс[[#This Row],[КФ KEKU]]*4+Прайс[[#This Row],[КФ петли SENS накл.110 гр. с крестообр. Планкой]]*3</f>
        <v>3020</v>
      </c>
      <c r="BW62" s="20">
        <f>Прайс[[#This Row],[КФ KEKU]]*4+Прайс[[#This Row],[КФ петли SENS накл.110 гр. с крестообр. Планкой]]*3</f>
        <v>3020</v>
      </c>
      <c r="BX62" s="22">
        <v>2</v>
      </c>
      <c r="BY62" s="22">
        <v>2</v>
      </c>
      <c r="BZ62" s="22" t="s">
        <v>96</v>
      </c>
      <c r="CA62" s="21" t="s">
        <v>139</v>
      </c>
      <c r="CB62" s="22">
        <v>2</v>
      </c>
      <c r="CC62" s="22" t="s">
        <v>112</v>
      </c>
      <c r="CD62" s="22"/>
      <c r="CE62" s="22"/>
      <c r="CF62" s="22">
        <v>1</v>
      </c>
      <c r="CG62" s="22">
        <v>0</v>
      </c>
      <c r="CH62" s="22">
        <v>0</v>
      </c>
      <c r="CI62" s="22"/>
      <c r="CJ62" s="22"/>
      <c r="CK62" s="22"/>
      <c r="CL62" s="22"/>
      <c r="CM62" s="22" t="s">
        <v>96</v>
      </c>
      <c r="CN62" s="22">
        <f>IF(Прайс[[#This Row],[Наличие подсветки на нижнем горизонте]]="Нет",0,'[2]комплекты фурнитуры'!$C$91)</f>
        <v>0</v>
      </c>
      <c r="CO62"/>
      <c r="CP62"/>
      <c r="CQ62"/>
      <c r="CR62"/>
      <c r="CS62"/>
      <c r="CT62"/>
      <c r="CU62"/>
    </row>
    <row r="63" spans="1:99" ht="15" customHeight="1" x14ac:dyDescent="0.25">
      <c r="A63" s="30" t="s">
        <v>238</v>
      </c>
      <c r="B63" s="16" t="s">
        <v>234</v>
      </c>
      <c r="C63" s="16" t="s">
        <v>239</v>
      </c>
      <c r="D63" s="16" t="s">
        <v>101</v>
      </c>
      <c r="E63" s="16" t="s">
        <v>96</v>
      </c>
      <c r="F63" s="16" t="s">
        <v>240</v>
      </c>
      <c r="G63" s="17">
        <v>1187</v>
      </c>
      <c r="H63" s="17">
        <v>1187</v>
      </c>
      <c r="I63" s="17">
        <v>600</v>
      </c>
      <c r="J63" s="17">
        <v>600</v>
      </c>
      <c r="K63" s="17">
        <v>560</v>
      </c>
      <c r="L63" s="17">
        <v>560</v>
      </c>
      <c r="M63" s="44">
        <v>5220</v>
      </c>
      <c r="N63" s="21">
        <v>6630</v>
      </c>
      <c r="O63" s="49">
        <v>1320</v>
      </c>
      <c r="P63" s="49">
        <v>600</v>
      </c>
      <c r="Q63" s="49" t="str">
        <f>IF(OR(Прайс[[#This Row],[Тип]]="Нижний",Прайс[[#This Row],[Тип]]="Пенал"),"560",IF(Прайс[[#This Row],[Тип]]="Верхний",315,0))</f>
        <v>560</v>
      </c>
      <c r="R63" s="23">
        <v>1.08</v>
      </c>
      <c r="S63" s="23">
        <v>1.0649999999999999</v>
      </c>
      <c r="T63" s="23">
        <v>1.3</v>
      </c>
      <c r="U63" s="18"/>
      <c r="V63" s="18"/>
      <c r="W63" s="16"/>
      <c r="X63" s="16"/>
      <c r="Y63" s="16"/>
      <c r="Z63" s="16"/>
      <c r="AA63" s="16"/>
      <c r="AB63" s="16"/>
      <c r="AC63" s="16"/>
      <c r="AD63" s="16">
        <f>'[2]комплекты фурнитуры'!$C$13</f>
        <v>740</v>
      </c>
      <c r="AE63" s="16"/>
      <c r="AF63" s="16"/>
      <c r="AG63" s="16"/>
      <c r="AH63" s="16"/>
      <c r="AI63" s="16"/>
      <c r="AJ63" s="16">
        <f>'[2]комплекты фурнитуры'!$C$23*2</f>
        <v>560</v>
      </c>
      <c r="AK63" s="16"/>
      <c r="AL63" s="16"/>
      <c r="AM63" s="19">
        <f>SUM(Прайс[[#This Row],[КФ НСТ11]:[KFPr-SB-ZPG]])</f>
        <v>1300</v>
      </c>
      <c r="AN63" s="19"/>
      <c r="AO63" s="16"/>
      <c r="AP63" s="16"/>
      <c r="AQ63" s="33"/>
      <c r="AR63" s="19">
        <f>'[2]комплекты фурнитуры'!$C$62</f>
        <v>620</v>
      </c>
      <c r="AS63" s="19">
        <f>'[2]комплекты фурнитуры'!$C$63</f>
        <v>130</v>
      </c>
      <c r="AT63" s="19"/>
      <c r="AU63" s="19"/>
      <c r="AV63" s="19"/>
      <c r="AW63" s="19"/>
      <c r="AX63" s="19"/>
      <c r="AY63" s="19"/>
      <c r="AZ63" s="19"/>
      <c r="BA63" s="19"/>
      <c r="BB63" s="26"/>
      <c r="BC63" s="19"/>
      <c r="BD63" s="26"/>
      <c r="BE63" s="19"/>
      <c r="BF63" s="19"/>
      <c r="BG63" s="26"/>
      <c r="BH63" s="26"/>
      <c r="BI63" s="26"/>
      <c r="BJ63" s="26"/>
      <c r="BK63" s="26"/>
      <c r="BL63" s="26"/>
      <c r="BM63" s="26"/>
      <c r="BN63" s="26"/>
      <c r="BO63" s="19"/>
      <c r="BP63" s="19"/>
      <c r="BQ63" s="19"/>
      <c r="BR63" s="19"/>
      <c r="BS63" s="19"/>
      <c r="BT63" s="19"/>
      <c r="BU63" s="20">
        <f>Прайс[[#This Row],[КФ петли SENS накл.110 гр. с крестообр. Планкой]]*2</f>
        <v>1240</v>
      </c>
      <c r="BV63" s="21">
        <f>Прайс[[#This Row],[KFP-SB-N110]]*2</f>
        <v>260</v>
      </c>
      <c r="BW63" s="21">
        <f>Прайс[[#This Row],[KFP-SB-N110]]*2</f>
        <v>260</v>
      </c>
      <c r="BX63" s="22">
        <v>1</v>
      </c>
      <c r="BY63" s="22">
        <v>1</v>
      </c>
      <c r="BZ63" s="22" t="s">
        <v>112</v>
      </c>
      <c r="CA63" s="21" t="s">
        <v>98</v>
      </c>
      <c r="CB63" s="22">
        <v>1</v>
      </c>
      <c r="CC63" s="22" t="s">
        <v>96</v>
      </c>
      <c r="CD63" s="22"/>
      <c r="CE63" s="22"/>
      <c r="CF63" s="22">
        <v>1</v>
      </c>
      <c r="CG63" s="22">
        <v>0</v>
      </c>
      <c r="CH63" s="22">
        <v>0</v>
      </c>
      <c r="CI63" s="22"/>
      <c r="CJ63" s="22"/>
      <c r="CK63" s="22"/>
      <c r="CL63" s="22"/>
      <c r="CM63" s="22" t="s">
        <v>96</v>
      </c>
      <c r="CN63" s="22">
        <f>IF(Прайс[[#This Row],[Наличие подсветки на нижнем горизонте]]="Нет",0,'[2]комплекты фурнитуры'!$C$91)</f>
        <v>0</v>
      </c>
      <c r="CO63"/>
      <c r="CP63"/>
      <c r="CQ63"/>
      <c r="CR63"/>
      <c r="CS63"/>
      <c r="CT63"/>
      <c r="CU63"/>
    </row>
    <row r="64" spans="1:99" ht="15" customHeight="1" x14ac:dyDescent="0.25">
      <c r="A64" s="30" t="s">
        <v>241</v>
      </c>
      <c r="B64" s="16" t="s">
        <v>234</v>
      </c>
      <c r="C64" s="16" t="s">
        <v>242</v>
      </c>
      <c r="D64" s="16" t="s">
        <v>101</v>
      </c>
      <c r="E64" s="16" t="s">
        <v>96</v>
      </c>
      <c r="F64" s="16" t="s">
        <v>240</v>
      </c>
      <c r="G64" s="17">
        <v>1320</v>
      </c>
      <c r="H64" s="17">
        <v>1320</v>
      </c>
      <c r="I64" s="17">
        <v>600</v>
      </c>
      <c r="J64" s="17">
        <v>600</v>
      </c>
      <c r="K64" s="17">
        <v>560</v>
      </c>
      <c r="L64" s="17">
        <v>560</v>
      </c>
      <c r="M64" s="44">
        <v>5220</v>
      </c>
      <c r="N64" s="21">
        <v>6630</v>
      </c>
      <c r="O64" s="49">
        <v>1320</v>
      </c>
      <c r="P64" s="49">
        <v>600</v>
      </c>
      <c r="Q64" s="49" t="str">
        <f>IF(OR(Прайс[[#This Row],[Тип]]="Нижний",Прайс[[#This Row],[Тип]]="Пенал"),"560",IF(Прайс[[#This Row],[Тип]]="Верхний",315,0))</f>
        <v>560</v>
      </c>
      <c r="R64" s="23">
        <v>1.08</v>
      </c>
      <c r="S64" s="23">
        <v>1.0649999999999999</v>
      </c>
      <c r="T64" s="23">
        <v>1.3</v>
      </c>
      <c r="U64" s="18"/>
      <c r="V64" s="18"/>
      <c r="W64" s="16"/>
      <c r="X64" s="16"/>
      <c r="Y64" s="16"/>
      <c r="Z64" s="16"/>
      <c r="AA64" s="16"/>
      <c r="AB64" s="16"/>
      <c r="AC64" s="16"/>
      <c r="AD64" s="16">
        <f>'[2]комплекты фурнитуры'!$C$13</f>
        <v>740</v>
      </c>
      <c r="AE64" s="16"/>
      <c r="AF64" s="16"/>
      <c r="AG64" s="16"/>
      <c r="AH64" s="16"/>
      <c r="AI64" s="16"/>
      <c r="AJ64" s="16">
        <f>'[2]комплекты фурнитуры'!$C$23*2</f>
        <v>560</v>
      </c>
      <c r="AK64" s="16"/>
      <c r="AL64" s="16"/>
      <c r="AM64" s="19">
        <f>SUM(Прайс[[#This Row],[КФ НСТ11]:[KFPr-SB-ZPG]])</f>
        <v>1300</v>
      </c>
      <c r="AN64" s="19"/>
      <c r="AO64" s="16"/>
      <c r="AP64" s="16"/>
      <c r="AQ64" s="33"/>
      <c r="AR64" s="19">
        <f>'[2]комплекты фурнитуры'!$C$62</f>
        <v>620</v>
      </c>
      <c r="AS64" s="19">
        <f>'[2]комплекты фурнитуры'!$C$63</f>
        <v>130</v>
      </c>
      <c r="AT64" s="19"/>
      <c r="AU64" s="19"/>
      <c r="AV64" s="19"/>
      <c r="AW64" s="19"/>
      <c r="AX64" s="19"/>
      <c r="AY64" s="19"/>
      <c r="AZ64" s="19"/>
      <c r="BA64" s="19"/>
      <c r="BB64" s="26"/>
      <c r="BC64" s="19"/>
      <c r="BD64" s="26"/>
      <c r="BE64" s="19"/>
      <c r="BF64" s="19"/>
      <c r="BG64" s="26"/>
      <c r="BH64" s="26"/>
      <c r="BI64" s="26"/>
      <c r="BJ64" s="26"/>
      <c r="BK64" s="26"/>
      <c r="BL64" s="26"/>
      <c r="BM64" s="26"/>
      <c r="BN64" s="26"/>
      <c r="BO64" s="19"/>
      <c r="BP64" s="19"/>
      <c r="BQ64" s="19"/>
      <c r="BR64" s="19"/>
      <c r="BS64" s="19"/>
      <c r="BT64" s="19"/>
      <c r="BU64" s="20">
        <f>Прайс[[#This Row],[КФ петли SENS накл.110 гр. с крестообр. Планкой]]*2</f>
        <v>1240</v>
      </c>
      <c r="BV64" s="21">
        <f>Прайс[[#This Row],[KFP-SB-N110]]*2</f>
        <v>260</v>
      </c>
      <c r="BW64" s="21">
        <f>Прайс[[#This Row],[KFP-SB-N110]]*2</f>
        <v>260</v>
      </c>
      <c r="BX64" s="22">
        <v>1</v>
      </c>
      <c r="BY64" s="22">
        <v>1</v>
      </c>
      <c r="BZ64" s="22" t="s">
        <v>112</v>
      </c>
      <c r="CA64" s="21" t="s">
        <v>98</v>
      </c>
      <c r="CB64" s="22">
        <v>1</v>
      </c>
      <c r="CC64" s="22" t="s">
        <v>96</v>
      </c>
      <c r="CD64" s="22"/>
      <c r="CE64" s="22"/>
      <c r="CF64" s="22">
        <v>1</v>
      </c>
      <c r="CG64" s="22">
        <v>0</v>
      </c>
      <c r="CH64" s="22">
        <v>0</v>
      </c>
      <c r="CI64" s="22"/>
      <c r="CJ64" s="22"/>
      <c r="CK64" s="22"/>
      <c r="CL64" s="22"/>
      <c r="CM64" s="22" t="s">
        <v>96</v>
      </c>
      <c r="CN64" s="22">
        <f>IF(Прайс[[#This Row],[Наличие подсветки на нижнем горизонте]]="Нет",0,'[2]комплекты фурнитуры'!$C$91)</f>
        <v>0</v>
      </c>
      <c r="CO64"/>
      <c r="CP64"/>
      <c r="CQ64"/>
      <c r="CR64"/>
      <c r="CS64"/>
      <c r="CT64"/>
      <c r="CU64"/>
    </row>
    <row r="65" spans="1:99" ht="14.25" customHeight="1" x14ac:dyDescent="0.25">
      <c r="A65" s="34" t="s">
        <v>243</v>
      </c>
      <c r="B65" s="16" t="s">
        <v>234</v>
      </c>
      <c r="C65" s="16" t="s">
        <v>244</v>
      </c>
      <c r="D65" s="16" t="s">
        <v>101</v>
      </c>
      <c r="E65" s="16" t="s">
        <v>96</v>
      </c>
      <c r="F65" s="16" t="s">
        <v>240</v>
      </c>
      <c r="G65" s="17">
        <v>720</v>
      </c>
      <c r="H65" s="17">
        <v>1320</v>
      </c>
      <c r="I65" s="17">
        <v>600</v>
      </c>
      <c r="J65" s="17">
        <v>600</v>
      </c>
      <c r="K65" s="17">
        <v>560</v>
      </c>
      <c r="L65" s="17">
        <v>560</v>
      </c>
      <c r="M65" s="44">
        <v>5690</v>
      </c>
      <c r="N65" s="21">
        <v>7210</v>
      </c>
      <c r="O65" s="49">
        <v>1320</v>
      </c>
      <c r="P65" s="49">
        <v>600</v>
      </c>
      <c r="Q65" s="49" t="str">
        <f>IF(OR(Прайс[[#This Row],[Тип]]="Нижний",Прайс[[#This Row],[Тип]]="Пенал"),"560",IF(Прайс[[#This Row],[Тип]]="Верхний",315,0))</f>
        <v>560</v>
      </c>
      <c r="R65" s="23">
        <v>1.08</v>
      </c>
      <c r="S65" s="23">
        <v>1.0649999999999999</v>
      </c>
      <c r="T65" s="23">
        <v>0</v>
      </c>
      <c r="U65" s="18"/>
      <c r="V65" s="18"/>
      <c r="W65" s="16"/>
      <c r="X65" s="16"/>
      <c r="Y65" s="16"/>
      <c r="Z65" s="16"/>
      <c r="AA65" s="16"/>
      <c r="AB65" s="16"/>
      <c r="AC65" s="16"/>
      <c r="AD65" s="16">
        <f>'[2]комплекты фурнитуры'!$C$13</f>
        <v>740</v>
      </c>
      <c r="AE65" s="16"/>
      <c r="AF65" s="16"/>
      <c r="AG65" s="16"/>
      <c r="AH65" s="16"/>
      <c r="AI65" s="16"/>
      <c r="AJ65" s="16">
        <f>'[2]комплекты фурнитуры'!$C$23*2</f>
        <v>560</v>
      </c>
      <c r="AK65" s="16"/>
      <c r="AL65" s="16"/>
      <c r="AM65" s="19">
        <f>SUM(Прайс[[#This Row],[КФ НСТ11]:[KFPr-SB-ZPG]])</f>
        <v>1300</v>
      </c>
      <c r="AN65" s="19"/>
      <c r="AO65" s="16"/>
      <c r="AP65" s="16"/>
      <c r="AQ65" s="33"/>
      <c r="AR65" s="26"/>
      <c r="AS65" s="26"/>
      <c r="AT65" s="19"/>
      <c r="AU65" s="19"/>
      <c r="AV65" s="19"/>
      <c r="AW65" s="19"/>
      <c r="AX65" s="19"/>
      <c r="AY65" s="19"/>
      <c r="AZ65" s="19"/>
      <c r="BA65" s="19"/>
      <c r="BB65" s="26"/>
      <c r="BC65" s="19"/>
      <c r="BD65" s="26"/>
      <c r="BE65" s="19"/>
      <c r="BF65" s="19"/>
      <c r="BG65" s="26"/>
      <c r="BH65" s="19">
        <f>'[2]комплекты фурнитуры'!$C$26</f>
        <v>6660</v>
      </c>
      <c r="BI65" s="26"/>
      <c r="BJ65" s="19">
        <f>'[2]комплекты фурнитуры'!$C$31</f>
        <v>950</v>
      </c>
      <c r="BK65" s="19">
        <f>'[2]комплекты фурнитуры'!$C$33</f>
        <v>170</v>
      </c>
      <c r="BL65" s="26"/>
      <c r="BM65" s="19"/>
      <c r="BN65" s="19">
        <f>'[2]комплекты фурнитуры'!$C$36</f>
        <v>6440</v>
      </c>
      <c r="BO65" s="19"/>
      <c r="BP65" s="19"/>
      <c r="BQ65" s="19"/>
      <c r="BR65" s="19"/>
      <c r="BS65" s="19"/>
      <c r="BT65" s="19"/>
      <c r="BU65" s="20">
        <f>Прайс[[#This Row],[Комплект для ящика Hettich ATIRA Серый с реллингом, NL-470, H-176]]</f>
        <v>6660</v>
      </c>
      <c r="BV65" s="21">
        <f>Прайс[[#This Row],[KFN-SB-M15]]+Прайс[[#This Row],[KFN-SB-MD]]</f>
        <v>1120</v>
      </c>
      <c r="BW65" s="21">
        <f>Прайс[[#This Row],[Комплект ящика INNOTECH ATIRA полного выдв. с  PUSH TO OPEN , Н70,NL470,цвет серебристый]]</f>
        <v>6440</v>
      </c>
      <c r="BX65" s="22">
        <v>0</v>
      </c>
      <c r="BY65" s="22">
        <v>0</v>
      </c>
      <c r="BZ65" s="22" t="s">
        <v>96</v>
      </c>
      <c r="CA65" s="21" t="s">
        <v>127</v>
      </c>
      <c r="CB65" s="22">
        <v>0</v>
      </c>
      <c r="CC65" s="22" t="s">
        <v>96</v>
      </c>
      <c r="CD65" s="22"/>
      <c r="CE65" s="22"/>
      <c r="CF65" s="22">
        <v>1</v>
      </c>
      <c r="CG65" s="22">
        <v>0</v>
      </c>
      <c r="CH65" s="22">
        <v>0</v>
      </c>
      <c r="CI65" s="22"/>
      <c r="CJ65" s="22"/>
      <c r="CK65" s="22"/>
      <c r="CL65" s="22"/>
      <c r="CM65" s="22" t="s">
        <v>96</v>
      </c>
      <c r="CN65" s="22">
        <f>IF(Прайс[[#This Row],[Наличие подсветки на нижнем горизонте]]="Нет",0,'[2]комплекты фурнитуры'!$C$91)</f>
        <v>0</v>
      </c>
      <c r="CO65"/>
      <c r="CP65"/>
      <c r="CQ65"/>
      <c r="CR65"/>
      <c r="CS65"/>
      <c r="CT65"/>
      <c r="CU65"/>
    </row>
    <row r="66" spans="1:99" s="6" customFormat="1" ht="15" customHeight="1" x14ac:dyDescent="0.25">
      <c r="A66" s="30" t="s">
        <v>245</v>
      </c>
      <c r="B66" s="16" t="s">
        <v>234</v>
      </c>
      <c r="C66" s="16" t="s">
        <v>246</v>
      </c>
      <c r="D66" s="16" t="s">
        <v>101</v>
      </c>
      <c r="E66" s="16" t="s">
        <v>96</v>
      </c>
      <c r="F66" s="16" t="s">
        <v>97</v>
      </c>
      <c r="G66" s="17">
        <v>2000</v>
      </c>
      <c r="H66" s="17">
        <v>2610</v>
      </c>
      <c r="I66" s="17">
        <v>150</v>
      </c>
      <c r="J66" s="17">
        <v>600</v>
      </c>
      <c r="K66" s="17">
        <v>300</v>
      </c>
      <c r="L66" s="17">
        <v>640</v>
      </c>
      <c r="M66" s="44">
        <v>6990</v>
      </c>
      <c r="N66" s="21">
        <v>8850</v>
      </c>
      <c r="O66" s="49">
        <v>2040</v>
      </c>
      <c r="P66" s="49">
        <v>600</v>
      </c>
      <c r="Q66" s="49" t="str">
        <f>IF(OR(Прайс[[#This Row],[Тип]]="Нижний",Прайс[[#This Row],[Тип]]="Пенал"),"560",IF(Прайс[[#This Row],[Тип]]="Верхний",315,0))</f>
        <v>560</v>
      </c>
      <c r="R66" s="23">
        <v>1.08</v>
      </c>
      <c r="S66" s="23">
        <v>1.0649999999999999</v>
      </c>
      <c r="T66" s="23">
        <v>1.3</v>
      </c>
      <c r="U66" s="18"/>
      <c r="V66" s="18"/>
      <c r="W66" s="16"/>
      <c r="X66" s="16"/>
      <c r="Y66" s="16"/>
      <c r="Z66" s="16"/>
      <c r="AA66" s="16"/>
      <c r="AB66" s="16"/>
      <c r="AC66" s="16"/>
      <c r="AD66" s="16">
        <f>'[2]комплекты фурнитуры'!$C$13</f>
        <v>740</v>
      </c>
      <c r="AE66" s="16"/>
      <c r="AF66" s="16"/>
      <c r="AG66" s="16"/>
      <c r="AH66" s="16"/>
      <c r="AI66" s="16"/>
      <c r="AJ66" s="16">
        <f>'[2]комплекты фурнитуры'!$C$23*2</f>
        <v>560</v>
      </c>
      <c r="AK66" s="16"/>
      <c r="AL66" s="16"/>
      <c r="AM66" s="19">
        <f>SUM(Прайс[[#This Row],[КФ НСТ11]:[KFPr-SB-ZPG]])</f>
        <v>1300</v>
      </c>
      <c r="AN66" s="19"/>
      <c r="AO66" s="16"/>
      <c r="AP66" s="16"/>
      <c r="AQ66" s="33"/>
      <c r="AR66" s="19">
        <f>'[2]комплекты фурнитуры'!$C$62</f>
        <v>620</v>
      </c>
      <c r="AS66" s="19">
        <f>'[2]комплекты фурнитуры'!$C$63</f>
        <v>130</v>
      </c>
      <c r="AT66" s="19"/>
      <c r="AU66" s="19"/>
      <c r="AV66" s="19"/>
      <c r="AW66" s="19"/>
      <c r="AX66" s="19"/>
      <c r="AY66" s="19"/>
      <c r="AZ66" s="19"/>
      <c r="BA66" s="19"/>
      <c r="BB66" s="26"/>
      <c r="BC66" s="19"/>
      <c r="BD66" s="26"/>
      <c r="BE66" s="19"/>
      <c r="BF66" s="19"/>
      <c r="BG66" s="26"/>
      <c r="BH66" s="26"/>
      <c r="BI66" s="26"/>
      <c r="BJ66" s="26"/>
      <c r="BK66" s="26"/>
      <c r="BL66" s="26"/>
      <c r="BM66" s="26"/>
      <c r="BN66" s="26"/>
      <c r="BO66" s="19"/>
      <c r="BP66" s="19"/>
      <c r="BQ66" s="19"/>
      <c r="BR66" s="19"/>
      <c r="BS66" s="19"/>
      <c r="BT66" s="19"/>
      <c r="BU66" s="20">
        <f>Прайс[[#This Row],[КФ петли SENS накл.110 гр. с крестообр. Планкой]]*5</f>
        <v>3100</v>
      </c>
      <c r="BV66" s="21">
        <f>Прайс[[#This Row],[KFP-SB-N110]]*5</f>
        <v>650</v>
      </c>
      <c r="BW66" s="21">
        <f>Прайс[[#This Row],[KFP-SB-N110]]*5</f>
        <v>650</v>
      </c>
      <c r="BX66" s="22">
        <v>0</v>
      </c>
      <c r="BY66" s="22">
        <v>4</v>
      </c>
      <c r="BZ66" s="22" t="s">
        <v>112</v>
      </c>
      <c r="CA66" s="21" t="s">
        <v>98</v>
      </c>
      <c r="CB66" s="22">
        <v>1</v>
      </c>
      <c r="CC66" s="22" t="s">
        <v>112</v>
      </c>
      <c r="CD66" s="22"/>
      <c r="CE66" s="22"/>
      <c r="CF66" s="22">
        <v>2</v>
      </c>
      <c r="CG66" s="22">
        <v>0</v>
      </c>
      <c r="CH66" s="22">
        <v>0</v>
      </c>
      <c r="CI66" s="22"/>
      <c r="CJ66" s="22"/>
      <c r="CK66" s="22"/>
      <c r="CL66" s="22"/>
      <c r="CM66" s="22" t="s">
        <v>96</v>
      </c>
      <c r="CN66" s="22">
        <f>IF(Прайс[[#This Row],[Наличие подсветки на нижнем горизонте]]="Нет",0,'[2]комплекты фурнитуры'!$C$91)</f>
        <v>0</v>
      </c>
    </row>
    <row r="67" spans="1:99" ht="15" customHeight="1" x14ac:dyDescent="0.25">
      <c r="A67" s="30" t="s">
        <v>247</v>
      </c>
      <c r="B67" s="16" t="s">
        <v>234</v>
      </c>
      <c r="C67" s="16" t="s">
        <v>248</v>
      </c>
      <c r="D67" s="16" t="s">
        <v>101</v>
      </c>
      <c r="E67" s="16" t="s">
        <v>112</v>
      </c>
      <c r="F67" s="16" t="s">
        <v>97</v>
      </c>
      <c r="G67" s="17">
        <v>2000</v>
      </c>
      <c r="H67" s="17">
        <v>2280</v>
      </c>
      <c r="I67" s="17">
        <v>150</v>
      </c>
      <c r="J67" s="17">
        <v>600</v>
      </c>
      <c r="K67" s="17">
        <v>300</v>
      </c>
      <c r="L67" s="17">
        <v>640</v>
      </c>
      <c r="M67" s="44">
        <v>7549.2</v>
      </c>
      <c r="N67" s="21">
        <v>9558</v>
      </c>
      <c r="O67" s="49">
        <v>2040</v>
      </c>
      <c r="P67" s="49">
        <v>600</v>
      </c>
      <c r="Q67" s="49" t="str">
        <f>IF(OR(Прайс[[#This Row],[Тип]]="Нижний",Прайс[[#This Row],[Тип]]="Пенал"),"560",IF(Прайс[[#This Row],[Тип]]="Верхний",315,0))</f>
        <v>560</v>
      </c>
      <c r="R67" s="23">
        <v>1.08</v>
      </c>
      <c r="S67" s="23">
        <v>1.0649999999999999</v>
      </c>
      <c r="T67" s="23">
        <v>1.3</v>
      </c>
      <c r="U67" s="18">
        <v>740</v>
      </c>
      <c r="V67" s="18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>
        <f>'[2]комплекты фурнитуры'!$C$23*2</f>
        <v>560</v>
      </c>
      <c r="AK67" s="16"/>
      <c r="AL67" s="16"/>
      <c r="AM67" s="19">
        <f>SUM(Прайс[[#This Row],[КФ НСТ11]:[KFPr-SB-ZPG]])</f>
        <v>1300</v>
      </c>
      <c r="AN67" s="19"/>
      <c r="AO67" s="16"/>
      <c r="AP67" s="16"/>
      <c r="AQ67" s="33">
        <f>'[2]комплекты фурнитуры'!$C$85</f>
        <v>290</v>
      </c>
      <c r="AR67" s="19">
        <f>'[2]комплекты фурнитуры'!$C$62</f>
        <v>620</v>
      </c>
      <c r="AS67" s="26"/>
      <c r="AT67" s="19"/>
      <c r="AU67" s="19"/>
      <c r="AV67" s="19"/>
      <c r="AW67" s="19"/>
      <c r="AX67" s="19"/>
      <c r="AY67" s="19"/>
      <c r="AZ67" s="19"/>
      <c r="BA67" s="19"/>
      <c r="BB67" s="26"/>
      <c r="BC67" s="19"/>
      <c r="BD67" s="26"/>
      <c r="BE67" s="19"/>
      <c r="BF67" s="19"/>
      <c r="BG67" s="26"/>
      <c r="BH67" s="26"/>
      <c r="BI67" s="26"/>
      <c r="BJ67" s="26"/>
      <c r="BK67" s="26"/>
      <c r="BL67" s="26"/>
      <c r="BM67" s="26"/>
      <c r="BN67" s="26"/>
      <c r="BO67" s="19"/>
      <c r="BP67" s="19"/>
      <c r="BQ67" s="19"/>
      <c r="BR67" s="19"/>
      <c r="BS67" s="19"/>
      <c r="BT67" s="19"/>
      <c r="BU67" s="20">
        <f>Прайс[[#This Row],[КФ KEKU]]*4+Прайс[[#This Row],[КФ петли SENS накл.110 гр. с крестообр. Планкой]]*5</f>
        <v>4260</v>
      </c>
      <c r="BV67" s="20">
        <f>Прайс[[#This Row],[КФ KEKU]]*4+Прайс[[#This Row],[КФ петли SENS накл.110 гр. с крестообр. Планкой]]*5</f>
        <v>4260</v>
      </c>
      <c r="BW67" s="20">
        <f>Прайс[[#This Row],[КФ KEKU]]*4+Прайс[[#This Row],[КФ петли SENS накл.110 гр. с крестообр. Планкой]]*5</f>
        <v>4260</v>
      </c>
      <c r="BX67" s="22">
        <v>0</v>
      </c>
      <c r="BY67" s="22">
        <v>4</v>
      </c>
      <c r="BZ67" s="22" t="s">
        <v>96</v>
      </c>
      <c r="CA67" s="21" t="s">
        <v>139</v>
      </c>
      <c r="CB67" s="22">
        <v>0</v>
      </c>
      <c r="CC67" s="22" t="s">
        <v>112</v>
      </c>
      <c r="CD67" s="22"/>
      <c r="CE67" s="22"/>
      <c r="CF67" s="22">
        <v>2</v>
      </c>
      <c r="CG67" s="22">
        <v>0</v>
      </c>
      <c r="CH67" s="22">
        <v>0</v>
      </c>
      <c r="CI67" s="22"/>
      <c r="CJ67" s="22"/>
      <c r="CK67" s="22"/>
      <c r="CL67" s="22"/>
      <c r="CM67" s="22" t="s">
        <v>96</v>
      </c>
      <c r="CN67" s="22">
        <f>IF(Прайс[[#This Row],[Наличие подсветки на нижнем горизонте]]="Нет",0,'[2]комплекты фурнитуры'!$C$91)</f>
        <v>0</v>
      </c>
      <c r="CO67"/>
      <c r="CP67"/>
      <c r="CQ67"/>
      <c r="CR67"/>
      <c r="CS67"/>
      <c r="CT67"/>
      <c r="CU67"/>
    </row>
    <row r="68" spans="1:99" s="10" customFormat="1" ht="15" customHeight="1" x14ac:dyDescent="0.25">
      <c r="A68" s="30" t="s">
        <v>249</v>
      </c>
      <c r="B68" s="16" t="s">
        <v>234</v>
      </c>
      <c r="C68" s="16" t="s">
        <v>250</v>
      </c>
      <c r="D68" s="16" t="s">
        <v>101</v>
      </c>
      <c r="E68" s="16" t="s">
        <v>96</v>
      </c>
      <c r="F68" s="16" t="s">
        <v>251</v>
      </c>
      <c r="G68" s="17">
        <v>2000</v>
      </c>
      <c r="H68" s="17">
        <v>2610</v>
      </c>
      <c r="I68" s="17">
        <v>600</v>
      </c>
      <c r="J68" s="17">
        <v>600</v>
      </c>
      <c r="K68" s="17">
        <v>560</v>
      </c>
      <c r="L68" s="17">
        <v>600</v>
      </c>
      <c r="M68" s="44">
        <v>5750</v>
      </c>
      <c r="N68" s="21">
        <v>7430</v>
      </c>
      <c r="O68" s="49">
        <v>2040</v>
      </c>
      <c r="P68" s="49">
        <v>600</v>
      </c>
      <c r="Q68" s="49" t="str">
        <f>IF(OR(Прайс[[#This Row],[Тип]]="Нижний",Прайс[[#This Row],[Тип]]="Пенал"),"560",IF(Прайс[[#This Row],[Тип]]="Верхний",315,0))</f>
        <v>560</v>
      </c>
      <c r="R68" s="23">
        <v>1.08</v>
      </c>
      <c r="S68" s="23">
        <v>1.0649999999999999</v>
      </c>
      <c r="T68" s="23">
        <v>1.3</v>
      </c>
      <c r="U68" s="18"/>
      <c r="V68" s="18"/>
      <c r="W68" s="16"/>
      <c r="X68" s="16"/>
      <c r="Y68" s="16"/>
      <c r="Z68" s="16"/>
      <c r="AA68" s="16"/>
      <c r="AB68" s="16"/>
      <c r="AC68" s="16"/>
      <c r="AD68" s="16"/>
      <c r="AE68" s="16">
        <f>'[2]комплекты фурнитуры'!$C$14</f>
        <v>940</v>
      </c>
      <c r="AF68" s="16"/>
      <c r="AG68" s="16"/>
      <c r="AH68" s="16"/>
      <c r="AI68" s="16"/>
      <c r="AJ68" s="16">
        <f>'[2]комплекты фурнитуры'!$C$23*2</f>
        <v>560</v>
      </c>
      <c r="AK68" s="16"/>
      <c r="AL68" s="16"/>
      <c r="AM68" s="19">
        <f>SUM(Прайс[[#This Row],[КФ НСТ11]:[KFPr-SB-ZPG]])</f>
        <v>1500</v>
      </c>
      <c r="AN68" s="19"/>
      <c r="AO68" s="16"/>
      <c r="AP68" s="16"/>
      <c r="AQ68" s="33"/>
      <c r="AR68" s="19">
        <f>'[2]комплекты фурнитуры'!$C$62</f>
        <v>620</v>
      </c>
      <c r="AS68" s="19">
        <f>'[2]комплекты фурнитуры'!$C$63</f>
        <v>130</v>
      </c>
      <c r="AT68" s="19"/>
      <c r="AU68" s="19"/>
      <c r="AV68" s="19"/>
      <c r="AW68" s="19"/>
      <c r="AX68" s="19"/>
      <c r="AY68" s="19"/>
      <c r="AZ68" s="19"/>
      <c r="BA68" s="19"/>
      <c r="BB68" s="26"/>
      <c r="BC68" s="19"/>
      <c r="BD68" s="26"/>
      <c r="BE68" s="19"/>
      <c r="BF68" s="19"/>
      <c r="BG68" s="26"/>
      <c r="BH68" s="26"/>
      <c r="BI68" s="26"/>
      <c r="BJ68" s="26"/>
      <c r="BK68" s="26"/>
      <c r="BL68" s="26"/>
      <c r="BM68" s="26"/>
      <c r="BN68" s="26"/>
      <c r="BO68" s="19"/>
      <c r="BP68" s="19"/>
      <c r="BQ68" s="19"/>
      <c r="BR68" s="19"/>
      <c r="BS68" s="19"/>
      <c r="BT68" s="19"/>
      <c r="BU68" s="20">
        <f>Прайс[[#This Row],[КФ петли SENS накл.110 гр. с крестообр. Планкой]]*5</f>
        <v>3100</v>
      </c>
      <c r="BV68" s="21">
        <f>Прайс[[#This Row],[KFP-SB-N110]]*5</f>
        <v>650</v>
      </c>
      <c r="BW68" s="21">
        <f>Прайс[[#This Row],[KFP-SB-N110]]*5</f>
        <v>650</v>
      </c>
      <c r="BX68" s="22">
        <v>0</v>
      </c>
      <c r="BY68" s="22">
        <v>0</v>
      </c>
      <c r="BZ68" s="22" t="s">
        <v>96</v>
      </c>
      <c r="CA68" s="21" t="s">
        <v>127</v>
      </c>
      <c r="CB68" s="22">
        <v>0</v>
      </c>
      <c r="CC68" s="22" t="s">
        <v>96</v>
      </c>
      <c r="CD68" s="22"/>
      <c r="CE68" s="22"/>
      <c r="CF68" s="22">
        <v>2</v>
      </c>
      <c r="CG68" s="22">
        <v>0</v>
      </c>
      <c r="CH68" s="22">
        <v>0</v>
      </c>
      <c r="CI68" s="22"/>
      <c r="CJ68" s="22"/>
      <c r="CK68" s="22"/>
      <c r="CL68" s="22"/>
      <c r="CM68" s="22" t="s">
        <v>96</v>
      </c>
      <c r="CN68" s="22">
        <f>IF(Прайс[[#This Row],[Наличие подсветки на нижнем горизонте]]="Нет",0,'[2]комплекты фурнитуры'!$C$91)</f>
        <v>0</v>
      </c>
    </row>
    <row r="69" spans="1:99" x14ac:dyDescent="0.25">
      <c r="A69" s="30" t="s">
        <v>252</v>
      </c>
      <c r="B69" s="16" t="s">
        <v>234</v>
      </c>
      <c r="C69" s="16" t="s">
        <v>253</v>
      </c>
      <c r="D69" s="16" t="s">
        <v>101</v>
      </c>
      <c r="E69" s="16" t="s">
        <v>112</v>
      </c>
      <c r="F69" s="16" t="s">
        <v>251</v>
      </c>
      <c r="G69" s="17">
        <v>2000</v>
      </c>
      <c r="H69" s="17">
        <v>2280</v>
      </c>
      <c r="I69" s="17">
        <v>600</v>
      </c>
      <c r="J69" s="17">
        <v>600</v>
      </c>
      <c r="K69" s="17">
        <v>560</v>
      </c>
      <c r="L69" s="17">
        <v>560</v>
      </c>
      <c r="M69" s="44">
        <v>6210</v>
      </c>
      <c r="N69" s="21">
        <v>8024.4</v>
      </c>
      <c r="O69" s="49">
        <v>2040</v>
      </c>
      <c r="P69" s="49">
        <v>600</v>
      </c>
      <c r="Q69" s="49" t="str">
        <f>IF(OR(Прайс[[#This Row],[Тип]]="Нижний",Прайс[[#This Row],[Тип]]="Пенал"),"560",IF(Прайс[[#This Row],[Тип]]="Верхний",315,0))</f>
        <v>560</v>
      </c>
      <c r="R69" s="23">
        <v>1.08</v>
      </c>
      <c r="S69" s="23">
        <v>1.0649999999999999</v>
      </c>
      <c r="T69" s="23">
        <v>1.3</v>
      </c>
      <c r="U69" s="18"/>
      <c r="V69" s="18"/>
      <c r="W69" s="16"/>
      <c r="X69" s="16"/>
      <c r="Y69" s="16"/>
      <c r="Z69" s="16"/>
      <c r="AA69" s="16"/>
      <c r="AB69" s="16"/>
      <c r="AC69" s="16"/>
      <c r="AD69" s="16"/>
      <c r="AE69" s="16">
        <f>'[2]комплекты фурнитуры'!$C$14</f>
        <v>940</v>
      </c>
      <c r="AF69" s="16"/>
      <c r="AG69" s="16"/>
      <c r="AH69" s="16"/>
      <c r="AI69" s="16"/>
      <c r="AJ69" s="16">
        <f>'[2]комплекты фурнитуры'!$C$23*2</f>
        <v>560</v>
      </c>
      <c r="AK69" s="16"/>
      <c r="AL69" s="16"/>
      <c r="AM69" s="19">
        <f>SUM(Прайс[[#This Row],[КФ НСТ11]:[KFPr-SB-ZPG]])</f>
        <v>1500</v>
      </c>
      <c r="AN69" s="19"/>
      <c r="AO69" s="16"/>
      <c r="AP69" s="16"/>
      <c r="AQ69" s="33">
        <f>'[2]комплекты фурнитуры'!$C$85</f>
        <v>290</v>
      </c>
      <c r="AR69" s="19">
        <f>'[2]комплекты фурнитуры'!$C$62</f>
        <v>620</v>
      </c>
      <c r="AS69" s="26"/>
      <c r="AT69" s="19"/>
      <c r="AU69" s="19"/>
      <c r="AV69" s="19"/>
      <c r="AW69" s="19"/>
      <c r="AX69" s="19"/>
      <c r="AY69" s="19"/>
      <c r="AZ69" s="19"/>
      <c r="BA69" s="19"/>
      <c r="BB69" s="26"/>
      <c r="BC69" s="19"/>
      <c r="BD69" s="26"/>
      <c r="BE69" s="19"/>
      <c r="BF69" s="19"/>
      <c r="BG69" s="26"/>
      <c r="BH69" s="26"/>
      <c r="BI69" s="26"/>
      <c r="BJ69" s="26"/>
      <c r="BK69" s="26"/>
      <c r="BL69" s="26"/>
      <c r="BM69" s="26"/>
      <c r="BN69" s="26"/>
      <c r="BO69" s="19"/>
      <c r="BP69" s="19"/>
      <c r="BQ69" s="19"/>
      <c r="BR69" s="19"/>
      <c r="BS69" s="19"/>
      <c r="BT69" s="19"/>
      <c r="BU69" s="20">
        <f>Прайс[[#This Row],[КФ KEKU]]*4+Прайс[[#This Row],[КФ петли SENS накл.110 гр. с крестообр. Планкой]]*5</f>
        <v>4260</v>
      </c>
      <c r="BV69" s="20">
        <f>Прайс[[#This Row],[КФ KEKU]]*4+Прайс[[#This Row],[КФ петли SENS накл.110 гр. с крестообр. Планкой]]*5</f>
        <v>4260</v>
      </c>
      <c r="BW69" s="20">
        <f>Прайс[[#This Row],[КФ KEKU]]*4+Прайс[[#This Row],[КФ петли SENS накл.110 гр. с крестообр. Планкой]]*5</f>
        <v>4260</v>
      </c>
      <c r="BX69" s="22">
        <v>0</v>
      </c>
      <c r="BY69" s="22">
        <v>1</v>
      </c>
      <c r="BZ69" s="22" t="s">
        <v>96</v>
      </c>
      <c r="CA69" s="21" t="s">
        <v>139</v>
      </c>
      <c r="CB69" s="22">
        <v>0</v>
      </c>
      <c r="CC69" s="22" t="s">
        <v>96</v>
      </c>
      <c r="CD69" s="22"/>
      <c r="CE69" s="22"/>
      <c r="CF69" s="22">
        <v>2</v>
      </c>
      <c r="CG69" s="22">
        <v>0</v>
      </c>
      <c r="CH69" s="22">
        <v>0</v>
      </c>
      <c r="CI69" s="22"/>
      <c r="CJ69" s="22"/>
      <c r="CK69" s="22"/>
      <c r="CL69" s="22"/>
      <c r="CM69" s="22" t="s">
        <v>96</v>
      </c>
      <c r="CN69" s="22">
        <f>IF(Прайс[[#This Row],[Наличие подсветки на нижнем горизонте]]="Нет",0,'[2]комплекты фурнитуры'!$C$91)</f>
        <v>0</v>
      </c>
      <c r="CO69"/>
      <c r="CP69"/>
      <c r="CQ69"/>
      <c r="CR69"/>
      <c r="CS69"/>
      <c r="CT69"/>
      <c r="CU69"/>
    </row>
    <row r="70" spans="1:99" ht="15" customHeight="1" x14ac:dyDescent="0.25">
      <c r="A70" s="35" t="s">
        <v>254</v>
      </c>
      <c r="B70" s="16" t="s">
        <v>234</v>
      </c>
      <c r="C70" s="16" t="s">
        <v>255</v>
      </c>
      <c r="D70" s="16" t="s">
        <v>101</v>
      </c>
      <c r="E70" s="16" t="s">
        <v>96</v>
      </c>
      <c r="F70" s="16" t="s">
        <v>126</v>
      </c>
      <c r="G70" s="17">
        <v>2000</v>
      </c>
      <c r="H70" s="17">
        <v>2280</v>
      </c>
      <c r="I70" s="17">
        <v>300</v>
      </c>
      <c r="J70" s="17">
        <v>600</v>
      </c>
      <c r="K70" s="17">
        <v>560</v>
      </c>
      <c r="L70" s="17">
        <v>560</v>
      </c>
      <c r="M70" s="44">
        <v>9310</v>
      </c>
      <c r="N70" s="21">
        <v>11930</v>
      </c>
      <c r="O70" s="49">
        <v>2040</v>
      </c>
      <c r="P70" s="49">
        <v>600</v>
      </c>
      <c r="Q70" s="49" t="str">
        <f>IF(OR(Прайс[[#This Row],[Тип]]="Нижний",Прайс[[#This Row],[Тип]]="Пенал"),"560",IF(Прайс[[#This Row],[Тип]]="Верхний",315,0))</f>
        <v>560</v>
      </c>
      <c r="R70" s="23">
        <v>1.08</v>
      </c>
      <c r="S70" s="23">
        <v>1.0649999999999999</v>
      </c>
      <c r="T70" s="23">
        <v>0</v>
      </c>
      <c r="U70" s="18"/>
      <c r="V70" s="18"/>
      <c r="W70" s="16"/>
      <c r="X70" s="16"/>
      <c r="Y70" s="16"/>
      <c r="Z70" s="16"/>
      <c r="AA70" s="16"/>
      <c r="AB70" s="16"/>
      <c r="AC70" s="16"/>
      <c r="AD70" s="16"/>
      <c r="AE70" s="16">
        <f>'[2]комплекты фурнитуры'!$C$14</f>
        <v>940</v>
      </c>
      <c r="AF70" s="16"/>
      <c r="AG70" s="16"/>
      <c r="AH70" s="16"/>
      <c r="AI70" s="16"/>
      <c r="AJ70" s="16">
        <f>'[2]комплекты фурнитуры'!$C$23*2</f>
        <v>560</v>
      </c>
      <c r="AK70" s="16"/>
      <c r="AL70" s="16"/>
      <c r="AM70" s="19">
        <f>SUM(Прайс[[#This Row],[КФ НСТ11]:[KFPr-SB-ZPG]])</f>
        <v>1500</v>
      </c>
      <c r="AN70" s="19"/>
      <c r="AO70" s="16"/>
      <c r="AP70" s="16"/>
      <c r="AQ70" s="33"/>
      <c r="AR70" s="19">
        <f>'[2]комплекты фурнитуры'!$C$62</f>
        <v>620</v>
      </c>
      <c r="AS70" s="19">
        <f>'[2]комплекты фурнитуры'!$C$63</f>
        <v>130</v>
      </c>
      <c r="AT70" s="19"/>
      <c r="AU70" s="19"/>
      <c r="AV70" s="19"/>
      <c r="AW70" s="19"/>
      <c r="AX70" s="19"/>
      <c r="AY70" s="19"/>
      <c r="AZ70" s="19"/>
      <c r="BA70" s="19"/>
      <c r="BB70" s="26"/>
      <c r="BC70" s="19"/>
      <c r="BD70" s="26"/>
      <c r="BE70" s="19"/>
      <c r="BF70" s="19"/>
      <c r="BG70" s="19">
        <f>'[2]комплекты фурнитуры'!$C$25</f>
        <v>5100</v>
      </c>
      <c r="BH70" s="19">
        <f>'[2]комплекты фурнитуры'!$C$26</f>
        <v>6660</v>
      </c>
      <c r="BI70" s="19">
        <f>'[2]комплекты фурнитуры'!$C$32</f>
        <v>370</v>
      </c>
      <c r="BJ70" s="19">
        <f>'[2]комплекты фурнитуры'!$C$31</f>
        <v>950</v>
      </c>
      <c r="BK70" s="19">
        <f>'[2]комплекты фурнитуры'!$C$33</f>
        <v>170</v>
      </c>
      <c r="BL70" s="19">
        <f>'[2]комплекты фурнитуры'!$C$35</f>
        <v>4140</v>
      </c>
      <c r="BM70" s="19">
        <f>'[2]комплекты фурнитуры'!$C$34</f>
        <v>5040</v>
      </c>
      <c r="BN70" s="19">
        <f>'[2]комплекты фурнитуры'!$C$36</f>
        <v>6440</v>
      </c>
      <c r="BO70" s="19">
        <f>'[2]комплекты фурнитуры'!$C$37</f>
        <v>7970</v>
      </c>
      <c r="BP70" s="19"/>
      <c r="BQ70" s="19"/>
      <c r="BR70" s="19"/>
      <c r="BS70" s="19"/>
      <c r="BT70" s="19"/>
      <c r="BU70" s="20">
        <f>Прайс[[#This Row],[Комплект для ящика Hettich ATIRA Серый, NL-470, H-70]]*2+Прайс[[#This Row],[Комплект для ящика Hettich ATIRA Серый с реллингом, NL-470, H-176]]+Прайс[[#This Row],[КФ петли SENS накл.110 гр. с крестообр. Планкой]]*3</f>
        <v>18720</v>
      </c>
      <c r="BV70" s="21">
        <f>Прайс[[#This Row],[KFN-SB-M86]]*2+Прайс[[#This Row],[KFN-SB-M15]]+Прайс[[#This Row],[KFN-SB-MD]]*3+Прайс[[#This Row],[KFP-SB-N110]]*3</f>
        <v>2590</v>
      </c>
      <c r="BW70" s="21">
        <f>Прайс[[#This Row],[Комплект ящика INNOTECH ATIRA полного выдв. с  PUSH TO OPEN , Н70,NL470,цвет серебристый]]*2+Прайс[[#This Row],[Комплект короба INNOTECH ATIRA полного выдв. с Push to open, Н176,NL470,рейлинги, цвет серебристый]]+Прайс[[#This Row],[KFP-SB-N110]]*3</f>
        <v>21240</v>
      </c>
      <c r="BX70" s="22">
        <v>2</v>
      </c>
      <c r="BY70" s="22">
        <v>2</v>
      </c>
      <c r="BZ70" s="22" t="s">
        <v>96</v>
      </c>
      <c r="CA70" s="21" t="s">
        <v>127</v>
      </c>
      <c r="CB70" s="22">
        <v>2</v>
      </c>
      <c r="CC70" s="22" t="s">
        <v>112</v>
      </c>
      <c r="CD70" s="22"/>
      <c r="CE70" s="22"/>
      <c r="CF70" s="22">
        <v>4</v>
      </c>
      <c r="CG70" s="22">
        <v>0</v>
      </c>
      <c r="CH70" s="22">
        <v>0</v>
      </c>
      <c r="CI70" s="22"/>
      <c r="CJ70" s="22"/>
      <c r="CK70" s="22"/>
      <c r="CL70" s="22"/>
      <c r="CM70" s="22" t="s">
        <v>96</v>
      </c>
      <c r="CN70" s="22">
        <f>IF(Прайс[[#This Row],[Наличие подсветки на нижнем горизонте]]="Нет",0,'[2]комплекты фурнитуры'!$C$91)</f>
        <v>0</v>
      </c>
      <c r="CO70"/>
      <c r="CP70"/>
      <c r="CQ70"/>
      <c r="CR70"/>
      <c r="CS70"/>
      <c r="CT70"/>
      <c r="CU70"/>
    </row>
    <row r="71" spans="1:99" ht="15" customHeight="1" x14ac:dyDescent="0.25">
      <c r="A71" s="30" t="s">
        <v>256</v>
      </c>
      <c r="B71" s="16" t="s">
        <v>234</v>
      </c>
      <c r="C71" s="16" t="s">
        <v>257</v>
      </c>
      <c r="D71" s="16" t="s">
        <v>101</v>
      </c>
      <c r="E71" s="16" t="s">
        <v>96</v>
      </c>
      <c r="F71" s="16" t="s">
        <v>126</v>
      </c>
      <c r="G71" s="17">
        <v>2000</v>
      </c>
      <c r="H71" s="17">
        <v>2280</v>
      </c>
      <c r="I71" s="17">
        <v>300</v>
      </c>
      <c r="J71" s="17">
        <v>600</v>
      </c>
      <c r="K71" s="17">
        <v>560</v>
      </c>
      <c r="L71" s="17">
        <v>560</v>
      </c>
      <c r="M71" s="44">
        <v>8710</v>
      </c>
      <c r="N71" s="21">
        <v>11170</v>
      </c>
      <c r="O71" s="49">
        <v>2040</v>
      </c>
      <c r="P71" s="49">
        <v>600</v>
      </c>
      <c r="Q71" s="49" t="str">
        <f>IF(OR(Прайс[[#This Row],[Тип]]="Нижний",Прайс[[#This Row],[Тип]]="Пенал"),"560",IF(Прайс[[#This Row],[Тип]]="Верхний",315,0))</f>
        <v>560</v>
      </c>
      <c r="R71" s="23">
        <v>1.08</v>
      </c>
      <c r="S71" s="23">
        <v>1.0649999999999999</v>
      </c>
      <c r="T71" s="23">
        <v>0</v>
      </c>
      <c r="U71" s="18"/>
      <c r="V71" s="18"/>
      <c r="W71" s="16"/>
      <c r="X71" s="16"/>
      <c r="Y71" s="16"/>
      <c r="Z71" s="16"/>
      <c r="AA71" s="16"/>
      <c r="AB71" s="16"/>
      <c r="AC71" s="16"/>
      <c r="AD71" s="16"/>
      <c r="AE71" s="16">
        <f>'[2]комплекты фурнитуры'!$C$14</f>
        <v>940</v>
      </c>
      <c r="AF71" s="16"/>
      <c r="AG71" s="16"/>
      <c r="AH71" s="16"/>
      <c r="AI71" s="16"/>
      <c r="AJ71" s="16">
        <f>'[2]комплекты фурнитуры'!$C$23*2</f>
        <v>560</v>
      </c>
      <c r="AK71" s="16"/>
      <c r="AL71" s="16"/>
      <c r="AM71" s="19">
        <f>SUM(Прайс[[#This Row],[КФ НСТ11]:[KFPr-SB-ZPG]])</f>
        <v>1500</v>
      </c>
      <c r="AN71" s="19"/>
      <c r="AO71" s="16"/>
      <c r="AP71" s="16"/>
      <c r="AQ71" s="33"/>
      <c r="AR71" s="19">
        <f>'[2]комплекты фурнитуры'!$C$62</f>
        <v>620</v>
      </c>
      <c r="AS71" s="19">
        <f>'[2]комплекты фурнитуры'!$C$63</f>
        <v>130</v>
      </c>
      <c r="AT71" s="19"/>
      <c r="AU71" s="19"/>
      <c r="AV71" s="19"/>
      <c r="AW71" s="19"/>
      <c r="AX71" s="19"/>
      <c r="AY71" s="19"/>
      <c r="AZ71" s="19"/>
      <c r="BA71" s="19"/>
      <c r="BB71" s="26"/>
      <c r="BC71" s="19"/>
      <c r="BD71" s="26"/>
      <c r="BE71" s="19"/>
      <c r="BF71" s="19"/>
      <c r="BG71" s="26"/>
      <c r="BH71" s="19">
        <f>'[2]комплекты фурнитуры'!$C$26</f>
        <v>6660</v>
      </c>
      <c r="BI71" s="26"/>
      <c r="BJ71" s="19">
        <f>'[2]комплекты фурнитуры'!$C$31</f>
        <v>950</v>
      </c>
      <c r="BK71" s="19">
        <f>'[2]комплекты фурнитуры'!$C$33</f>
        <v>170</v>
      </c>
      <c r="BL71" s="26"/>
      <c r="BM71" s="19">
        <f>'[2]комплекты фурнитуры'!$C$34</f>
        <v>5040</v>
      </c>
      <c r="BN71" s="19">
        <f>'[2]комплекты фурнитуры'!$C$36</f>
        <v>6440</v>
      </c>
      <c r="BO71" s="19">
        <f>'[2]комплекты фурнитуры'!$C$37</f>
        <v>7970</v>
      </c>
      <c r="BP71" s="19"/>
      <c r="BQ71" s="19"/>
      <c r="BR71" s="19"/>
      <c r="BS71" s="19"/>
      <c r="BT71" s="19"/>
      <c r="BU71" s="20">
        <f>Прайс[[#This Row],[Комплект для ящика Hettich ATIRA Серый с реллингом, NL-470, H-176]]*2+Прайс[[#This Row],[КФ петли SENS накл.110 гр. с крестообр. Планкой]]*3</f>
        <v>15180</v>
      </c>
      <c r="BV71" s="21">
        <f>Прайс[[#This Row],[KFN-SB-M15]]*2+Прайс[[#This Row],[KFN-SB-MD]]*2+Прайс[[#This Row],[KFP-SB-N110]]*3</f>
        <v>2630</v>
      </c>
      <c r="BW71" s="21">
        <f>Прайс[[#This Row],[Комплект ящика INNOTECH ATIRA полного выдв. с  PUSH TO OPEN , Н70,NL470,цвет серебристый]]*2+Прайс[[#This Row],[KFP-SB-N110]]*3</f>
        <v>13270</v>
      </c>
      <c r="BX71" s="22">
        <v>2</v>
      </c>
      <c r="BY71" s="22">
        <v>2</v>
      </c>
      <c r="BZ71" s="22" t="s">
        <v>96</v>
      </c>
      <c r="CA71" s="21" t="s">
        <v>127</v>
      </c>
      <c r="CB71" s="22">
        <v>2</v>
      </c>
      <c r="CC71" s="22" t="s">
        <v>112</v>
      </c>
      <c r="CD71" s="22"/>
      <c r="CE71" s="22"/>
      <c r="CF71" s="22">
        <v>3</v>
      </c>
      <c r="CG71" s="22">
        <v>0</v>
      </c>
      <c r="CH71" s="22">
        <v>0</v>
      </c>
      <c r="CI71" s="22"/>
      <c r="CJ71" s="22"/>
      <c r="CK71" s="22"/>
      <c r="CL71" s="22"/>
      <c r="CM71" s="22" t="s">
        <v>96</v>
      </c>
      <c r="CN71" s="22">
        <f>IF(Прайс[[#This Row],[Наличие подсветки на нижнем горизонте]]="Нет",0,'[2]комплекты фурнитуры'!$C$91)</f>
        <v>0</v>
      </c>
      <c r="CO71"/>
      <c r="CP71"/>
      <c r="CQ71"/>
      <c r="CR71"/>
      <c r="CS71"/>
      <c r="CT71"/>
      <c r="CU71"/>
    </row>
    <row r="72" spans="1:99" s="11" customFormat="1" ht="15" customHeight="1" x14ac:dyDescent="0.25">
      <c r="A72" s="30" t="s">
        <v>258</v>
      </c>
      <c r="B72" s="16" t="s">
        <v>234</v>
      </c>
      <c r="C72" s="16" t="s">
        <v>259</v>
      </c>
      <c r="D72" s="16" t="s">
        <v>101</v>
      </c>
      <c r="E72" s="16" t="s">
        <v>112</v>
      </c>
      <c r="F72" s="16" t="s">
        <v>240</v>
      </c>
      <c r="G72" s="17">
        <v>2000</v>
      </c>
      <c r="H72" s="17">
        <v>2280</v>
      </c>
      <c r="I72" s="17">
        <v>600</v>
      </c>
      <c r="J72" s="17">
        <v>600</v>
      </c>
      <c r="K72" s="17">
        <v>560</v>
      </c>
      <c r="L72" s="17">
        <v>560</v>
      </c>
      <c r="M72" s="44">
        <v>7905.6</v>
      </c>
      <c r="N72" s="21">
        <v>10141.200000000001</v>
      </c>
      <c r="O72" s="49">
        <v>2040</v>
      </c>
      <c r="P72" s="49">
        <v>600</v>
      </c>
      <c r="Q72" s="49" t="str">
        <f>IF(OR(Прайс[[#This Row],[Тип]]="Нижний",Прайс[[#This Row],[Тип]]="Пенал"),"560",IF(Прайс[[#This Row],[Тип]]="Верхний",315,0))</f>
        <v>560</v>
      </c>
      <c r="R72" s="23">
        <v>1.08</v>
      </c>
      <c r="S72" s="23">
        <v>1.0649999999999999</v>
      </c>
      <c r="T72" s="23">
        <v>1.3</v>
      </c>
      <c r="U72" s="18"/>
      <c r="V72" s="18"/>
      <c r="W72" s="16"/>
      <c r="X72" s="16"/>
      <c r="Y72" s="16"/>
      <c r="Z72" s="16"/>
      <c r="AA72" s="16"/>
      <c r="AB72" s="16"/>
      <c r="AC72" s="16"/>
      <c r="AD72" s="16"/>
      <c r="AE72" s="16">
        <f>'[2]комплекты фурнитуры'!$C$14</f>
        <v>940</v>
      </c>
      <c r="AF72" s="16"/>
      <c r="AG72" s="16"/>
      <c r="AH72" s="16"/>
      <c r="AI72" s="16"/>
      <c r="AJ72" s="16">
        <f>'[2]комплекты фурнитуры'!$C$23*2</f>
        <v>560</v>
      </c>
      <c r="AK72" s="16"/>
      <c r="AL72" s="16"/>
      <c r="AM72" s="19">
        <f>SUM(Прайс[[#This Row],[КФ НСТ11]:[KFPr-SB-ZPG]])</f>
        <v>1500</v>
      </c>
      <c r="AN72" s="19"/>
      <c r="AO72" s="16"/>
      <c r="AP72" s="16"/>
      <c r="AQ72" s="33">
        <f>'[2]комплекты фурнитуры'!$C$85</f>
        <v>290</v>
      </c>
      <c r="AR72" s="19">
        <f>'[2]комплекты фурнитуры'!$C$62</f>
        <v>620</v>
      </c>
      <c r="AS72" s="26"/>
      <c r="AT72" s="19"/>
      <c r="AU72" s="19"/>
      <c r="AV72" s="19"/>
      <c r="AW72" s="19"/>
      <c r="AX72" s="19"/>
      <c r="AY72" s="19"/>
      <c r="AZ72" s="19"/>
      <c r="BA72" s="19"/>
      <c r="BB72" s="26"/>
      <c r="BC72" s="19"/>
      <c r="BD72" s="26"/>
      <c r="BE72" s="19"/>
      <c r="BF72" s="19"/>
      <c r="BG72" s="26"/>
      <c r="BH72" s="26"/>
      <c r="BI72" s="26"/>
      <c r="BJ72" s="26"/>
      <c r="BK72" s="26"/>
      <c r="BL72" s="26"/>
      <c r="BM72" s="26"/>
      <c r="BN72" s="26"/>
      <c r="BO72" s="19"/>
      <c r="BP72" s="19"/>
      <c r="BQ72" s="19"/>
      <c r="BR72" s="19"/>
      <c r="BS72" s="19"/>
      <c r="BT72" s="19"/>
      <c r="BU72" s="20">
        <f>Прайс[[#This Row],[КФ KEKU]]*4+Прайс[[#This Row],[КФ петли SENS накл.110 гр. с крестообр. Планкой]]*4</f>
        <v>3640</v>
      </c>
      <c r="BV72" s="20">
        <f>Прайс[[#This Row],[КФ KEKU]]*4+Прайс[[#This Row],[КФ петли SENS накл.110 гр. с крестообр. Планкой]]*4</f>
        <v>3640</v>
      </c>
      <c r="BW72" s="20">
        <f>Прайс[[#This Row],[КФ KEKU]]*4+Прайс[[#This Row],[КФ петли SENS накл.110 гр. с крестообр. Планкой]]*4</f>
        <v>3640</v>
      </c>
      <c r="BX72" s="22">
        <v>2</v>
      </c>
      <c r="BY72" s="22">
        <v>3</v>
      </c>
      <c r="BZ72" s="22" t="s">
        <v>96</v>
      </c>
      <c r="CA72" s="36" t="s">
        <v>139</v>
      </c>
      <c r="CB72" s="22">
        <v>2</v>
      </c>
      <c r="CC72" s="22" t="s">
        <v>96</v>
      </c>
      <c r="CD72" s="22"/>
      <c r="CE72" s="22"/>
      <c r="CF72" s="22">
        <v>2</v>
      </c>
      <c r="CG72" s="22">
        <v>0</v>
      </c>
      <c r="CH72" s="22">
        <v>0</v>
      </c>
      <c r="CI72" s="22"/>
      <c r="CJ72" s="22"/>
      <c r="CK72" s="22"/>
      <c r="CL72" s="22"/>
      <c r="CM72" s="22" t="s">
        <v>96</v>
      </c>
      <c r="CN72" s="22">
        <f>IF(Прайс[[#This Row],[Наличие подсветки на нижнем горизонте]]="Нет",0,'[2]комплекты фурнитуры'!$C$91)</f>
        <v>0</v>
      </c>
    </row>
    <row r="73" spans="1:99" s="11" customFormat="1" ht="15" customHeight="1" x14ac:dyDescent="0.25">
      <c r="A73" s="30" t="s">
        <v>260</v>
      </c>
      <c r="B73" s="16" t="s">
        <v>234</v>
      </c>
      <c r="C73" s="16" t="s">
        <v>261</v>
      </c>
      <c r="D73" s="16" t="s">
        <v>101</v>
      </c>
      <c r="E73" s="16" t="s">
        <v>112</v>
      </c>
      <c r="F73" s="16" t="s">
        <v>240</v>
      </c>
      <c r="G73" s="17">
        <v>2000</v>
      </c>
      <c r="H73" s="17">
        <v>2280</v>
      </c>
      <c r="I73" s="17">
        <v>600</v>
      </c>
      <c r="J73" s="17">
        <v>600</v>
      </c>
      <c r="K73" s="17">
        <v>560</v>
      </c>
      <c r="L73" s="17">
        <v>560</v>
      </c>
      <c r="M73" s="44">
        <v>7905.6</v>
      </c>
      <c r="N73" s="21">
        <v>10141.200000000001</v>
      </c>
      <c r="O73" s="49">
        <v>2040</v>
      </c>
      <c r="P73" s="49">
        <v>600</v>
      </c>
      <c r="Q73" s="49" t="str">
        <f>IF(OR(Прайс[[#This Row],[Тип]]="Нижний",Прайс[[#This Row],[Тип]]="Пенал"),"560",IF(Прайс[[#This Row],[Тип]]="Верхний",315,0))</f>
        <v>560</v>
      </c>
      <c r="R73" s="23">
        <v>1.08</v>
      </c>
      <c r="S73" s="23">
        <v>1.0649999999999999</v>
      </c>
      <c r="T73" s="23">
        <v>1.3</v>
      </c>
      <c r="U73" s="18"/>
      <c r="V73" s="18"/>
      <c r="W73" s="16"/>
      <c r="X73" s="16"/>
      <c r="Y73" s="16"/>
      <c r="Z73" s="16"/>
      <c r="AA73" s="16"/>
      <c r="AB73" s="16"/>
      <c r="AC73" s="16"/>
      <c r="AD73" s="16"/>
      <c r="AE73" s="16">
        <f>'[2]комплекты фурнитуры'!$C$14</f>
        <v>940</v>
      </c>
      <c r="AF73" s="16"/>
      <c r="AG73" s="16"/>
      <c r="AH73" s="16"/>
      <c r="AI73" s="16"/>
      <c r="AJ73" s="16">
        <f>'[2]комплекты фурнитуры'!$C$23*2</f>
        <v>560</v>
      </c>
      <c r="AK73" s="16"/>
      <c r="AL73" s="16"/>
      <c r="AM73" s="19">
        <f>SUM(Прайс[[#This Row],[КФ НСТ11]:[KFPr-SB-ZPG]])</f>
        <v>1500</v>
      </c>
      <c r="AN73" s="19"/>
      <c r="AO73" s="16"/>
      <c r="AP73" s="16"/>
      <c r="AQ73" s="33">
        <f>'[2]комплекты фурнитуры'!$C$85</f>
        <v>290</v>
      </c>
      <c r="AR73" s="19">
        <f>'[2]комплекты фурнитуры'!$C$62</f>
        <v>620</v>
      </c>
      <c r="AS73" s="26"/>
      <c r="AT73" s="19"/>
      <c r="AU73" s="19"/>
      <c r="AV73" s="19"/>
      <c r="AW73" s="19"/>
      <c r="AX73" s="19"/>
      <c r="AY73" s="19"/>
      <c r="AZ73" s="19"/>
      <c r="BA73" s="19"/>
      <c r="BB73" s="26"/>
      <c r="BC73" s="19"/>
      <c r="BD73" s="26"/>
      <c r="BE73" s="19"/>
      <c r="BF73" s="19"/>
      <c r="BG73" s="26"/>
      <c r="BH73" s="26"/>
      <c r="BI73" s="26"/>
      <c r="BJ73" s="26"/>
      <c r="BK73" s="26"/>
      <c r="BL73" s="26"/>
      <c r="BM73" s="26"/>
      <c r="BN73" s="26"/>
      <c r="BO73" s="19"/>
      <c r="BP73" s="19"/>
      <c r="BQ73" s="19"/>
      <c r="BR73" s="19"/>
      <c r="BS73" s="19"/>
      <c r="BT73" s="19"/>
      <c r="BU73" s="20">
        <f>Прайс[[#This Row],[КФ KEKU]]*4+Прайс[[#This Row],[КФ петли SENS накл.110 гр. с крестообр. Планкой]]*4</f>
        <v>3640</v>
      </c>
      <c r="BV73" s="20">
        <f>Прайс[[#This Row],[КФ KEKU]]*4+Прайс[[#This Row],[КФ петли SENS накл.110 гр. с крестообр. Планкой]]*4</f>
        <v>3640</v>
      </c>
      <c r="BW73" s="20">
        <f>Прайс[[#This Row],[КФ KEKU]]*4+Прайс[[#This Row],[КФ петли SENS накл.110 гр. с крестообр. Планкой]]*4</f>
        <v>3640</v>
      </c>
      <c r="BX73" s="22">
        <v>2</v>
      </c>
      <c r="BY73" s="22">
        <v>3</v>
      </c>
      <c r="BZ73" s="22" t="s">
        <v>96</v>
      </c>
      <c r="CA73" s="36" t="s">
        <v>139</v>
      </c>
      <c r="CB73" s="22">
        <v>2</v>
      </c>
      <c r="CC73" s="22" t="s">
        <v>96</v>
      </c>
      <c r="CD73" s="22"/>
      <c r="CE73" s="22"/>
      <c r="CF73" s="22">
        <v>2</v>
      </c>
      <c r="CG73" s="22">
        <v>0</v>
      </c>
      <c r="CH73" s="22">
        <v>0</v>
      </c>
      <c r="CI73" s="22"/>
      <c r="CJ73" s="22"/>
      <c r="CK73" s="22"/>
      <c r="CL73" s="22"/>
      <c r="CM73" s="22" t="s">
        <v>96</v>
      </c>
      <c r="CN73" s="22">
        <f>IF(Прайс[[#This Row],[Наличие подсветки на нижнем горизонте]]="Нет",0,'[2]комплекты фурнитуры'!$C$91)</f>
        <v>0</v>
      </c>
    </row>
    <row r="74" spans="1:99" s="12" customFormat="1" ht="15" customHeight="1" x14ac:dyDescent="0.25">
      <c r="A74" s="30" t="s">
        <v>262</v>
      </c>
      <c r="B74" s="16" t="s">
        <v>234</v>
      </c>
      <c r="C74" s="16" t="s">
        <v>263</v>
      </c>
      <c r="D74" s="16" t="s">
        <v>101</v>
      </c>
      <c r="E74" s="16" t="s">
        <v>96</v>
      </c>
      <c r="F74" s="16" t="s">
        <v>240</v>
      </c>
      <c r="G74" s="17">
        <v>2000</v>
      </c>
      <c r="H74" s="17">
        <v>2280</v>
      </c>
      <c r="I74" s="17">
        <v>600</v>
      </c>
      <c r="J74" s="17">
        <v>600</v>
      </c>
      <c r="K74" s="17">
        <v>560</v>
      </c>
      <c r="L74" s="17">
        <v>560</v>
      </c>
      <c r="M74" s="44">
        <v>8640</v>
      </c>
      <c r="N74" s="21">
        <v>11090</v>
      </c>
      <c r="O74" s="49">
        <v>2040</v>
      </c>
      <c r="P74" s="49">
        <v>600</v>
      </c>
      <c r="Q74" s="49" t="str">
        <f>IF(OR(Прайс[[#This Row],[Тип]]="Нижний",Прайс[[#This Row],[Тип]]="Пенал"),"560",IF(Прайс[[#This Row],[Тип]]="Верхний",315,0))</f>
        <v>560</v>
      </c>
      <c r="R74" s="23">
        <v>1.08</v>
      </c>
      <c r="S74" s="23">
        <v>1.0649999999999999</v>
      </c>
      <c r="T74" s="23">
        <v>0</v>
      </c>
      <c r="U74" s="18"/>
      <c r="V74" s="18"/>
      <c r="W74" s="16"/>
      <c r="X74" s="16"/>
      <c r="Y74" s="16"/>
      <c r="Z74" s="16"/>
      <c r="AA74" s="16"/>
      <c r="AB74" s="16"/>
      <c r="AC74" s="16"/>
      <c r="AD74" s="16"/>
      <c r="AE74" s="16">
        <f>'[2]комплекты фурнитуры'!$C$14</f>
        <v>940</v>
      </c>
      <c r="AF74" s="16"/>
      <c r="AG74" s="16"/>
      <c r="AH74" s="16"/>
      <c r="AI74" s="16"/>
      <c r="AJ74" s="16">
        <f>'[2]комплекты фурнитуры'!$C$23*2</f>
        <v>560</v>
      </c>
      <c r="AK74" s="16"/>
      <c r="AL74" s="16"/>
      <c r="AM74" s="19">
        <f>SUM(Прайс[[#This Row],[КФ НСТ11]:[KFPr-SB-ZPG]])</f>
        <v>1500</v>
      </c>
      <c r="AN74" s="19"/>
      <c r="AO74" s="16"/>
      <c r="AP74" s="16"/>
      <c r="AQ74" s="33"/>
      <c r="AR74" s="19">
        <f>'[2]комплекты фурнитуры'!$C$62</f>
        <v>620</v>
      </c>
      <c r="AS74" s="19">
        <f>'[2]комплекты фурнитуры'!$C$63</f>
        <v>130</v>
      </c>
      <c r="AT74" s="19"/>
      <c r="AU74" s="19"/>
      <c r="AV74" s="19"/>
      <c r="AW74" s="19"/>
      <c r="AX74" s="19"/>
      <c r="AY74" s="19"/>
      <c r="AZ74" s="19"/>
      <c r="BA74" s="19"/>
      <c r="BB74" s="26"/>
      <c r="BC74" s="19"/>
      <c r="BD74" s="26"/>
      <c r="BE74" s="19"/>
      <c r="BF74" s="19"/>
      <c r="BG74" s="26"/>
      <c r="BH74" s="19">
        <f>'[2]комплекты фурнитуры'!$C$26</f>
        <v>6660</v>
      </c>
      <c r="BI74" s="26"/>
      <c r="BJ74" s="19">
        <f>'[2]комплекты фурнитуры'!$C$31</f>
        <v>950</v>
      </c>
      <c r="BK74" s="19">
        <f>'[2]комплекты фурнитуры'!$C$33</f>
        <v>170</v>
      </c>
      <c r="BL74" s="26"/>
      <c r="BM74" s="19">
        <f>'[2]комплекты фурнитуры'!$C$34</f>
        <v>5040</v>
      </c>
      <c r="BN74" s="19">
        <f>'[2]комплекты фурнитуры'!$C$36</f>
        <v>6440</v>
      </c>
      <c r="BO74" s="19"/>
      <c r="BP74" s="19"/>
      <c r="BQ74" s="19"/>
      <c r="BR74" s="19"/>
      <c r="BS74" s="19"/>
      <c r="BT74" s="19"/>
      <c r="BU74" s="20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BV74" s="21">
        <f>Прайс[[#This Row],[KFN-SB-M15]]*2+Прайс[[#This Row],[KFN-SB-MD]]*2+Прайс[[#This Row],[KFP-SB-N110]]*2</f>
        <v>2500</v>
      </c>
      <c r="BW74" s="21">
        <f>Прайс[[#This Row],[Комплект ящика INNOTECH ATIRA полного выдв. с  PUSH TO OPEN , Н70,NL470,цвет серебристый]]*2+Прайс[[#This Row],[KFP-SB-N110]]*2</f>
        <v>13140</v>
      </c>
      <c r="BX74" s="22">
        <v>1</v>
      </c>
      <c r="BY74" s="22">
        <v>2</v>
      </c>
      <c r="BZ74" s="22" t="s">
        <v>112</v>
      </c>
      <c r="CA74" s="21" t="s">
        <v>98</v>
      </c>
      <c r="CB74" s="22">
        <v>1</v>
      </c>
      <c r="CC74" s="22" t="s">
        <v>96</v>
      </c>
      <c r="CD74" s="22"/>
      <c r="CE74" s="22"/>
      <c r="CF74" s="22">
        <v>3</v>
      </c>
      <c r="CG74" s="22">
        <v>0</v>
      </c>
      <c r="CH74" s="22">
        <v>0</v>
      </c>
      <c r="CI74" s="22"/>
      <c r="CJ74" s="22"/>
      <c r="CK74" s="22"/>
      <c r="CL74" s="22"/>
      <c r="CM74" s="22" t="s">
        <v>96</v>
      </c>
      <c r="CN74" s="22">
        <f>IF(Прайс[[#This Row],[Наличие подсветки на нижнем горизонте]]="Нет",0,'[2]комплекты фурнитуры'!$C$91)</f>
        <v>0</v>
      </c>
    </row>
    <row r="75" spans="1:99" s="12" customFormat="1" ht="15" customHeight="1" x14ac:dyDescent="0.25">
      <c r="A75" s="30" t="s">
        <v>264</v>
      </c>
      <c r="B75" s="16" t="s">
        <v>234</v>
      </c>
      <c r="C75" s="16" t="s">
        <v>265</v>
      </c>
      <c r="D75" s="16" t="s">
        <v>101</v>
      </c>
      <c r="E75" s="16" t="s">
        <v>96</v>
      </c>
      <c r="F75" s="16" t="s">
        <v>240</v>
      </c>
      <c r="G75" s="17">
        <v>2000</v>
      </c>
      <c r="H75" s="17">
        <v>2280</v>
      </c>
      <c r="I75" s="17">
        <v>600</v>
      </c>
      <c r="J75" s="17">
        <v>600</v>
      </c>
      <c r="K75" s="17">
        <v>560</v>
      </c>
      <c r="L75" s="17">
        <v>560</v>
      </c>
      <c r="M75" s="44">
        <v>8640</v>
      </c>
      <c r="N75" s="21">
        <v>11090</v>
      </c>
      <c r="O75" s="49">
        <v>2040</v>
      </c>
      <c r="P75" s="49">
        <v>600</v>
      </c>
      <c r="Q75" s="49" t="str">
        <f>IF(OR(Прайс[[#This Row],[Тип]]="Нижний",Прайс[[#This Row],[Тип]]="Пенал"),"560",IF(Прайс[[#This Row],[Тип]]="Верхний",315,0))</f>
        <v>560</v>
      </c>
      <c r="R75" s="23">
        <v>1.08</v>
      </c>
      <c r="S75" s="23">
        <v>1.0649999999999999</v>
      </c>
      <c r="T75" s="23">
        <v>0</v>
      </c>
      <c r="U75" s="18"/>
      <c r="V75" s="18"/>
      <c r="W75" s="16"/>
      <c r="X75" s="16"/>
      <c r="Y75" s="16"/>
      <c r="Z75" s="16"/>
      <c r="AA75" s="16"/>
      <c r="AB75" s="16"/>
      <c r="AC75" s="16"/>
      <c r="AD75" s="16"/>
      <c r="AE75" s="16">
        <f>'[2]комплекты фурнитуры'!$C$14</f>
        <v>940</v>
      </c>
      <c r="AF75" s="16"/>
      <c r="AG75" s="16"/>
      <c r="AH75" s="16"/>
      <c r="AI75" s="16"/>
      <c r="AJ75" s="16">
        <f>'[2]комплекты фурнитуры'!$C$23*2</f>
        <v>560</v>
      </c>
      <c r="AK75" s="16"/>
      <c r="AL75" s="16"/>
      <c r="AM75" s="19">
        <f>SUM(Прайс[[#This Row],[КФ НСТ11]:[KFPr-SB-ZPG]])</f>
        <v>1500</v>
      </c>
      <c r="AN75" s="19"/>
      <c r="AO75" s="16"/>
      <c r="AP75" s="16"/>
      <c r="AQ75" s="33"/>
      <c r="AR75" s="19">
        <f>'[2]комплекты фурнитуры'!$C$62</f>
        <v>620</v>
      </c>
      <c r="AS75" s="19">
        <f>'[2]комплекты фурнитуры'!$C$63</f>
        <v>130</v>
      </c>
      <c r="AT75" s="19"/>
      <c r="AU75" s="19"/>
      <c r="AV75" s="19"/>
      <c r="AW75" s="19"/>
      <c r="AX75" s="19"/>
      <c r="AY75" s="19"/>
      <c r="AZ75" s="19"/>
      <c r="BA75" s="19"/>
      <c r="BB75" s="26"/>
      <c r="BC75" s="19"/>
      <c r="BD75" s="26"/>
      <c r="BE75" s="19"/>
      <c r="BF75" s="19"/>
      <c r="BG75" s="26"/>
      <c r="BH75" s="19">
        <f>'[2]комплекты фурнитуры'!$C$26</f>
        <v>6660</v>
      </c>
      <c r="BI75" s="26"/>
      <c r="BJ75" s="19">
        <f>'[2]комплекты фурнитуры'!$C$31</f>
        <v>950</v>
      </c>
      <c r="BK75" s="19">
        <f>'[2]комплекты фурнитуры'!$C$33</f>
        <v>170</v>
      </c>
      <c r="BL75" s="26"/>
      <c r="BM75" s="19">
        <f>'[2]комплекты фурнитуры'!$C$34</f>
        <v>5040</v>
      </c>
      <c r="BN75" s="19">
        <f>'[2]комплекты фурнитуры'!$C$36</f>
        <v>6440</v>
      </c>
      <c r="BO75" s="19"/>
      <c r="BP75" s="19"/>
      <c r="BQ75" s="19"/>
      <c r="BR75" s="19"/>
      <c r="BS75" s="19"/>
      <c r="BT75" s="19"/>
      <c r="BU75" s="20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BV75" s="21">
        <f>Прайс[[#This Row],[KFN-SB-M15]]*2+Прайс[[#This Row],[KFN-SB-MD]]*2+Прайс[[#This Row],[KFP-SB-N110]]*2</f>
        <v>2500</v>
      </c>
      <c r="BW75" s="21">
        <f>Прайс[[#This Row],[Комплект ящика INNOTECH ATIRA полного выдв. с  PUSH TO OPEN , Н70,NL470,цвет серебристый]]*2+Прайс[[#This Row],[KFP-SB-N110]]*2</f>
        <v>13140</v>
      </c>
      <c r="BX75" s="22">
        <v>1</v>
      </c>
      <c r="BY75" s="22">
        <v>2</v>
      </c>
      <c r="BZ75" s="22" t="s">
        <v>112</v>
      </c>
      <c r="CA75" s="21" t="s">
        <v>98</v>
      </c>
      <c r="CB75" s="22">
        <v>1</v>
      </c>
      <c r="CC75" s="22" t="s">
        <v>96</v>
      </c>
      <c r="CD75" s="22"/>
      <c r="CE75" s="22"/>
      <c r="CF75" s="22">
        <v>3</v>
      </c>
      <c r="CG75" s="22">
        <v>0</v>
      </c>
      <c r="CH75" s="22">
        <v>0</v>
      </c>
      <c r="CI75" s="22"/>
      <c r="CJ75" s="22"/>
      <c r="CK75" s="22"/>
      <c r="CL75" s="22"/>
      <c r="CM75" s="22" t="s">
        <v>96</v>
      </c>
      <c r="CN75" s="22">
        <f>IF(Прайс[[#This Row],[Наличие подсветки на нижнем горизонте]]="Нет",0,'[2]комплекты фурнитуры'!$C$91)</f>
        <v>0</v>
      </c>
    </row>
    <row r="76" spans="1:99" s="12" customFormat="1" ht="15" customHeight="1" x14ac:dyDescent="0.25">
      <c r="A76" s="30" t="s">
        <v>266</v>
      </c>
      <c r="B76" s="16" t="s">
        <v>234</v>
      </c>
      <c r="C76" s="16" t="s">
        <v>267</v>
      </c>
      <c r="D76" s="16" t="s">
        <v>101</v>
      </c>
      <c r="E76" s="16" t="s">
        <v>96</v>
      </c>
      <c r="F76" s="16" t="s">
        <v>240</v>
      </c>
      <c r="G76" s="17">
        <v>2000</v>
      </c>
      <c r="H76" s="17">
        <v>2280</v>
      </c>
      <c r="I76" s="17">
        <v>600</v>
      </c>
      <c r="J76" s="17">
        <v>600</v>
      </c>
      <c r="K76" s="17">
        <v>560</v>
      </c>
      <c r="L76" s="17">
        <v>560</v>
      </c>
      <c r="M76" s="44">
        <v>8640</v>
      </c>
      <c r="N76" s="21">
        <v>11090</v>
      </c>
      <c r="O76" s="49">
        <v>2040</v>
      </c>
      <c r="P76" s="49">
        <v>600</v>
      </c>
      <c r="Q76" s="49" t="str">
        <f>IF(OR(Прайс[[#This Row],[Тип]]="Нижний",Прайс[[#This Row],[Тип]]="Пенал"),"560",IF(Прайс[[#This Row],[Тип]]="Верхний",315,0))</f>
        <v>560</v>
      </c>
      <c r="R76" s="23">
        <v>1.08</v>
      </c>
      <c r="S76" s="23">
        <v>1.0649999999999999</v>
      </c>
      <c r="T76" s="23">
        <v>0</v>
      </c>
      <c r="U76" s="18"/>
      <c r="V76" s="18"/>
      <c r="W76" s="16"/>
      <c r="X76" s="16"/>
      <c r="Y76" s="16"/>
      <c r="Z76" s="16"/>
      <c r="AA76" s="16"/>
      <c r="AB76" s="16"/>
      <c r="AC76" s="16"/>
      <c r="AD76" s="16"/>
      <c r="AE76" s="16">
        <f>'[2]комплекты фурнитуры'!$C$14</f>
        <v>940</v>
      </c>
      <c r="AF76" s="16"/>
      <c r="AG76" s="16"/>
      <c r="AH76" s="16"/>
      <c r="AI76" s="16"/>
      <c r="AJ76" s="16">
        <f>'[2]комплекты фурнитуры'!$C$23*2</f>
        <v>560</v>
      </c>
      <c r="AK76" s="16"/>
      <c r="AL76" s="16"/>
      <c r="AM76" s="19">
        <f>SUM(Прайс[[#This Row],[КФ НСТ11]:[KFPr-SB-ZPG]])</f>
        <v>1500</v>
      </c>
      <c r="AN76" s="19"/>
      <c r="AO76" s="16"/>
      <c r="AP76" s="16"/>
      <c r="AQ76" s="33"/>
      <c r="AR76" s="19">
        <f>'[2]комплекты фурнитуры'!$C$62</f>
        <v>620</v>
      </c>
      <c r="AS76" s="19">
        <f>'[2]комплекты фурнитуры'!$C$63</f>
        <v>130</v>
      </c>
      <c r="AT76" s="19"/>
      <c r="AU76" s="19"/>
      <c r="AV76" s="19"/>
      <c r="AW76" s="19"/>
      <c r="AX76" s="19"/>
      <c r="AY76" s="19"/>
      <c r="AZ76" s="19"/>
      <c r="BA76" s="19"/>
      <c r="BB76" s="26"/>
      <c r="BC76" s="19"/>
      <c r="BD76" s="26"/>
      <c r="BE76" s="19"/>
      <c r="BF76" s="19"/>
      <c r="BG76" s="26"/>
      <c r="BH76" s="19">
        <f>'[2]комплекты фурнитуры'!$C$26</f>
        <v>6660</v>
      </c>
      <c r="BI76" s="26"/>
      <c r="BJ76" s="19">
        <f>'[2]комплекты фурнитуры'!$C$31</f>
        <v>950</v>
      </c>
      <c r="BK76" s="19">
        <f>'[2]комплекты фурнитуры'!$C$33</f>
        <v>170</v>
      </c>
      <c r="BL76" s="26"/>
      <c r="BM76" s="19">
        <f>'[2]комплекты фурнитуры'!$C$34</f>
        <v>5040</v>
      </c>
      <c r="BN76" s="19">
        <f>'[2]комплекты фурнитуры'!$C$36</f>
        <v>6440</v>
      </c>
      <c r="BO76" s="19"/>
      <c r="BP76" s="19"/>
      <c r="BQ76" s="19"/>
      <c r="BR76" s="19"/>
      <c r="BS76" s="19"/>
      <c r="BT76" s="19"/>
      <c r="BU76" s="20">
        <f>Прайс[[#This Row],[Комплект для ящика Hettich ATIRA Серый с реллингом, NL-470, H-176]]*2+Прайс[[#This Row],[КФ петли SENS накл.110 гр. с крестообр. Планкой]]*2</f>
        <v>14560</v>
      </c>
      <c r="BV76" s="21">
        <f>Прайс[[#This Row],[KFN-SB-M15]]*2+Прайс[[#This Row],[KFN-SB-MD]]*2+Прайс[[#This Row],[KFP-SB-N110]]*2</f>
        <v>2500</v>
      </c>
      <c r="BW76" s="21">
        <f>Прайс[[#This Row],[Комплект ящика INNOTECH ATIRA полного выдв. с  PUSH TO OPEN , Н70,NL470,цвет серебристый]]*2+Прайс[[#This Row],[KFP-SB-N110]]*2</f>
        <v>13140</v>
      </c>
      <c r="BX76" s="22">
        <v>1</v>
      </c>
      <c r="BY76" s="22">
        <v>2</v>
      </c>
      <c r="BZ76" s="22" t="s">
        <v>112</v>
      </c>
      <c r="CA76" s="21" t="s">
        <v>98</v>
      </c>
      <c r="CB76" s="22">
        <v>1</v>
      </c>
      <c r="CC76" s="22" t="s">
        <v>96</v>
      </c>
      <c r="CD76" s="22"/>
      <c r="CE76" s="22"/>
      <c r="CF76" s="22">
        <v>3</v>
      </c>
      <c r="CG76" s="22">
        <v>0</v>
      </c>
      <c r="CH76" s="22">
        <v>0</v>
      </c>
      <c r="CI76" s="22"/>
      <c r="CJ76" s="22"/>
      <c r="CK76" s="22"/>
      <c r="CL76" s="22"/>
      <c r="CM76" s="22" t="s">
        <v>96</v>
      </c>
      <c r="CN76" s="22">
        <f>IF(Прайс[[#This Row],[Наличие подсветки на нижнем горизонте]]="Нет",0,'[2]комплекты фурнитуры'!$C$91)</f>
        <v>0</v>
      </c>
    </row>
    <row r="77" spans="1:99" ht="15" customHeight="1" x14ac:dyDescent="0.25">
      <c r="A77" s="30" t="s">
        <v>268</v>
      </c>
      <c r="B77" s="16" t="s">
        <v>234</v>
      </c>
      <c r="C77" s="16" t="s">
        <v>269</v>
      </c>
      <c r="D77" s="16" t="s">
        <v>101</v>
      </c>
      <c r="E77" s="16" t="s">
        <v>96</v>
      </c>
      <c r="F77" s="16" t="s">
        <v>270</v>
      </c>
      <c r="G77" s="17">
        <v>2000</v>
      </c>
      <c r="H77" s="17">
        <v>2280</v>
      </c>
      <c r="I77" s="17">
        <v>600</v>
      </c>
      <c r="J77" s="17">
        <v>600</v>
      </c>
      <c r="K77" s="17">
        <v>560</v>
      </c>
      <c r="L77" s="17">
        <v>560</v>
      </c>
      <c r="M77" s="44">
        <v>7500</v>
      </c>
      <c r="N77" s="21">
        <v>9700</v>
      </c>
      <c r="O77" s="49">
        <v>2040</v>
      </c>
      <c r="P77" s="49">
        <v>600</v>
      </c>
      <c r="Q77" s="49" t="str">
        <f>IF(OR(Прайс[[#This Row],[Тип]]="Нижний",Прайс[[#This Row],[Тип]]="Пенал"),"560",IF(Прайс[[#This Row],[Тип]]="Верхний",315,0))</f>
        <v>560</v>
      </c>
      <c r="R77" s="23">
        <v>1.08</v>
      </c>
      <c r="S77" s="23">
        <v>1.0649999999999999</v>
      </c>
      <c r="T77" s="23">
        <v>0</v>
      </c>
      <c r="U77" s="18"/>
      <c r="V77" s="18"/>
      <c r="W77" s="16"/>
      <c r="X77" s="16"/>
      <c r="Y77" s="16"/>
      <c r="Z77" s="16"/>
      <c r="AA77" s="16"/>
      <c r="AB77" s="16"/>
      <c r="AC77" s="16"/>
      <c r="AD77" s="16"/>
      <c r="AE77" s="16"/>
      <c r="AF77" s="16">
        <f>'[2]комплекты фурнитуры'!$C$15</f>
        <v>1130</v>
      </c>
      <c r="AG77" s="16"/>
      <c r="AH77" s="16"/>
      <c r="AI77" s="16"/>
      <c r="AJ77" s="16">
        <f>'[2]комплекты фурнитуры'!$C$23*2</f>
        <v>560</v>
      </c>
      <c r="AK77" s="16"/>
      <c r="AL77" s="16"/>
      <c r="AM77" s="19">
        <f>SUM(Прайс[[#This Row],[КФ НСТ11]:[KFPr-SB-ZPG]])</f>
        <v>1690</v>
      </c>
      <c r="AN77" s="19"/>
      <c r="AO77" s="16"/>
      <c r="AP77" s="16"/>
      <c r="AQ77" s="33"/>
      <c r="AR77" s="19">
        <f>'[2]комплекты фурнитуры'!$C$62</f>
        <v>620</v>
      </c>
      <c r="AS77" s="19">
        <f>'[2]комплекты фурнитуры'!$C$63</f>
        <v>130</v>
      </c>
      <c r="AT77" s="19"/>
      <c r="AU77" s="19"/>
      <c r="AV77" s="19"/>
      <c r="AW77" s="19"/>
      <c r="AX77" s="19"/>
      <c r="AY77" s="19"/>
      <c r="AZ77" s="19"/>
      <c r="BA77" s="19"/>
      <c r="BB77" s="19">
        <f>'[2]комплекты фурнитуры'!$C$67</f>
        <v>6080</v>
      </c>
      <c r="BC77" s="19">
        <f>'[2]комплекты фурнитуры'!$C$68</f>
        <v>6940</v>
      </c>
      <c r="BD77" s="19">
        <f>'[2]комплекты фурнитуры'!$C$70</f>
        <v>2290</v>
      </c>
      <c r="BE77" s="19"/>
      <c r="BF77" s="19"/>
      <c r="BG77" s="26"/>
      <c r="BH77" s="26"/>
      <c r="BI77" s="26"/>
      <c r="BJ77" s="26"/>
      <c r="BK77" s="26"/>
      <c r="BL77" s="26"/>
      <c r="BM77" s="26"/>
      <c r="BN77" s="26"/>
      <c r="BO77" s="19"/>
      <c r="BP77" s="19"/>
      <c r="BQ77" s="19"/>
      <c r="BR77" s="19"/>
      <c r="BS77" s="19"/>
      <c r="BT77" s="19"/>
      <c r="BU77" s="20">
        <f>Прайс[[#This Row],[KFP-SP-PPGK]]+Прайс[[#This Row],[КФ петли SENS накл.110 гр. с крестообр. Планкой]]*2</f>
        <v>7320</v>
      </c>
      <c r="BV77" s="21">
        <f>Прайс[[#This Row],[KFP-SP-PPA]]+Прайс[[#This Row],[KFP-SB-N110]]*4</f>
        <v>2810</v>
      </c>
      <c r="BW77" s="21">
        <f>Прайс[[#This Row],[KFP-SP-PPA]]+Прайс[[#This Row],[KFP-SB-N110]]*4</f>
        <v>2810</v>
      </c>
      <c r="BX77" s="22">
        <v>1</v>
      </c>
      <c r="BY77" s="22">
        <v>2</v>
      </c>
      <c r="BZ77" s="22" t="s">
        <v>96</v>
      </c>
      <c r="CA77" s="21" t="s">
        <v>127</v>
      </c>
      <c r="CB77" s="22">
        <v>1</v>
      </c>
      <c r="CC77" s="22" t="s">
        <v>96</v>
      </c>
      <c r="CD77" s="22"/>
      <c r="CE77" s="22"/>
      <c r="CF77" s="22">
        <v>2</v>
      </c>
      <c r="CG77" s="22">
        <v>0</v>
      </c>
      <c r="CH77" s="22">
        <v>0</v>
      </c>
      <c r="CI77" s="22"/>
      <c r="CJ77" s="22"/>
      <c r="CK77" s="22"/>
      <c r="CL77" s="22"/>
      <c r="CM77" s="22" t="s">
        <v>96</v>
      </c>
      <c r="CN77" s="22">
        <f>IF(Прайс[[#This Row],[Наличие подсветки на нижнем горизонте]]="Нет",0,'[2]комплекты фурнитуры'!$C$91)</f>
        <v>0</v>
      </c>
      <c r="CO77"/>
      <c r="CP77"/>
      <c r="CQ77"/>
      <c r="CR77"/>
      <c r="CS77"/>
      <c r="CT77"/>
      <c r="CU77"/>
    </row>
    <row r="78" spans="1:99" s="8" customFormat="1" ht="15" customHeight="1" x14ac:dyDescent="0.25">
      <c r="A78" s="30" t="s">
        <v>271</v>
      </c>
      <c r="B78" s="16" t="s">
        <v>234</v>
      </c>
      <c r="C78" s="16" t="s">
        <v>272</v>
      </c>
      <c r="D78" s="16" t="s">
        <v>101</v>
      </c>
      <c r="E78" s="16" t="s">
        <v>112</v>
      </c>
      <c r="F78" s="16" t="s">
        <v>270</v>
      </c>
      <c r="G78" s="17">
        <v>1910</v>
      </c>
      <c r="H78" s="17">
        <v>2610</v>
      </c>
      <c r="I78" s="17">
        <v>600</v>
      </c>
      <c r="J78" s="17">
        <v>600</v>
      </c>
      <c r="K78" s="17">
        <v>560</v>
      </c>
      <c r="L78" s="17">
        <v>600</v>
      </c>
      <c r="M78" s="44">
        <v>8078.4</v>
      </c>
      <c r="N78" s="21">
        <v>10357.200000000001</v>
      </c>
      <c r="O78" s="49">
        <v>2040</v>
      </c>
      <c r="P78" s="49">
        <v>600</v>
      </c>
      <c r="Q78" s="49" t="str">
        <f>IF(OR(Прайс[[#This Row],[Тип]]="Нижний",Прайс[[#This Row],[Тип]]="Пенал"),"560",IF(Прайс[[#This Row],[Тип]]="Верхний",315,0))</f>
        <v>560</v>
      </c>
      <c r="R78" s="23">
        <v>1.08</v>
      </c>
      <c r="S78" s="23">
        <v>1.0649999999999999</v>
      </c>
      <c r="T78" s="23">
        <v>0</v>
      </c>
      <c r="U78" s="18"/>
      <c r="V78" s="18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>
        <f>'[2]комплекты фурнитуры'!$C$23*2</f>
        <v>560</v>
      </c>
      <c r="AK78" s="16"/>
      <c r="AL78" s="16"/>
      <c r="AM78" s="19">
        <f>SUM(Прайс[[#This Row],[КФ НСТ11]:[KFPr-SB-ZPG]])+Прайс[[#This Row],[КФ НСТ12]]</f>
        <v>1500</v>
      </c>
      <c r="AN78" s="19"/>
      <c r="AO78" s="16"/>
      <c r="AP78" s="16"/>
      <c r="AQ78" s="33">
        <f>'[2]комплекты фурнитуры'!$C$85</f>
        <v>290</v>
      </c>
      <c r="AR78" s="19">
        <f>'[2]комплекты фурнитуры'!$C$62</f>
        <v>620</v>
      </c>
      <c r="AS78" s="26"/>
      <c r="AT78" s="19"/>
      <c r="AU78" s="19"/>
      <c r="AV78" s="19"/>
      <c r="AW78" s="19"/>
      <c r="AX78" s="19"/>
      <c r="AY78" s="19"/>
      <c r="AZ78" s="19"/>
      <c r="BA78" s="19"/>
      <c r="BB78" s="26"/>
      <c r="BC78" s="19"/>
      <c r="BD78" s="26"/>
      <c r="BE78" s="19"/>
      <c r="BF78" s="19"/>
      <c r="BG78" s="26"/>
      <c r="BH78" s="19">
        <f>'[2]комплекты фурнитуры'!$C$26</f>
        <v>6660</v>
      </c>
      <c r="BI78" s="26"/>
      <c r="BJ78" s="26"/>
      <c r="BK78" s="26"/>
      <c r="BL78" s="26"/>
      <c r="BM78" s="19">
        <f>'[2]комплекты фурнитуры'!$C$34</f>
        <v>5040</v>
      </c>
      <c r="BN78" s="26"/>
      <c r="BO78" s="19"/>
      <c r="BP78" s="19"/>
      <c r="BQ78" s="19"/>
      <c r="BR78" s="19"/>
      <c r="BS78" s="19"/>
      <c r="BT78" s="19"/>
      <c r="BU78" s="20">
        <f>Прайс[[#This Row],[КФ петли SENS накл.110 гр. с крестообр. Планкой]]*2+Прайс[[#This Row],[Комплект для ящика Hettich ATIRA Серый с реллингом, NL-470, H-176]]+Прайс[[#This Row],[КФ KEKU]]*4</f>
        <v>9060</v>
      </c>
      <c r="BV78" s="20">
        <f>Прайс[[#This Row],[КФ петли SENS накл.110 гр. с крестообр. Планкой]]*2+Прайс[[#This Row],[Комплект для ящика Hettich ATIRA Серый с реллингом, NL-470, H-176]]+Прайс[[#This Row],[КФ KEKU]]*4</f>
        <v>9060</v>
      </c>
      <c r="BW78" s="20">
        <f>Прайс[[#This Row],[КФ петли SENS накл.110 гр. с крестообр. Планкой]]*2+Прайс[[#This Row],[Комплект для ящика Hettich ATIRA Серый с реллингом, NL-470, H-176]]+Прайс[[#This Row],[КФ KEKU]]*4</f>
        <v>9060</v>
      </c>
      <c r="BX78" s="22">
        <v>1</v>
      </c>
      <c r="BY78" s="22">
        <v>1</v>
      </c>
      <c r="BZ78" s="22" t="s">
        <v>96</v>
      </c>
      <c r="CA78" s="21" t="s">
        <v>139</v>
      </c>
      <c r="CB78" s="22">
        <v>1</v>
      </c>
      <c r="CC78" s="22" t="s">
        <v>96</v>
      </c>
      <c r="CD78" s="22"/>
      <c r="CE78" s="22"/>
      <c r="CF78" s="22">
        <v>2</v>
      </c>
      <c r="CG78" s="22">
        <v>0</v>
      </c>
      <c r="CH78" s="22">
        <v>0</v>
      </c>
      <c r="CI78" s="22"/>
      <c r="CJ78" s="22">
        <f>'[2]комплекты фурнитуры'!$C$22</f>
        <v>940</v>
      </c>
      <c r="CK78" s="22"/>
      <c r="CL78" s="22"/>
      <c r="CM78" s="22" t="s">
        <v>96</v>
      </c>
      <c r="CN78" s="22">
        <f>IF(Прайс[[#This Row],[Наличие подсветки на нижнем горизонте]]="Нет",0,'[2]комплекты фурнитуры'!$C$91)</f>
        <v>0</v>
      </c>
    </row>
    <row r="79" spans="1:99" ht="15" customHeight="1" x14ac:dyDescent="0.25">
      <c r="A79" s="30" t="s">
        <v>273</v>
      </c>
      <c r="B79" s="16" t="s">
        <v>234</v>
      </c>
      <c r="C79" s="16" t="s">
        <v>274</v>
      </c>
      <c r="D79" s="16" t="s">
        <v>101</v>
      </c>
      <c r="E79" s="16" t="s">
        <v>96</v>
      </c>
      <c r="F79" s="16" t="s">
        <v>251</v>
      </c>
      <c r="G79" s="17">
        <v>2280</v>
      </c>
      <c r="H79" s="17">
        <v>2280</v>
      </c>
      <c r="I79" s="17">
        <v>600</v>
      </c>
      <c r="J79" s="17">
        <v>600</v>
      </c>
      <c r="K79" s="17">
        <v>560</v>
      </c>
      <c r="L79" s="17">
        <v>560</v>
      </c>
      <c r="M79" s="44">
        <v>6800</v>
      </c>
      <c r="N79" s="21">
        <v>8840</v>
      </c>
      <c r="O79" s="49">
        <v>2280</v>
      </c>
      <c r="P79" s="49">
        <v>600</v>
      </c>
      <c r="Q79" s="49" t="str">
        <f>IF(OR(Прайс[[#This Row],[Тип]]="Нижний",Прайс[[#This Row],[Тип]]="Пенал"),"560",IF(Прайс[[#This Row],[Тип]]="Верхний",315,0))</f>
        <v>560</v>
      </c>
      <c r="R79" s="23">
        <v>1.08</v>
      </c>
      <c r="S79" s="23">
        <v>1.0649999999999999</v>
      </c>
      <c r="T79" s="23">
        <v>1.3</v>
      </c>
      <c r="U79" s="18"/>
      <c r="V79" s="18"/>
      <c r="W79" s="16"/>
      <c r="X79" s="16"/>
      <c r="Y79" s="16"/>
      <c r="Z79" s="16"/>
      <c r="AA79" s="16"/>
      <c r="AB79" s="16"/>
      <c r="AC79" s="16"/>
      <c r="AD79" s="16"/>
      <c r="AE79" s="16"/>
      <c r="AF79" s="16">
        <f>'[2]комплекты фурнитуры'!$C$15</f>
        <v>1130</v>
      </c>
      <c r="AG79" s="16"/>
      <c r="AH79" s="16"/>
      <c r="AI79" s="16"/>
      <c r="AJ79" s="16">
        <f>'[2]комплекты фурнитуры'!$C$23*2</f>
        <v>560</v>
      </c>
      <c r="AK79" s="16"/>
      <c r="AL79" s="16"/>
      <c r="AM79" s="19">
        <f>SUM(Прайс[[#This Row],[КФ НСТ11]:[KFPr-SB-ZPG]])</f>
        <v>1690</v>
      </c>
      <c r="AN79" s="19"/>
      <c r="AO79" s="16"/>
      <c r="AP79" s="16"/>
      <c r="AQ79" s="37"/>
      <c r="AR79" s="19">
        <f>'[2]комплекты фурнитуры'!$C$62</f>
        <v>620</v>
      </c>
      <c r="AS79" s="19">
        <f>'[2]комплекты фурнитуры'!$C$63</f>
        <v>130</v>
      </c>
      <c r="AT79" s="19"/>
      <c r="AU79" s="19"/>
      <c r="AV79" s="19"/>
      <c r="AW79" s="19"/>
      <c r="AX79" s="19"/>
      <c r="AY79" s="19"/>
      <c r="AZ79" s="19"/>
      <c r="BA79" s="19"/>
      <c r="BB79" s="19">
        <f>'[2]комплекты фурнитуры'!$C$67</f>
        <v>6080</v>
      </c>
      <c r="BC79" s="19"/>
      <c r="BD79" s="19">
        <f>'[2]комплекты фурнитуры'!$C$70</f>
        <v>2290</v>
      </c>
      <c r="BE79" s="19"/>
      <c r="BF79" s="19"/>
      <c r="BG79" s="38"/>
      <c r="BH79" s="38"/>
      <c r="BI79" s="38"/>
      <c r="BJ79" s="38"/>
      <c r="BK79" s="38"/>
      <c r="BL79" s="38"/>
      <c r="BM79" s="38"/>
      <c r="BN79" s="38"/>
      <c r="BO79" s="19"/>
      <c r="BP79" s="19"/>
      <c r="BQ79" s="19"/>
      <c r="BR79" s="19"/>
      <c r="BS79" s="19"/>
      <c r="BT79" s="19"/>
      <c r="BU79" s="20">
        <f>Прайс[[#This Row],[KFP-SP-PPGK]]+Прайс[[#This Row],[КФ петли SENS накл.110 гр. с крестообр. Планкой]]*5</f>
        <v>9180</v>
      </c>
      <c r="BV79" s="21">
        <f>Прайс[[#This Row],[KFP-SP-PPA]]+Прайс[[#This Row],[KFP-SB-N110]]*7</f>
        <v>3200</v>
      </c>
      <c r="BW79" s="21">
        <v>0</v>
      </c>
      <c r="BX79" s="22">
        <v>0</v>
      </c>
      <c r="BY79" s="22">
        <v>0</v>
      </c>
      <c r="BZ79" s="22" t="s">
        <v>96</v>
      </c>
      <c r="CA79" s="21" t="s">
        <v>127</v>
      </c>
      <c r="CB79" s="22">
        <v>0</v>
      </c>
      <c r="CC79" s="22" t="s">
        <v>96</v>
      </c>
      <c r="CD79" s="22"/>
      <c r="CE79" s="22"/>
      <c r="CF79" s="22">
        <v>3</v>
      </c>
      <c r="CG79" s="22">
        <v>0</v>
      </c>
      <c r="CH79" s="22">
        <v>0</v>
      </c>
      <c r="CI79" s="22"/>
      <c r="CJ79" s="22"/>
      <c r="CK79" s="22"/>
      <c r="CL79" s="22"/>
      <c r="CM79" s="22" t="s">
        <v>96</v>
      </c>
      <c r="CN79" s="22">
        <f>IF(Прайс[[#This Row],[Наличие подсветки на нижнем горизонте]]="Нет",0,'[2]комплекты фурнитуры'!$C$91)</f>
        <v>0</v>
      </c>
      <c r="CO79"/>
      <c r="CP79"/>
      <c r="CQ79"/>
      <c r="CR79"/>
      <c r="CS79"/>
      <c r="CT79"/>
      <c r="CU79"/>
    </row>
    <row r="80" spans="1:99" s="7" customFormat="1" ht="15" customHeight="1" x14ac:dyDescent="0.25">
      <c r="A80" s="39" t="s">
        <v>275</v>
      </c>
      <c r="B80" s="16" t="s">
        <v>176</v>
      </c>
      <c r="C80" s="16" t="s">
        <v>276</v>
      </c>
      <c r="D80" s="16" t="s">
        <v>101</v>
      </c>
      <c r="E80" s="16" t="s">
        <v>96</v>
      </c>
      <c r="F80" s="16" t="s">
        <v>277</v>
      </c>
      <c r="G80" s="17">
        <v>480</v>
      </c>
      <c r="H80" s="17">
        <v>1250</v>
      </c>
      <c r="I80" s="17">
        <v>250</v>
      </c>
      <c r="J80" s="17">
        <v>600</v>
      </c>
      <c r="K80" s="17">
        <v>260</v>
      </c>
      <c r="L80" s="17">
        <v>560</v>
      </c>
      <c r="M80" s="44">
        <v>2530</v>
      </c>
      <c r="N80" s="21">
        <v>3060</v>
      </c>
      <c r="O80" s="49">
        <v>720</v>
      </c>
      <c r="P80" s="49">
        <v>300</v>
      </c>
      <c r="Q80" s="49">
        <f>IF(OR(Прайс[[#This Row],[Тип]]="Нижний",Прайс[[#This Row],[Тип]]="Пенал"),"560",IF(Прайс[[#This Row],[Тип]]="Верхний",315,0))</f>
        <v>315</v>
      </c>
      <c r="R80" s="23">
        <v>1.08</v>
      </c>
      <c r="S80" s="23">
        <v>1.0649999999999999</v>
      </c>
      <c r="T80" s="23">
        <v>1.3</v>
      </c>
      <c r="U80" s="18"/>
      <c r="V80" s="18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>
        <f>'[2]комплекты фурнитуры'!$C$72</f>
        <v>210</v>
      </c>
      <c r="AL80" s="16">
        <f>'[2]комплекты фурнитуры'!$C$73</f>
        <v>30</v>
      </c>
      <c r="AM80" s="16">
        <f>SUM(Прайс[[#This Row],[КФ НСТ11]:[KFPr-SB-ZPG]])+Прайс[[#This Row],[КФ EMV1DL/2DL]]</f>
        <v>1930</v>
      </c>
      <c r="AN80" s="19"/>
      <c r="AO80" s="19"/>
      <c r="AP80" s="19"/>
      <c r="AQ80" s="16"/>
      <c r="AR80" s="19">
        <f>'[2]комплекты фурнитуры'!$C$62</f>
        <v>620</v>
      </c>
      <c r="AS80" s="19">
        <f>'[2]комплекты фурнитуры'!$C$63</f>
        <v>130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38"/>
      <c r="BN80" s="19"/>
      <c r="BO80" s="19"/>
      <c r="BP80" s="19"/>
      <c r="BQ80" s="19"/>
      <c r="BR80" s="19"/>
      <c r="BS80" s="19"/>
      <c r="BT80" s="19"/>
      <c r="BU80" s="20">
        <f>Прайс[[#This Row],[КФ петли SENS накл.110 гр. с крестообр. Планкой]]*2</f>
        <v>1240</v>
      </c>
      <c r="BV80" s="20">
        <f>Прайс[[#This Row],[KFP-SB-N110]]*2</f>
        <v>260</v>
      </c>
      <c r="BW80" s="21">
        <f>Прайс[[#This Row],[KFP-SB-N110]]*2</f>
        <v>260</v>
      </c>
      <c r="BX80" s="22">
        <v>0</v>
      </c>
      <c r="BY80" s="22">
        <v>3</v>
      </c>
      <c r="BZ80" s="22" t="s">
        <v>112</v>
      </c>
      <c r="CA80" s="21" t="s">
        <v>98</v>
      </c>
      <c r="CB80" s="22">
        <v>0</v>
      </c>
      <c r="CC80" s="22" t="s">
        <v>112</v>
      </c>
      <c r="CD80" s="22"/>
      <c r="CE80" s="22"/>
      <c r="CF80" s="22">
        <v>1</v>
      </c>
      <c r="CG80" s="22">
        <f>Прайс[[#This Row],[Комплект петли Hettich с доводчиком для алюм.профиля]]*2</f>
        <v>2400</v>
      </c>
      <c r="CH80" s="22">
        <f>Прайс[[#This Row],[Комплект петли Hettich с доводчиком для алюм.профиля]]*2</f>
        <v>2400</v>
      </c>
      <c r="CI80" s="22"/>
      <c r="CJ80" s="22"/>
      <c r="CK80" s="22">
        <f>'[2]комплекты фурнитуры'!$C$21</f>
        <v>1690</v>
      </c>
      <c r="CL80" s="22">
        <f>'[2]комплекты фурнитуры'!$C$52</f>
        <v>1200</v>
      </c>
      <c r="CM80" s="22" t="s">
        <v>112</v>
      </c>
      <c r="CN80" s="22">
        <f>IF(Прайс[[#This Row],[Наличие подсветки на нижнем горизонте]]="Нет",0,'[2]комплекты фурнитуры'!$C$91)</f>
        <v>400</v>
      </c>
    </row>
    <row r="81" spans="1:99" s="7" customFormat="1" ht="15" customHeight="1" x14ac:dyDescent="0.25">
      <c r="A81" s="39" t="s">
        <v>278</v>
      </c>
      <c r="B81" s="16" t="s">
        <v>176</v>
      </c>
      <c r="C81" s="16" t="s">
        <v>279</v>
      </c>
      <c r="D81" s="16" t="s">
        <v>101</v>
      </c>
      <c r="E81" s="16" t="s">
        <v>96</v>
      </c>
      <c r="F81" s="16" t="s">
        <v>277</v>
      </c>
      <c r="G81" s="17">
        <v>480</v>
      </c>
      <c r="H81" s="17">
        <v>1250</v>
      </c>
      <c r="I81" s="17">
        <v>600</v>
      </c>
      <c r="J81" s="17">
        <v>800</v>
      </c>
      <c r="K81" s="17">
        <v>260</v>
      </c>
      <c r="L81" s="17">
        <v>560</v>
      </c>
      <c r="M81" s="44">
        <v>2530</v>
      </c>
      <c r="N81" s="21">
        <v>3060</v>
      </c>
      <c r="O81" s="49">
        <v>720</v>
      </c>
      <c r="P81" s="49">
        <v>300</v>
      </c>
      <c r="Q81" s="49">
        <f>IF(OR(Прайс[[#This Row],[Тип]]="Нижний",Прайс[[#This Row],[Тип]]="Пенал"),"560",IF(Прайс[[#This Row],[Тип]]="Верхний",315,0))</f>
        <v>315</v>
      </c>
      <c r="R81" s="23">
        <v>1.08</v>
      </c>
      <c r="S81" s="23">
        <v>1.0649999999999999</v>
      </c>
      <c r="T81" s="23">
        <v>1.3</v>
      </c>
      <c r="U81" s="18"/>
      <c r="V81" s="18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>
        <f>'[2]комплекты фурнитуры'!$C$72</f>
        <v>210</v>
      </c>
      <c r="AL81" s="16">
        <f>'[2]комплекты фурнитуры'!$C$73</f>
        <v>30</v>
      </c>
      <c r="AM81" s="16">
        <f>SUM(Прайс[[#This Row],[КФ НСТ11]:[KFPr-SB-ZPG]])+Прайс[[#This Row],[КФ EMV1DL/2DL]]</f>
        <v>1930</v>
      </c>
      <c r="AN81" s="19"/>
      <c r="AO81" s="19"/>
      <c r="AP81" s="19"/>
      <c r="AQ81" s="16"/>
      <c r="AR81" s="19">
        <f>'[2]комплекты фурнитуры'!$C$62</f>
        <v>620</v>
      </c>
      <c r="AS81" s="19">
        <f>'[2]комплекты фурнитуры'!$C$63</f>
        <v>130</v>
      </c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38"/>
      <c r="BN81" s="19"/>
      <c r="BO81" s="19"/>
      <c r="BP81" s="19"/>
      <c r="BQ81" s="19"/>
      <c r="BR81" s="19"/>
      <c r="BS81" s="19"/>
      <c r="BT81" s="19"/>
      <c r="BU81" s="20">
        <f>Прайс[[#This Row],[КФ петли SENS накл.110 гр. с крестообр. Планкой]]*4</f>
        <v>2480</v>
      </c>
      <c r="BV81" s="20">
        <f>Прайс[[#This Row],[KFP-SB-N110]]*4</f>
        <v>520</v>
      </c>
      <c r="BW81" s="21">
        <f>Прайс[[#This Row],[KFP-SB-N110]]*4</f>
        <v>520</v>
      </c>
      <c r="BX81" s="22">
        <v>0</v>
      </c>
      <c r="BY81" s="22">
        <v>3</v>
      </c>
      <c r="BZ81" s="22" t="s">
        <v>112</v>
      </c>
      <c r="CA81" s="21" t="s">
        <v>98</v>
      </c>
      <c r="CB81" s="22">
        <v>0</v>
      </c>
      <c r="CC81" s="22" t="s">
        <v>112</v>
      </c>
      <c r="CD81" s="22"/>
      <c r="CE81" s="22"/>
      <c r="CF81" s="22">
        <v>2</v>
      </c>
      <c r="CG81" s="22">
        <f>Прайс[[#This Row],[Комплект петли Hettich с доводчиком для алюм.профиля]]*4</f>
        <v>4800</v>
      </c>
      <c r="CH81" s="22">
        <f>Прайс[[#This Row],[Комплект петли Hettich с доводчиком для алюм.профиля]]*4</f>
        <v>4800</v>
      </c>
      <c r="CI81" s="22"/>
      <c r="CJ81" s="22"/>
      <c r="CK81" s="22">
        <f>'[2]комплекты фурнитуры'!$C$21</f>
        <v>1690</v>
      </c>
      <c r="CL81" s="22">
        <f>'[2]комплекты фурнитуры'!$C$52</f>
        <v>1200</v>
      </c>
      <c r="CM81" s="22" t="s">
        <v>112</v>
      </c>
      <c r="CN81" s="22">
        <f>IF(Прайс[[#This Row],[Наличие подсветки на нижнем горизонте]]="Нет",0,'[2]комплекты фурнитуры'!$C$91)</f>
        <v>400</v>
      </c>
    </row>
    <row r="82" spans="1:99" ht="15" customHeight="1" x14ac:dyDescent="0.25">
      <c r="A82" s="39" t="s">
        <v>280</v>
      </c>
      <c r="B82" s="16" t="s">
        <v>176</v>
      </c>
      <c r="C82" s="16" t="s">
        <v>281</v>
      </c>
      <c r="D82" s="16" t="s">
        <v>101</v>
      </c>
      <c r="E82" s="16" t="s">
        <v>96</v>
      </c>
      <c r="F82" s="16" t="s">
        <v>196</v>
      </c>
      <c r="G82" s="17">
        <v>711</v>
      </c>
      <c r="H82" s="17">
        <v>1250</v>
      </c>
      <c r="I82" s="17">
        <v>500</v>
      </c>
      <c r="J82" s="17">
        <v>600</v>
      </c>
      <c r="K82" s="17">
        <v>315</v>
      </c>
      <c r="L82" s="17">
        <v>315</v>
      </c>
      <c r="M82" s="44">
        <v>3340</v>
      </c>
      <c r="N82" s="21">
        <v>4220</v>
      </c>
      <c r="O82" s="49">
        <v>720</v>
      </c>
      <c r="P82" s="49">
        <v>500</v>
      </c>
      <c r="Q82" s="49">
        <f>IF(OR(Прайс[[#This Row],[Тип]]="Нижний",Прайс[[#This Row],[Тип]]="Пенал"),"560",IF(Прайс[[#This Row],[Тип]]="Верхний",315,0))</f>
        <v>315</v>
      </c>
      <c r="R82" s="23">
        <v>1.095</v>
      </c>
      <c r="S82" s="23">
        <v>1.0649999999999999</v>
      </c>
      <c r="T82" s="23">
        <v>1.3</v>
      </c>
      <c r="U82" s="18"/>
      <c r="V82" s="18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>
        <f>'[2]комплекты фурнитуры'!$C$72</f>
        <v>210</v>
      </c>
      <c r="AL82" s="16">
        <f>'[2]комплекты фурнитуры'!$C$73</f>
        <v>30</v>
      </c>
      <c r="AM82" s="16">
        <f>SUM(Прайс[[#This Row],[КФ НСТ11]:[KFPr-SB-ZPG]])+Прайс[[#This Row],[КФ НСТ20]]</f>
        <v>1180</v>
      </c>
      <c r="AN82" s="19"/>
      <c r="AO82" s="19"/>
      <c r="AP82" s="19"/>
      <c r="AQ82" s="16"/>
      <c r="AR82" s="19">
        <f>'[2]комплекты фурнитуры'!$C$62</f>
        <v>620</v>
      </c>
      <c r="AS82" s="19">
        <f>'[2]комплекты фурнитуры'!$C$63</f>
        <v>130</v>
      </c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38"/>
      <c r="BN82" s="19"/>
      <c r="BO82" s="19"/>
      <c r="BP82" s="19"/>
      <c r="BQ82" s="19"/>
      <c r="BR82" s="19"/>
      <c r="BS82" s="19"/>
      <c r="BT82" s="19"/>
      <c r="BU82" s="20">
        <f>Прайс[[#This Row],[КФ петли SENS накл.110 гр. с крестообр. Планкой]]*2</f>
        <v>1240</v>
      </c>
      <c r="BV82" s="20">
        <f>Прайс[[#This Row],[KFP-SB-N110]]*2</f>
        <v>260</v>
      </c>
      <c r="BW82" s="21">
        <f>Прайс[[#This Row],[KFP-SB-N110]]*2</f>
        <v>260</v>
      </c>
      <c r="BX82" s="22">
        <v>1</v>
      </c>
      <c r="BY82" s="22">
        <v>2</v>
      </c>
      <c r="BZ82" s="22" t="s">
        <v>112</v>
      </c>
      <c r="CA82" s="21" t="s">
        <v>98</v>
      </c>
      <c r="CB82" s="22">
        <v>1</v>
      </c>
      <c r="CC82" s="22" t="s">
        <v>96</v>
      </c>
      <c r="CD82" s="22"/>
      <c r="CE82" s="22"/>
      <c r="CF82" s="22">
        <v>1</v>
      </c>
      <c r="CG82" s="22">
        <v>0</v>
      </c>
      <c r="CH82" s="22">
        <v>0</v>
      </c>
      <c r="CI82" s="22">
        <f>'[2]комплекты фурнитуры'!$C$20</f>
        <v>940</v>
      </c>
      <c r="CJ82" s="22"/>
      <c r="CK82" s="22"/>
      <c r="CL82" s="22"/>
      <c r="CM82" s="22" t="s">
        <v>96</v>
      </c>
      <c r="CN82" s="22">
        <f>IF(Прайс[[#This Row],[Наличие подсветки на нижнем горизонте]]="Нет",0,'[2]комплекты фурнитуры'!$C$91)</f>
        <v>0</v>
      </c>
      <c r="CO82"/>
      <c r="CP82"/>
      <c r="CQ82"/>
      <c r="CR82"/>
      <c r="CS82"/>
      <c r="CT82"/>
      <c r="CU82"/>
    </row>
    <row r="83" spans="1:99" ht="15" customHeight="1" x14ac:dyDescent="0.25">
      <c r="A83" s="39" t="s">
        <v>282</v>
      </c>
      <c r="B83" s="16" t="s">
        <v>176</v>
      </c>
      <c r="C83" s="16" t="s">
        <v>283</v>
      </c>
      <c r="D83" s="16" t="s">
        <v>101</v>
      </c>
      <c r="E83" s="16" t="s">
        <v>96</v>
      </c>
      <c r="F83" s="16" t="s">
        <v>196</v>
      </c>
      <c r="G83" s="17">
        <v>711</v>
      </c>
      <c r="H83" s="17">
        <v>1250</v>
      </c>
      <c r="I83" s="17">
        <v>600</v>
      </c>
      <c r="J83" s="17">
        <v>900</v>
      </c>
      <c r="K83" s="17">
        <v>315</v>
      </c>
      <c r="L83" s="17">
        <v>315</v>
      </c>
      <c r="M83" s="44">
        <v>3340</v>
      </c>
      <c r="N83" s="21">
        <v>4220</v>
      </c>
      <c r="O83" s="49">
        <v>720</v>
      </c>
      <c r="P83" s="49">
        <v>500</v>
      </c>
      <c r="Q83" s="49">
        <f>IF(OR(Прайс[[#This Row],[Тип]]="Нижний",Прайс[[#This Row],[Тип]]="Пенал"),"560",IF(Прайс[[#This Row],[Тип]]="Верхний",315,0))</f>
        <v>315</v>
      </c>
      <c r="R83" s="23">
        <v>1.095</v>
      </c>
      <c r="S83" s="23">
        <v>1.0649999999999999</v>
      </c>
      <c r="T83" s="23">
        <v>1.3</v>
      </c>
      <c r="U83" s="18"/>
      <c r="V83" s="18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>
        <f>'[2]комплекты фурнитуры'!$C$72</f>
        <v>210</v>
      </c>
      <c r="AL83" s="16">
        <f>'[2]комплекты фурнитуры'!$C$73</f>
        <v>30</v>
      </c>
      <c r="AM83" s="16">
        <f>SUM(Прайс[[#This Row],[КФ НСТ11]:[KFPr-SB-ZPG]])+Прайс[[#This Row],[КФ НСТ20]]</f>
        <v>1180</v>
      </c>
      <c r="AN83" s="19"/>
      <c r="AO83" s="19"/>
      <c r="AP83" s="19"/>
      <c r="AQ83" s="16"/>
      <c r="AR83" s="19">
        <f>'[2]комплекты фурнитуры'!$C$62</f>
        <v>620</v>
      </c>
      <c r="AS83" s="19">
        <f>'[2]комплекты фурнитуры'!$C$63</f>
        <v>130</v>
      </c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38"/>
      <c r="BN83" s="19"/>
      <c r="BO83" s="19"/>
      <c r="BP83" s="19"/>
      <c r="BQ83" s="19"/>
      <c r="BR83" s="19"/>
      <c r="BS83" s="19"/>
      <c r="BT83" s="19"/>
      <c r="BU83" s="20">
        <f>Прайс[[#This Row],[КФ петли SENS накл.110 гр. с крестообр. Планкой]]*4</f>
        <v>2480</v>
      </c>
      <c r="BV83" s="20">
        <f>Прайс[[#This Row],[KFP-SB-N110]]*4</f>
        <v>520</v>
      </c>
      <c r="BW83" s="21">
        <f>Прайс[[#This Row],[KFP-SB-N110]]*4</f>
        <v>520</v>
      </c>
      <c r="BX83" s="22">
        <v>1</v>
      </c>
      <c r="BY83" s="22">
        <v>2</v>
      </c>
      <c r="BZ83" s="22" t="s">
        <v>112</v>
      </c>
      <c r="CA83" s="21" t="s">
        <v>98</v>
      </c>
      <c r="CB83" s="22">
        <v>1</v>
      </c>
      <c r="CC83" s="22" t="s">
        <v>96</v>
      </c>
      <c r="CD83" s="22"/>
      <c r="CE83" s="22"/>
      <c r="CF83" s="22">
        <v>2</v>
      </c>
      <c r="CG83" s="22">
        <v>0</v>
      </c>
      <c r="CH83" s="22">
        <v>0</v>
      </c>
      <c r="CI83" s="22">
        <f>'[2]комплекты фурнитуры'!$C$20</f>
        <v>940</v>
      </c>
      <c r="CJ83" s="22"/>
      <c r="CK83" s="22"/>
      <c r="CL83" s="22"/>
      <c r="CM83" s="22" t="s">
        <v>96</v>
      </c>
      <c r="CN83" s="22">
        <f>IF(Прайс[[#This Row],[Наличие подсветки на нижнем горизонте]]="Нет",0,'[2]комплекты фурнитуры'!$C$91)</f>
        <v>0</v>
      </c>
      <c r="CO83"/>
      <c r="CP83"/>
      <c r="CQ83"/>
      <c r="CR83"/>
      <c r="CS83"/>
      <c r="CT83"/>
      <c r="CU83"/>
    </row>
    <row r="84" spans="1:99" ht="15" customHeight="1" x14ac:dyDescent="0.25">
      <c r="A84" s="29" t="s">
        <v>284</v>
      </c>
      <c r="B84" s="16" t="s">
        <v>234</v>
      </c>
      <c r="C84" s="16" t="s">
        <v>285</v>
      </c>
      <c r="D84" s="16" t="s">
        <v>101</v>
      </c>
      <c r="E84" s="16" t="s">
        <v>96</v>
      </c>
      <c r="F84" s="16" t="s">
        <v>240</v>
      </c>
      <c r="G84" s="17">
        <v>1910</v>
      </c>
      <c r="H84" s="17">
        <v>2610</v>
      </c>
      <c r="I84" s="17">
        <v>600</v>
      </c>
      <c r="J84" s="17">
        <v>600</v>
      </c>
      <c r="K84" s="17">
        <v>560</v>
      </c>
      <c r="L84" s="17">
        <v>600</v>
      </c>
      <c r="M84" s="44">
        <v>7320</v>
      </c>
      <c r="N84" s="21">
        <v>9390</v>
      </c>
      <c r="O84" s="49">
        <v>2040</v>
      </c>
      <c r="P84" s="49">
        <v>600</v>
      </c>
      <c r="Q84" s="49" t="str">
        <f>IF(OR(Прайс[[#This Row],[Тип]]="Нижний",Прайс[[#This Row],[Тип]]="Пенал"),"560",IF(Прайс[[#This Row],[Тип]]="Верхний",315,0))</f>
        <v>560</v>
      </c>
      <c r="R84" s="23">
        <v>1.08</v>
      </c>
      <c r="S84" s="23">
        <v>1.0649999999999999</v>
      </c>
      <c r="T84" s="23">
        <v>1.3</v>
      </c>
      <c r="U84" s="18"/>
      <c r="V84" s="18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>
        <f>'[2]комплекты фурнитуры'!$C$23*2</f>
        <v>560</v>
      </c>
      <c r="AK84" s="16"/>
      <c r="AL84" s="16"/>
      <c r="AM84" s="16">
        <f>SUM(Прайс[[#This Row],[КФ НСТ11]:[KFPr-SB-ZPG]])+Прайс[[#This Row],[КФ НСТ12]]</f>
        <v>1500</v>
      </c>
      <c r="AN84" s="19"/>
      <c r="AO84" s="19"/>
      <c r="AP84" s="19"/>
      <c r="AQ84" s="16"/>
      <c r="AR84" s="19">
        <f>'[2]комплекты фурнитуры'!$C$62</f>
        <v>620</v>
      </c>
      <c r="AS84" s="19">
        <f>'[2]комплекты фурнитуры'!$C$63</f>
        <v>130</v>
      </c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38"/>
      <c r="BN84" s="19"/>
      <c r="BO84" s="19"/>
      <c r="BP84" s="19"/>
      <c r="BQ84" s="19"/>
      <c r="BR84" s="19"/>
      <c r="BS84" s="19"/>
      <c r="BT84" s="19"/>
      <c r="BU84" s="20">
        <f>Прайс[[#This Row],[КФ петли SENS накл.110 гр. с крестообр. Планкой]]*4</f>
        <v>2480</v>
      </c>
      <c r="BV84" s="20">
        <f>Прайс[[#This Row],[KFP-SB-N110]]*4</f>
        <v>520</v>
      </c>
      <c r="BW84" s="21">
        <f>Прайс[[#This Row],[KFP-SB-N110]]*4</f>
        <v>520</v>
      </c>
      <c r="BX84" s="22">
        <v>2</v>
      </c>
      <c r="BY84" s="22">
        <v>4</v>
      </c>
      <c r="BZ84" s="22" t="s">
        <v>112</v>
      </c>
      <c r="CA84" s="21" t="s">
        <v>98</v>
      </c>
      <c r="CB84" s="22">
        <v>2</v>
      </c>
      <c r="CC84" s="22" t="s">
        <v>96</v>
      </c>
      <c r="CD84" s="22"/>
      <c r="CE84" s="22"/>
      <c r="CF84" s="22">
        <v>2</v>
      </c>
      <c r="CG84" s="22">
        <v>0</v>
      </c>
      <c r="CH84" s="22">
        <v>0</v>
      </c>
      <c r="CI84" s="22"/>
      <c r="CJ84" s="22">
        <f>'[2]комплекты фурнитуры'!$C$22</f>
        <v>940</v>
      </c>
      <c r="CK84" s="22"/>
      <c r="CL84" s="22"/>
      <c r="CM84" s="22" t="s">
        <v>96</v>
      </c>
      <c r="CN84" s="22">
        <f>IF(Прайс[[#This Row],[Наличие подсветки на нижнем горизонте]]="Нет",0,'[2]комплекты фурнитуры'!$C$91)</f>
        <v>0</v>
      </c>
      <c r="CO84"/>
      <c r="CP84"/>
      <c r="CQ84"/>
      <c r="CR84"/>
      <c r="CS84"/>
      <c r="CT84"/>
      <c r="CU84"/>
    </row>
    <row r="85" spans="1:99" ht="15" customHeight="1" x14ac:dyDescent="0.25">
      <c r="A85" s="29" t="s">
        <v>286</v>
      </c>
      <c r="B85" s="16" t="s">
        <v>234</v>
      </c>
      <c r="C85" s="16" t="s">
        <v>287</v>
      </c>
      <c r="D85" s="16" t="s">
        <v>101</v>
      </c>
      <c r="E85" s="16" t="s">
        <v>96</v>
      </c>
      <c r="F85" s="16" t="s">
        <v>240</v>
      </c>
      <c r="G85" s="17">
        <v>1910</v>
      </c>
      <c r="H85" s="17">
        <v>2610</v>
      </c>
      <c r="I85" s="17">
        <v>600</v>
      </c>
      <c r="J85" s="17">
        <v>600</v>
      </c>
      <c r="K85" s="17">
        <v>560</v>
      </c>
      <c r="L85" s="17">
        <v>600</v>
      </c>
      <c r="M85" s="44">
        <v>7480</v>
      </c>
      <c r="N85" s="21">
        <v>9590</v>
      </c>
      <c r="O85" s="49">
        <v>2040</v>
      </c>
      <c r="P85" s="49">
        <v>600</v>
      </c>
      <c r="Q85" s="49" t="str">
        <f>IF(OR(Прайс[[#This Row],[Тип]]="Нижний",Прайс[[#This Row],[Тип]]="Пенал"),"560",IF(Прайс[[#This Row],[Тип]]="Верхний",315,0))</f>
        <v>560</v>
      </c>
      <c r="R85" s="23">
        <v>1.08</v>
      </c>
      <c r="S85" s="23">
        <v>1.0649999999999999</v>
      </c>
      <c r="T85" s="23">
        <v>1.3</v>
      </c>
      <c r="U85" s="18"/>
      <c r="V85" s="18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>
        <f>'[2]комплекты фурнитуры'!$C$23*2</f>
        <v>560</v>
      </c>
      <c r="AK85" s="16"/>
      <c r="AL85" s="16"/>
      <c r="AM85" s="16">
        <f>SUM(Прайс[[#This Row],[КФ НСТ11]:[KFPr-SB-ZPG]])+Прайс[[#This Row],[КФ НСТ12]]</f>
        <v>1500</v>
      </c>
      <c r="AN85" s="19"/>
      <c r="AO85" s="19"/>
      <c r="AP85" s="19"/>
      <c r="AQ85" s="16"/>
      <c r="AR85" s="19">
        <f>'[2]комплекты фурнитуры'!$C$62</f>
        <v>620</v>
      </c>
      <c r="AS85" s="19">
        <f>'[2]комплекты фурнитуры'!$C$63</f>
        <v>130</v>
      </c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>
        <f>'[2]комплекты фурнитуры'!$C$26</f>
        <v>6660</v>
      </c>
      <c r="BI85" s="19"/>
      <c r="BJ85" s="19">
        <f>'[2]комплекты фурнитуры'!$C$31</f>
        <v>950</v>
      </c>
      <c r="BK85" s="19"/>
      <c r="BL85" s="19"/>
      <c r="BM85" s="38"/>
      <c r="BN85" s="19"/>
      <c r="BO85" s="19">
        <f>'[2]комплекты фурнитуры'!$C$37</f>
        <v>7970</v>
      </c>
      <c r="BP85" s="19"/>
      <c r="BQ85" s="19"/>
      <c r="BR85" s="19"/>
      <c r="BS85" s="19"/>
      <c r="BT85" s="19"/>
      <c r="BU85" s="20">
        <f>Прайс[[#This Row],[КФ петли SENS накл.110 гр. с крестообр. Планкой]]*2+Прайс[[#This Row],[Комплект для ящика Hettich ATIRA Серый с реллингом, NL-470, H-176]]</f>
        <v>7900</v>
      </c>
      <c r="BV85" s="20">
        <f>Прайс[[#This Row],[KFP-SB-N110]]*2+Прайс[[#This Row],[KFN-SB-M15]]</f>
        <v>1210</v>
      </c>
      <c r="BW85" s="21">
        <f>Прайс[[#This Row],[KFP-SB-N110]]*2+Прайс[[#This Row],[Комплект короба INNOTECH ATIRA полного выдв. с Push to open, Н176,NL470,рейлинги, цвет серебристый]]</f>
        <v>8230</v>
      </c>
      <c r="BX85" s="22">
        <v>1</v>
      </c>
      <c r="BY85" s="22">
        <v>4</v>
      </c>
      <c r="BZ85" s="22" t="s">
        <v>96</v>
      </c>
      <c r="CA85" s="21" t="s">
        <v>127</v>
      </c>
      <c r="CB85" s="22">
        <v>1</v>
      </c>
      <c r="CC85" s="22" t="s">
        <v>96</v>
      </c>
      <c r="CD85" s="22"/>
      <c r="CE85" s="22"/>
      <c r="CF85" s="22">
        <v>2</v>
      </c>
      <c r="CG85" s="22">
        <v>0</v>
      </c>
      <c r="CH85" s="22">
        <v>0</v>
      </c>
      <c r="CI85" s="22"/>
      <c r="CJ85" s="22">
        <f>'[2]комплекты фурнитуры'!$C$22</f>
        <v>940</v>
      </c>
      <c r="CK85" s="22"/>
      <c r="CL85" s="22"/>
      <c r="CM85" s="22" t="s">
        <v>96</v>
      </c>
      <c r="CN85" s="22">
        <f>IF(Прайс[[#This Row],[Наличие подсветки на нижнем горизонте]]="Нет",0,'[2]комплекты фурнитуры'!$C$91)</f>
        <v>0</v>
      </c>
      <c r="CO85"/>
      <c r="CP85"/>
      <c r="CQ85"/>
      <c r="CR85"/>
      <c r="CS85"/>
      <c r="CT85"/>
      <c r="CU85"/>
    </row>
    <row r="86" spans="1:99" x14ac:dyDescent="0.25">
      <c r="A86" s="40"/>
    </row>
    <row r="87" spans="1:99" x14ac:dyDescent="0.25">
      <c r="A87" s="40"/>
    </row>
    <row r="88" spans="1:99" x14ac:dyDescent="0.25">
      <c r="A88" s="40"/>
    </row>
    <row r="89" spans="1:99" x14ac:dyDescent="0.25">
      <c r="A89" s="40"/>
    </row>
    <row r="90" spans="1:99" x14ac:dyDescent="0.25">
      <c r="A90" s="40"/>
    </row>
    <row r="91" spans="1:99" x14ac:dyDescent="0.25">
      <c r="A91" s="40"/>
    </row>
    <row r="92" spans="1:99" x14ac:dyDescent="0.25">
      <c r="A92" s="40"/>
    </row>
    <row r="93" spans="1:99" x14ac:dyDescent="0.25">
      <c r="A93" s="40"/>
    </row>
    <row r="94" spans="1:99" x14ac:dyDescent="0.25">
      <c r="A94" s="40"/>
    </row>
    <row r="95" spans="1:99" x14ac:dyDescent="0.25">
      <c r="A95" s="40"/>
    </row>
    <row r="96" spans="1:99" x14ac:dyDescent="0.25">
      <c r="A96" s="40"/>
    </row>
    <row r="97" spans="1:34" x14ac:dyDescent="0.25">
      <c r="A97" s="40"/>
    </row>
    <row r="98" spans="1:34" x14ac:dyDescent="0.25">
      <c r="A98" s="40"/>
    </row>
    <row r="99" spans="1:34" x14ac:dyDescent="0.25">
      <c r="A99" s="40"/>
    </row>
    <row r="100" spans="1:34" x14ac:dyDescent="0.25">
      <c r="A100" s="40"/>
    </row>
    <row r="101" spans="1:34" x14ac:dyDescent="0.25">
      <c r="A101" s="40"/>
    </row>
    <row r="102" spans="1:34" x14ac:dyDescent="0.25">
      <c r="A102" s="40"/>
    </row>
    <row r="103" spans="1:34" x14ac:dyDescent="0.25">
      <c r="A103" s="40"/>
    </row>
    <row r="104" spans="1:34" x14ac:dyDescent="0.25">
      <c r="A104" s="40"/>
      <c r="U104" s="45"/>
      <c r="V104" s="45"/>
      <c r="W104" s="45"/>
      <c r="X104" s="45"/>
      <c r="Y104" s="45"/>
      <c r="Z104" s="45"/>
      <c r="AA104" s="45"/>
      <c r="AB104" s="45"/>
      <c r="AC104" s="45"/>
      <c r="AD104" s="42"/>
    </row>
    <row r="105" spans="1:34" x14ac:dyDescent="0.25">
      <c r="A105" s="40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spans="1:34" x14ac:dyDescent="0.25">
      <c r="A106" s="40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spans="1:34" x14ac:dyDescent="0.25">
      <c r="A107" s="40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4" x14ac:dyDescent="0.25">
      <c r="A108" s="40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x14ac:dyDescent="0.25">
      <c r="A109" s="40"/>
    </row>
    <row r="110" spans="1:34" x14ac:dyDescent="0.25">
      <c r="A110" s="40"/>
    </row>
    <row r="111" spans="1:34" x14ac:dyDescent="0.25">
      <c r="A111" s="40"/>
    </row>
    <row r="112" spans="1:34" x14ac:dyDescent="0.25">
      <c r="A112" s="40"/>
    </row>
    <row r="113" spans="1:1" x14ac:dyDescent="0.25">
      <c r="A113" s="28"/>
    </row>
    <row r="114" spans="1:1" x14ac:dyDescent="0.25">
      <c r="A114" s="28"/>
    </row>
    <row r="115" spans="1:1" x14ac:dyDescent="0.25">
      <c r="A115" s="40"/>
    </row>
    <row r="116" spans="1:1" x14ac:dyDescent="0.25">
      <c r="A116" s="40"/>
    </row>
    <row r="117" spans="1:1" x14ac:dyDescent="0.25">
      <c r="A117" s="40"/>
    </row>
    <row r="118" spans="1:1" x14ac:dyDescent="0.25">
      <c r="A118" s="40"/>
    </row>
    <row r="119" spans="1:1" x14ac:dyDescent="0.25">
      <c r="A119" s="40"/>
    </row>
    <row r="120" spans="1:1" x14ac:dyDescent="0.25">
      <c r="A120" s="40"/>
    </row>
    <row r="121" spans="1:1" x14ac:dyDescent="0.25">
      <c r="A121" s="40"/>
    </row>
    <row r="122" spans="1:1" x14ac:dyDescent="0.25">
      <c r="A122" s="40"/>
    </row>
    <row r="123" spans="1:1" x14ac:dyDescent="0.25">
      <c r="A123" s="40"/>
    </row>
    <row r="124" spans="1:1" x14ac:dyDescent="0.25">
      <c r="A124" s="40"/>
    </row>
    <row r="125" spans="1:1" x14ac:dyDescent="0.25">
      <c r="A125" s="40"/>
    </row>
    <row r="126" spans="1:1" x14ac:dyDescent="0.25">
      <c r="A126" s="40"/>
    </row>
    <row r="127" spans="1:1" x14ac:dyDescent="0.25">
      <c r="A127" s="40"/>
    </row>
    <row r="128" spans="1:1" x14ac:dyDescent="0.25">
      <c r="A128" s="40"/>
    </row>
    <row r="129" spans="1:1" x14ac:dyDescent="0.25">
      <c r="A129" s="40"/>
    </row>
    <row r="130" spans="1:1" x14ac:dyDescent="0.25">
      <c r="A130" s="40"/>
    </row>
    <row r="131" spans="1:1" x14ac:dyDescent="0.25">
      <c r="A131" s="40"/>
    </row>
    <row r="132" spans="1:1" x14ac:dyDescent="0.25">
      <c r="A132" s="40"/>
    </row>
    <row r="133" spans="1:1" x14ac:dyDescent="0.25">
      <c r="A133" s="40"/>
    </row>
    <row r="134" spans="1:1" x14ac:dyDescent="0.25">
      <c r="A134" s="40"/>
    </row>
    <row r="135" spans="1:1" x14ac:dyDescent="0.25">
      <c r="A135" s="40"/>
    </row>
    <row r="136" spans="1:1" x14ac:dyDescent="0.25">
      <c r="A136" s="40"/>
    </row>
    <row r="137" spans="1:1" x14ac:dyDescent="0.25">
      <c r="A137" s="40"/>
    </row>
    <row r="138" spans="1:1" x14ac:dyDescent="0.25">
      <c r="A138" s="40"/>
    </row>
    <row r="139" spans="1:1" x14ac:dyDescent="0.25">
      <c r="A139" s="40"/>
    </row>
    <row r="140" spans="1:1" x14ac:dyDescent="0.25">
      <c r="A140" s="40"/>
    </row>
    <row r="141" spans="1:1" x14ac:dyDescent="0.25">
      <c r="A141" s="40"/>
    </row>
    <row r="142" spans="1:1" x14ac:dyDescent="0.25">
      <c r="A142" s="40"/>
    </row>
    <row r="143" spans="1:1" x14ac:dyDescent="0.25">
      <c r="A143" s="40"/>
    </row>
    <row r="144" spans="1:1" x14ac:dyDescent="0.25">
      <c r="A144" s="40"/>
    </row>
    <row r="145" spans="1:1" x14ac:dyDescent="0.25">
      <c r="A145" s="40"/>
    </row>
    <row r="146" spans="1:1" x14ac:dyDescent="0.25">
      <c r="A146" s="40"/>
    </row>
    <row r="147" spans="1:1" x14ac:dyDescent="0.25">
      <c r="A147" s="40"/>
    </row>
    <row r="148" spans="1:1" x14ac:dyDescent="0.25">
      <c r="A148" s="28"/>
    </row>
    <row r="150" spans="1:1" ht="15" customHeight="1" x14ac:dyDescent="0.25"/>
  </sheetData>
  <mergeCells count="1">
    <mergeCell ref="U104:AC104"/>
  </mergeCells>
  <conditionalFormatting sqref="M2:M85">
    <cfRule type="cellIs" dxfId="1" priority="2" operator="equal">
      <formula>0</formula>
    </cfRule>
  </conditionalFormatting>
  <conditionalFormatting sqref="N2:N8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2025-09-30T19:56:47Z</dcterms:modified>
</cp:coreProperties>
</file>