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onfiguracion" sheetId="2" r:id="rId6"/>
    <sheet state="visible" name="Base de Datos" sheetId="3" r:id="rId7"/>
    <sheet state="visible" name="Inventario" sheetId="4" r:id="rId8"/>
    <sheet state="visible" name="Pedidos" sheetId="5" r:id="rId9"/>
    <sheet state="visible" name="Ingresos y Gastos" sheetId="6" r:id="rId10"/>
    <sheet state="visible" name="Punto de Equilibrio" sheetId="7" r:id="rId11"/>
    <sheet state="visible" name="Analisis de Precios" sheetId="8" r:id="rId12"/>
    <sheet state="visible" name="Indice de Recetas" sheetId="9" r:id="rId13"/>
    <sheet state="visible" name="Sub-recetas" sheetId="10" r:id="rId14"/>
    <sheet state="visible" name="Receta 01" sheetId="11" r:id="rId15"/>
    <sheet state="visible" name="Receta 02" sheetId="12" r:id="rId16"/>
    <sheet state="visible" name="Receta 03" sheetId="13" r:id="rId17"/>
    <sheet state="visible" name="Receta 04" sheetId="14" r:id="rId18"/>
    <sheet state="visible" name="Receta 05" sheetId="15" r:id="rId19"/>
    <sheet state="visible" name="Receta 06" sheetId="16" r:id="rId20"/>
    <sheet state="visible" name="Receta 07" sheetId="17" r:id="rId21"/>
    <sheet state="visible" name="Receta 08" sheetId="18" r:id="rId22"/>
    <sheet state="visible" name="Receta 09" sheetId="19" r:id="rId23"/>
    <sheet state="visible" name="Receta 10" sheetId="20" r:id="rId24"/>
    <sheet state="visible" name="Receta 11" sheetId="21" r:id="rId25"/>
    <sheet state="visible" name="Receta 12" sheetId="22" r:id="rId26"/>
    <sheet state="visible" name="Receta 13" sheetId="23" r:id="rId27"/>
    <sheet state="visible" name="Receta 14" sheetId="24" r:id="rId28"/>
    <sheet state="visible" name="Receta 15" sheetId="25" r:id="rId29"/>
    <sheet state="visible" name="Receta 16" sheetId="26" r:id="rId30"/>
    <sheet state="visible" name="Receta 17" sheetId="27" r:id="rId31"/>
    <sheet state="visible" name="Receta 18" sheetId="28" r:id="rId32"/>
    <sheet state="visible" name="Receta 19" sheetId="29" r:id="rId33"/>
    <sheet state="visible" name="Receta 20" sheetId="30" r:id="rId34"/>
  </sheets>
  <definedNames/>
  <calcPr/>
</workbook>
</file>

<file path=xl/sharedStrings.xml><?xml version="1.0" encoding="utf-8"?>
<sst xmlns="http://schemas.openxmlformats.org/spreadsheetml/2006/main" count="1669" uniqueCount="419">
  <si>
    <t>📖  INSTRUCCIONES — Cómo usar el kit</t>
  </si>
  <si>
    <t>Leé esto una vez antes de empezar. Te va a ahorrar tiempo.</t>
  </si>
  <si>
    <t>⚙️  PASO 1 — Configuración</t>
  </si>
  <si>
    <t>1. Abrí la pestaña Configuracion.</t>
  </si>
  <si>
    <t>2. Escribí si tu negocio es 'Restaurante' o 'Emprendimiento'.</t>
  </si>
  <si>
    <t>3. Completá nombre, moneda, margen objetivo, food cost máximo e IVA.</t>
  </si>
  <si>
    <t>4. Eso es todo — el resto del kit se adapta solo.</t>
  </si>
  <si>
    <t>📦  PASO 2 — Cargá tus insumos</t>
  </si>
  <si>
    <t>1. Abrí la pestaña Base de Datos.</t>
  </si>
  <si>
    <t>2. Completá cada insumo: nombre, categoría, proveedor, precio, unidad, consumo diario.</t>
  </si>
  <si>
    <t>3. El factor de corrección es la merma AL COMPRAR (ej: ajo pierde 30% al pelar → ponés 0.30).</t>
  </si>
  <si>
    <t>4. Estos datos alimentan automáticamente las recetas, sub-recetas e inventario.</t>
  </si>
  <si>
    <t>🧪  PASO 3 — Costear sub-recetas (salsas, bases, masas)</t>
  </si>
  <si>
    <t>1. Abrí la pestaña Sub-recetas.</t>
  </si>
  <si>
    <t>2. Buscá el bloque '▶ SUB-RECETA 01' (o el que esté libre).</t>
  </si>
  <si>
    <t>3. Escribí el nombre de la sub-receta en el campo 'Nombre'.</t>
  </si>
  <si>
    <t>4. Completá el peso crudo total y el peso final utilizable.</t>
  </si>
  <si>
    <t>5. En la tabla de ingredientes seleccioná cada insumo del desplegable y poné la cantidad.</t>
  </si>
  <si>
    <t>6. El ⭐ COSTO POR UNIDAD se calcula solo — ese número se usa en las recetas.</t>
  </si>
  <si>
    <t>IMPORTANTE: el nombre que escribís acá tiene que coincidir exactamente cuando lo uses en una receta.</t>
  </si>
  <si>
    <t>🍳  PASO 4 — Costear recetas</t>
  </si>
  <si>
    <t>1. Abrí la pestaña 'Receta 01' (o cualquier receta libre).</t>
  </si>
  <si>
    <t>2. Escribí el nombre de la receta, porciones y margen de ganancia.</t>
  </si>
  <si>
    <t>3. En la tabla de ingredientes usá el desplegable para seleccionar cada insumo.</t>
  </si>
  <si>
    <t>4. También podés escribir el nombre de una sub-receta en el desplegable.</t>
  </si>
  <si>
    <t>5. Completá la cantidad por porción y la unidad de medida.</t>
  </si>
  <si>
    <t>6. El precio sugerido y el semáforo se calculan solos.</t>
  </si>
  <si>
    <t>7. Cuando termines, anotá la fecha de costeo — así el kit te avisa cuando hay que revisar.</t>
  </si>
  <si>
    <t>➕  CÓMO AGREGAR MÁS RECETAS</t>
  </si>
  <si>
    <t>El kit viene con 20 pestañas de recetas (Receta 01 a Receta 20).</t>
  </si>
  <si>
    <t>Para agregar más: hacé clic derecho sobre cualquier pestaña de receta → 'Mover o copiar'.</t>
  </si>
  <si>
    <t>Tildá 'Crear una copia' y elegí dónde ubicarla.</t>
  </si>
  <si>
    <t>Renombrá la pestaña (ej: 'Receta 21') y borrá los datos de la receta anterior.</t>
  </si>
  <si>
    <t>Para que aparezca en el Índice de Recetas: agregá una fila nueva al final de la tabla y referenciarla.</t>
  </si>
  <si>
    <t>➕  CÓMO AGREGAR MÁS SUB-RECETAS</t>
  </si>
  <si>
    <t>El kit viene con 15 bloques de sub-recetas en la pestaña Sub-recetas.</t>
  </si>
  <si>
    <t>Para agregar más: bajá hasta el final de la última sub-receta.</t>
  </si>
  <si>
    <t>Copiá el bloque completo (desde el título ▶ hasta el separador naranja).</t>
  </si>
  <si>
    <t>Pegalo debajo y actualizá el número (SUB-RECETA 16, etc.).</t>
  </si>
  <si>
    <t>Actualizá la tabla de referencia al final de la hoja agregando una fila nueva.</t>
  </si>
  <si>
    <t>💡  CONSEJOS RÁPIDOS</t>
  </si>
  <si>
    <t>Los campos en AZUL son los que completás vos.</t>
  </si>
  <si>
    <t>Los campos en AMARILLO se calculan solos — no los modifiques.</t>
  </si>
  <si>
    <t>El semáforo 🟢🟡🔴 te dice si el precio está bien puesto vs. tu meta de food cost.</t>
  </si>
  <si>
    <t>Si subió un insumo: actualizalo en Base de Datos → todos los costos se recalculan solos.</t>
  </si>
  <si>
    <t>Si una receta tiene más de 90 días sin revisar, aparece la alerta 🔴 en el Índice.</t>
  </si>
  <si>
    <t>⚙️  CONFIGURACIÓN DEL KIT</t>
  </si>
  <si>
    <t>Completa estos datos una sola vez. Todo el kit se adapta automáticamente.</t>
  </si>
  <si>
    <t>TIPO DE NEGOCIO Y DATOS GENERALES</t>
  </si>
  <si>
    <t>Tipo de negocio:</t>
  </si>
  <si>
    <t>Emprendimiento</t>
  </si>
  <si>
    <t>Escribi "Restaurante" o "Emprendimiento"</t>
  </si>
  <si>
    <t>Nombre del negocio:</t>
  </si>
  <si>
    <t>La Repostera de Caro</t>
  </si>
  <si>
    <t>Moneda / símbolo:</t>
  </si>
  <si>
    <t>$ARS</t>
  </si>
  <si>
    <t>% Margen objetivo:</t>
  </si>
  <si>
    <t>% Food cost máximo:</t>
  </si>
  <si>
    <t>% IVA / impuesto:</t>
  </si>
  <si>
    <t>Las comisiones de delivery se configuran directamente en la hoja de Análisis de Precios.</t>
  </si>
  <si>
    <t>ADAPTACIÓN AUTOMÁTICA</t>
  </si>
  <si>
    <t>Restaurante → turnos (desayuno/almuerzo/cena), salón, barra, delivery por plataformas, múltiples proveedores.</t>
  </si>
  <si>
    <t>Emprendimiento → pedidos por WhatsApp, eventos, producción semanal, gastos simplificados.</t>
  </si>
  <si>
    <t>Inventario, recetas, sub-recetas y punto de equilibrio funcionan igual para ambos tipos.</t>
  </si>
  <si>
    <t>📦  BASE DE DATOS DE PRODUCTOS</t>
  </si>
  <si>
    <t>Registrá cada insumo una sola vez. Esta hoja alimenta el inventario, los pedidos y las recetas.</t>
  </si>
  <si>
    <t>Tip: Factor de corrección = merma al comprar (ej: 20% para ajo = comprás 1 kg pero usás 0.8 kg). Consumo diario en unidades de presentación.</t>
  </si>
  <si>
    <t>Tip: Consumo diario en unidades de presentación (ej: si usás media bolsa de harina por día → 0.5).</t>
  </si>
  <si>
    <t>INSUMO</t>
  </si>
  <si>
    <t>CATEGORÍA</t>
  </si>
  <si>
    <t>PROVEEDOR</t>
  </si>
  <si>
    <t>UNIDAD DE
PRESENTACIÓN</t>
  </si>
  <si>
    <t>FORMATO
COMPRA (cant.)</t>
  </si>
  <si>
    <t>UNIDAD
DE USO</t>
  </si>
  <si>
    <t>PRECIO DE
COMPRA ($)</t>
  </si>
  <si>
    <t>CONSUMO
MÍN DIARIO</t>
  </si>
  <si>
    <t>CONSUMO
MÁX DIARIO</t>
  </si>
  <si>
    <t>Harina 000</t>
  </si>
  <si>
    <t>Harinas</t>
  </si>
  <si>
    <t>Molino Cañuelas</t>
  </si>
  <si>
    <t>bolsa 25 kg</t>
  </si>
  <si>
    <t>kg</t>
  </si>
  <si>
    <t>Azúcar</t>
  </si>
  <si>
    <t>Azúcares</t>
  </si>
  <si>
    <t>Ledesma</t>
  </si>
  <si>
    <t>bolsa 5 kg</t>
  </si>
  <si>
    <t>Manteca</t>
  </si>
  <si>
    <t>Lácteos</t>
  </si>
  <si>
    <t>La Serenísima</t>
  </si>
  <si>
    <t>Aceite girasol</t>
  </si>
  <si>
    <t>Aceites</t>
  </si>
  <si>
    <t>Natura</t>
  </si>
  <si>
    <t>bidón 5 L</t>
  </si>
  <si>
    <t>L</t>
  </si>
  <si>
    <t>Huevos</t>
  </si>
  <si>
    <t>Granja Bella</t>
  </si>
  <si>
    <t>docena</t>
  </si>
  <si>
    <t>unidad</t>
  </si>
  <si>
    <t>Leche entera</t>
  </si>
  <si>
    <t>litro</t>
  </si>
  <si>
    <t>Crema de leche</t>
  </si>
  <si>
    <t>Queso mozzarella</t>
  </si>
  <si>
    <t>Sancor</t>
  </si>
  <si>
    <t>Queso crema</t>
  </si>
  <si>
    <t>Casancrem</t>
  </si>
  <si>
    <t>Ricota</t>
  </si>
  <si>
    <t>Sal fina</t>
  </si>
  <si>
    <t>Condimentos</t>
  </si>
  <si>
    <t>Celusal</t>
  </si>
  <si>
    <t>Polvo de hornear</t>
  </si>
  <si>
    <t>Belbake</t>
  </si>
  <si>
    <t>sobre 15 g</t>
  </si>
  <si>
    <t>Levadura seca</t>
  </si>
  <si>
    <t>Calsa</t>
  </si>
  <si>
    <t>sobre 10 g</t>
  </si>
  <si>
    <t>Vainilla esencia</t>
  </si>
  <si>
    <t>Alicante</t>
  </si>
  <si>
    <t>frasco 100ml</t>
  </si>
  <si>
    <t>Canela molida</t>
  </si>
  <si>
    <t>McCormick</t>
  </si>
  <si>
    <t>frasco 50 g</t>
  </si>
  <si>
    <t>Dulce de leche</t>
  </si>
  <si>
    <t>Repostería</t>
  </si>
  <si>
    <t>La Salamandra</t>
  </si>
  <si>
    <t>balde 4 kg</t>
  </si>
  <si>
    <t>Cacao en polvo</t>
  </si>
  <si>
    <t>Nestlé</t>
  </si>
  <si>
    <t>Chocolate cobertura</t>
  </si>
  <si>
    <t>Fenix</t>
  </si>
  <si>
    <t>Coco rallado</t>
  </si>
  <si>
    <t>Pureza</t>
  </si>
  <si>
    <t>paq 200 g</t>
  </si>
  <si>
    <t>Nueces</t>
  </si>
  <si>
    <t>Frutos secos</t>
  </si>
  <si>
    <t>Nutrin</t>
  </si>
  <si>
    <t>paq 500 g</t>
  </si>
  <si>
    <t>Carne picada</t>
  </si>
  <si>
    <t>Carnes</t>
  </si>
  <si>
    <t>Frigorífico Amor</t>
  </si>
  <si>
    <t>Tomate</t>
  </si>
  <si>
    <t>Verduras</t>
  </si>
  <si>
    <t>Verdulería Sur</t>
  </si>
  <si>
    <t>Cebolla</t>
  </si>
  <si>
    <t>Ajo</t>
  </si>
  <si>
    <t>Limón</t>
  </si>
  <si>
    <t>Mermelada frutillas</t>
  </si>
  <si>
    <t>Arcor</t>
  </si>
  <si>
    <t>frasco 400 g</t>
  </si>
  <si>
    <t>Maicena</t>
  </si>
  <si>
    <t>Maizena</t>
  </si>
  <si>
    <t>caja 400 g</t>
  </si>
  <si>
    <t>Azúcar impalpable</t>
  </si>
  <si>
    <t>Packaging caja</t>
  </si>
  <si>
    <t>Packaging</t>
  </si>
  <si>
    <t>Empaques SRL</t>
  </si>
  <si>
    <t>paq 100 u</t>
  </si>
  <si>
    <t>Packaging bolsa</t>
  </si>
  <si>
    <t>📋  HOJA DE INVENTARIO</t>
  </si>
  <si>
    <t>Completá la columna 'Existencia actual' con el conteo físico. El punto de pedido y la alerta se calculan solos.</t>
  </si>
  <si>
    <t>Fecha del inventario:</t>
  </si>
  <si>
    <t>Carolina Sánchez</t>
  </si>
  <si>
    <t>CONTEO DE STOCK</t>
  </si>
  <si>
    <t>PRODUCTO</t>
  </si>
  <si>
    <t>UNIDAD</t>
  </si>
  <si>
    <t>EXISTENCIA
ACTUAL</t>
  </si>
  <si>
    <t>UBICACIÓN /
ZONA</t>
  </si>
  <si>
    <t>PUNTO DE
PEDIDO</t>
  </si>
  <si>
    <t>¿NECESITA
REPOSICIÓN?</t>
  </si>
  <si>
    <t>Despensa</t>
  </si>
  <si>
    <t>Heladera</t>
  </si>
  <si>
    <t>Freezer</t>
  </si>
  <si>
    <t>Depósito</t>
  </si>
  <si>
    <t>🛒  PEDIDO SUGERIDO</t>
  </si>
  <si>
    <t>Generado automáticamente en base al inventario, consumo y días de reposición. Solo muestra lo que hay que pedir.</t>
  </si>
  <si>
    <t>Items a reponer:</t>
  </si>
  <si>
    <t>Valor estimado del pedido:</t>
  </si>
  <si>
    <t>DETALLE DEL PEDIDO</t>
  </si>
  <si>
    <t>PUNTO
PEDIDO</t>
  </si>
  <si>
    <t>CANTIDAD A
PEDIR (unidades
presentación)</t>
  </si>
  <si>
    <t>UNIDAD
COMPRA</t>
  </si>
  <si>
    <t>PRECIO
UNITARIO ($)</t>
  </si>
  <si>
    <t>COSTO
ESTIMADO ($)</t>
  </si>
  <si>
    <t>Solo aparecen los productos que necesitan reposición. Completá la columna 'Existencia actual' en la hoja Inventario para actualizar este pedido.</t>
  </si>
  <si>
    <t>💰  INGRESOS Y GASTOS MENSUALES</t>
  </si>
  <si>
    <t>Mes:</t>
  </si>
  <si>
    <t>Abril</t>
  </si>
  <si>
    <t>Año:</t>
  </si>
  <si>
    <t>REGISTRO DEL MES</t>
  </si>
  <si>
    <t>TIPO</t>
  </si>
  <si>
    <t>CONCEPTO</t>
  </si>
  <si>
    <t>SEMANA 1 ($)</t>
  </si>
  <si>
    <t>SEMANA 2 ($)</t>
  </si>
  <si>
    <t>SEMANA 3 ($)</t>
  </si>
  <si>
    <t>SEMANA 4 ($)</t>
  </si>
  <si>
    <t>TOTAL MES ($)</t>
  </si>
  <si>
    <t>VENTAS</t>
  </si>
  <si>
    <t>Otros ingresos</t>
  </si>
  <si>
    <t>SUBTOTAL VENTAS</t>
  </si>
  <si>
    <t>TOTAL INGRESOS</t>
  </si>
  <si>
    <t>INSUMOS
Y MATERIA
PRIMA</t>
  </si>
  <si>
    <t>Otros insumos</t>
  </si>
  <si>
    <t>SUBTOTAL INSUMOS Y MATERIA PRIMA</t>
  </si>
  <si>
    <t>PERSONAL</t>
  </si>
  <si>
    <t>Tu sueldo / retiro</t>
  </si>
  <si>
    <t>Cargas sociales / otros</t>
  </si>
  <si>
    <t>SUBTOTAL PERSONAL</t>
  </si>
  <si>
    <t>GASTOS
FIJOS</t>
  </si>
  <si>
    <t>Alquiler</t>
  </si>
  <si>
    <t>Servicios (luz, gas, agua, internet)</t>
  </si>
  <si>
    <t>Seguro</t>
  </si>
  <si>
    <t>Impuestos / tasas</t>
  </si>
  <si>
    <t>Otros gastos fijos</t>
  </si>
  <si>
    <t>SUBTOTAL GASTOS FIJOS</t>
  </si>
  <si>
    <t>GASTOS
VARIABLES</t>
  </si>
  <si>
    <t>Marketing / publicidad</t>
  </si>
  <si>
    <t>Mantenimiento y reparaciones</t>
  </si>
  <si>
    <t>Transporte / combustible</t>
  </si>
  <si>
    <t>Otros gastos variables</t>
  </si>
  <si>
    <t>SUBTOTAL GASTOS VARIABLES</t>
  </si>
  <si>
    <t>TOTAL GASTOS</t>
  </si>
  <si>
    <t>RESULTADO DEL MES</t>
  </si>
  <si>
    <t>⚖️  PUNTO DE EQUILIBRIO</t>
  </si>
  <si>
    <t>GASTOS FIJOS MENSUALES</t>
  </si>
  <si>
    <t>DATOS DEL NEGOCIO</t>
  </si>
  <si>
    <t>MONTO ($)</t>
  </si>
  <si>
    <t>NOTAS</t>
  </si>
  <si>
    <t>% Costo MP — Platos:</t>
  </si>
  <si>
    <t>% Costo MP — Bebidas:</t>
  </si>
  <si>
    <t>% Costo MP Promedio:</t>
  </si>
  <si>
    <t>Ticket promedio (calculado):</t>
  </si>
  <si>
    <t>Otros costos variables por venta ($):</t>
  </si>
  <si>
    <t>RESULTADOS</t>
  </si>
  <si>
    <t>Margen de contribución por venta ($):</t>
  </si>
  <si>
    <t>Margen de contribución (%):</t>
  </si>
  <si>
    <t>Facturación mínima mensual ($):</t>
  </si>
  <si>
    <t>TOTAL GASTOS FIJOS:</t>
  </si>
  <si>
    <t>FACTURACIÓN MÍNIMA DIARIA ($):</t>
  </si>
  <si>
    <t>ANÁLISIS DE PRECIOS — TABLA PVP</t>
  </si>
  <si>
    <t>Precios, food cost, márgenes y el impacto de cada plataforma de delivery.</t>
  </si>
  <si>
    <t>CONFIGURACIÓN</t>
  </si>
  <si>
    <t>IVA / Impuesto a las ventas:</t>
  </si>
  <si>
    <t>% Margen objetivo (meta):</t>
  </si>
  <si>
    <t>TABLA DE PRECIOS</t>
  </si>
  <si>
    <t>RECETA</t>
  </si>
  <si>
    <t>COSTO
UNID. ($)</t>
  </si>
  <si>
    <t>PRECIO
SIN IVA ($)</t>
  </si>
  <si>
    <t>PRECIO
CON IVA ($)</t>
  </si>
  <si>
    <t>FOOD
COST %</t>
  </si>
  <si>
    <t>MARGEN
BRUTO %</t>
  </si>
  <si>
    <t>MARGEN
EN $ / UNIDAD</t>
  </si>
  <si>
    <t>SEMÁFORO</t>
  </si>
  <si>
    <t>📋  ÍNDICE DE RECETAS</t>
  </si>
  <si>
    <t>Resumen de todas tus recetas. Clic en el nombre para ir directo a la receta.</t>
  </si>
  <si>
    <t>Recetas costeadas:</t>
  </si>
  <si>
    <t>Food cost promedio:</t>
  </si>
  <si>
    <t>A revisar (&gt;90 días):</t>
  </si>
  <si>
    <t>LISTA DE RECETAS — Hace clic en el nombre para ir a la receta</t>
  </si>
  <si>
    <t>NOMBRE</t>
  </si>
  <si>
    <t>COSTO/UNIDAD ($)</t>
  </si>
  <si>
    <t>PRECIO ($)</t>
  </si>
  <si>
    <t>FOOD COST %</t>
  </si>
  <si>
    <t>MARGEN %</t>
  </si>
  <si>
    <t>ÚLTIMA REVISIÓN</t>
  </si>
  <si>
    <t>ESTADO</t>
  </si>
  <si>
    <t>Tortas</t>
  </si>
  <si>
    <t>Alfajores</t>
  </si>
  <si>
    <t>Tartas frías</t>
  </si>
  <si>
    <t>Facturas</t>
  </si>
  <si>
    <t>Chocolates</t>
  </si>
  <si>
    <t>Muffins</t>
  </si>
  <si>
    <t>Tartas</t>
  </si>
  <si>
    <t>Galletas</t>
  </si>
  <si>
    <t>Rellenos</t>
  </si>
  <si>
    <t>Budines</t>
  </si>
  <si>
    <t>Helados</t>
  </si>
  <si>
    <t>Desayuno</t>
  </si>
  <si>
    <t>Bizcochuelos</t>
  </si>
  <si>
    <t>Merengues</t>
  </si>
  <si>
    <t>Saladas</t>
  </si>
  <si>
    <t>Empanadas</t>
  </si>
  <si>
    <t>Flanes</t>
  </si>
  <si>
    <t>SUB-RECETAS</t>
  </si>
  <si>
    <t>ÍNDICE</t>
  </si>
  <si>
    <t>▶  SUB-RECETA 01</t>
  </si>
  <si>
    <t>→ 01</t>
  </si>
  <si>
    <t>Nombre:</t>
  </si>
  <si>
    <t>Dulce de leche casero</t>
  </si>
  <si>
    <t>→ 02</t>
  </si>
  <si>
    <t>Peso crudo total (g/ml):</t>
  </si>
  <si>
    <t>Peso final utilizable (g/ml):</t>
  </si>
  <si>
    <t>→ 03</t>
  </si>
  <si>
    <t>% Margen de error:</t>
  </si>
  <si>
    <t>→ 04</t>
  </si>
  <si>
    <t>→ 05</t>
  </si>
  <si>
    <t>INGREDIENTE</t>
  </si>
  <si>
    <t>CANTIDAD</t>
  </si>
  <si>
    <t>COSTO DE
PRODUCCIÓN ($)</t>
  </si>
  <si>
    <t>→ 06</t>
  </si>
  <si>
    <t>ml</t>
  </si>
  <si>
    <t>→ 07</t>
  </si>
  <si>
    <t>gramo</t>
  </si>
  <si>
    <t>→ 08</t>
  </si>
  <si>
    <t>→ 09</t>
  </si>
  <si>
    <t>→ 10</t>
  </si>
  <si>
    <t>→ 11</t>
  </si>
  <si>
    <t>→ 12</t>
  </si>
  <si>
    <t>→ 13</t>
  </si>
  <si>
    <t>→ 14</t>
  </si>
  <si>
    <t>→ 15</t>
  </si>
  <si>
    <t>Costo total ingredientes</t>
  </si>
  <si>
    <t>Margen de error aplicado</t>
  </si>
  <si>
    <t>Costo total de producción</t>
  </si>
  <si>
    <t>% Merma total</t>
  </si>
  <si>
    <t>Peso final utilizable (g/ml)</t>
  </si>
  <si>
    <t>COSTO POR UNIDAD</t>
  </si>
  <si>
    <t>Para usar en una receta: escribí exactamente el mismo nombre que pusiste en "Nombre" arriba.</t>
  </si>
  <si>
    <t>SR02</t>
  </si>
  <si>
    <t>▶  SUB-RECETA 02</t>
  </si>
  <si>
    <t>Crema pastelera</t>
  </si>
  <si>
    <t>SR03</t>
  </si>
  <si>
    <t>▶  SUB-RECETA 03</t>
  </si>
  <si>
    <t>Salsa de tomate casera</t>
  </si>
  <si>
    <t>SR04</t>
  </si>
  <si>
    <t>▶  SUB-RECETA 04</t>
  </si>
  <si>
    <t>Masa para empanadas</t>
  </si>
  <si>
    <t>SR05</t>
  </si>
  <si>
    <t>▶  SUB-RECETA 05</t>
  </si>
  <si>
    <t>Ganache de chocolate</t>
  </si>
  <si>
    <t>SR06</t>
  </si>
  <si>
    <t>▶  SUB-RECETA 06</t>
  </si>
  <si>
    <t>Almíbar simple</t>
  </si>
  <si>
    <t>SR07</t>
  </si>
  <si>
    <t>▶  SUB-RECETA 07</t>
  </si>
  <si>
    <t>Masa sablée (base tarta)</t>
  </si>
  <si>
    <t>SR08</t>
  </si>
  <si>
    <t>▶  SUB-RECETA 08</t>
  </si>
  <si>
    <t>Relleno de ricota dulce</t>
  </si>
  <si>
    <t>SR09</t>
  </si>
  <si>
    <t>▶  SUB-RECETA 09</t>
  </si>
  <si>
    <t>Mermelada de frutillas</t>
  </si>
  <si>
    <t>SR10</t>
  </si>
  <si>
    <t>▶  SUB-RECETA 10</t>
  </si>
  <si>
    <t>SR11</t>
  </si>
  <si>
    <t>▶  SUB-RECETA 11</t>
  </si>
  <si>
    <t>SR12</t>
  </si>
  <si>
    <t>▶  SUB-RECETA 12</t>
  </si>
  <si>
    <t>SR13</t>
  </si>
  <si>
    <t>▶  SUB-RECETA 13</t>
  </si>
  <si>
    <t>SR14</t>
  </si>
  <si>
    <t>▶  SUB-RECETA 14</t>
  </si>
  <si>
    <t>SR15</t>
  </si>
  <si>
    <t>▶  SUB-RECETA 15</t>
  </si>
  <si>
    <t>📋  TABLA DE REFERENCIA — usada automáticamente por las recetas</t>
  </si>
  <si>
    <t>SUB-RECETA</t>
  </si>
  <si>
    <t>🍳  RECETA 01</t>
  </si>
  <si>
    <t>DATOS DE LA RECETA</t>
  </si>
  <si>
    <t>Tacos al pastor</t>
  </si>
  <si>
    <t>Porciones / unidades:</t>
  </si>
  <si>
    <t>% Merma de producción:</t>
  </si>
  <si>
    <t>% Margen de ganancia:</t>
  </si>
  <si>
    <t>Precio de venta actual ($):</t>
  </si>
  <si>
    <t>Fecha último costeo:</t>
  </si>
  <si>
    <t>INGREDIENTE /
SUB-RECETA</t>
  </si>
  <si>
    <t>CANTIDAD
POR PORCIÓN</t>
  </si>
  <si>
    <t>UNIDAD
DE MEDIDA</t>
  </si>
  <si>
    <t>TOTAL COSTO INGREDIENTES + PACKAGING</t>
  </si>
  <si>
    <t>RESUMEN Y PRECIO SUGERIDO</t>
  </si>
  <si>
    <t>Costo ingredientes + packaging:</t>
  </si>
  <si>
    <t xml:space="preserve">  + Merma de producción (%):</t>
  </si>
  <si>
    <t xml:space="preserve">  + % Margen de error / variación:</t>
  </si>
  <si>
    <t>COSTO TOTAL (con margen de variación):</t>
  </si>
  <si>
    <t>PRECIO SIN IMPUESTOS:</t>
  </si>
  <si>
    <t xml:space="preserve">  + IVA / impuesto (%):</t>
  </si>
  <si>
    <t>PRECIO CON IMPUESTOS:</t>
  </si>
  <si>
    <t>% Margen de ganancia real:</t>
  </si>
  <si>
    <t>Ganancia por unidad ($):</t>
  </si>
  <si>
    <t>SEMÁFORO DE PRECIO:</t>
  </si>
  <si>
    <t>🟢 OK</t>
  </si>
  <si>
    <t>🟡 AJUSTAR</t>
  </si>
  <si>
    <t>🔴 REVISAR</t>
  </si>
  <si>
    <t>¿Tu precio actual cubre los costos?</t>
  </si>
  <si>
    <t>🍳  RECETA 02</t>
  </si>
  <si>
    <t>Alfajor de maicena</t>
  </si>
  <si>
    <t>🍳  RECETA 03</t>
  </si>
  <si>
    <t>Cheesecake NY</t>
  </si>
  <si>
    <t>🍳  RECETA 04</t>
  </si>
  <si>
    <t>Medialuna de manteca</t>
  </si>
  <si>
    <t>🍳  RECETA 05</t>
  </si>
  <si>
    <t>Brownie de chocolate</t>
  </si>
  <si>
    <t>🍳  RECETA 06</t>
  </si>
  <si>
    <t>Muffin de vainilla con limón</t>
  </si>
  <si>
    <t>🍳  RECETA 07</t>
  </si>
  <si>
    <t>Porción de tarta de ricota</t>
  </si>
  <si>
    <t>🍳  RECETA 08</t>
  </si>
  <si>
    <t>Cookie de chocolate y nueces</t>
  </si>
  <si>
    <t>🍳  RECETA 09</t>
  </si>
  <si>
    <t>Pionono relleno de dulce de leche</t>
  </si>
  <si>
    <t>🍳  RECETA 10</t>
  </si>
  <si>
    <t>Budín de naranja (por porción)</t>
  </si>
  <si>
    <t>🍳  RECETA 11</t>
  </si>
  <si>
    <t>Torta helada de dulce de leche (por porción)</t>
  </si>
  <si>
    <t>🍳  RECETA 12</t>
  </si>
  <si>
    <t>Factura de dulce de leche</t>
  </si>
  <si>
    <t>🍳  RECETA 13</t>
  </si>
  <si>
    <t>Tostada francesa con canela</t>
  </si>
  <si>
    <t>🍳  RECETA 14</t>
  </si>
  <si>
    <t>Porción de bizcochuelo vainilla</t>
  </si>
  <si>
    <t>🍳  RECETA 15</t>
  </si>
  <si>
    <t>Merengue individual</t>
  </si>
  <si>
    <t>🍳  RECETA 16</t>
  </si>
  <si>
    <t>Palmerita de canela</t>
  </si>
  <si>
    <t>🍳  RECETA 17</t>
  </si>
  <si>
    <t>Prepizza individual</t>
  </si>
  <si>
    <t>🍳  RECETA 18</t>
  </si>
  <si>
    <t>Empanada frita de carne</t>
  </si>
  <si>
    <t>🍳  RECETA 19</t>
  </si>
  <si>
    <t>Porción de banana bread con nueces</t>
  </si>
  <si>
    <t>🍳  RECETA 20</t>
  </si>
  <si>
    <t>Flan casero con dulce de leche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</si>
</sst>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\$#,##0.00"/>
    <numFmt numFmtId="166" formatCode="dd/mm/yyyy"/>
    <numFmt numFmtId="167" formatCode="#,##0&quot; items&quot;"/>
    <numFmt numFmtId="168" formatCode="#,##0&quot; unid.&quot;"/>
    <numFmt numFmtId="169" formatCode="#,##0.000"/>
    <numFmt numFmtId="170" formatCode="\$#,##0.00000"/>
  </numFmts>
  <fonts count="30">
    <font>
      <sz val="11.0"/>
      <color theme="1"/>
      <name val="Calibri"/>
      <scheme val="minor"/>
    </font>
    <font>
      <b/>
      <sz val="16.0"/>
      <color rgb="FF1A1A1A"/>
      <name val="Arial"/>
    </font>
    <font>
      <sz val="11.0"/>
      <color theme="1"/>
      <name val="Calibri"/>
    </font>
    <font/>
    <font>
      <b/>
      <sz val="10.0"/>
      <color rgb="FF666666"/>
      <name val="Arial"/>
    </font>
    <font>
      <b/>
      <sz val="10.0"/>
      <color rgb="FFFFFFFF"/>
      <name val="Arial"/>
    </font>
    <font>
      <sz val="10.0"/>
      <color rgb="FF1A1A1A"/>
      <name val="Arial"/>
    </font>
    <font>
      <b/>
      <sz val="11.0"/>
      <color rgb="FF1A1A1A"/>
      <name val="Arial"/>
    </font>
    <font>
      <b/>
      <sz val="12.0"/>
      <color rgb="FF1A1A6B"/>
      <name val="Arial"/>
    </font>
    <font>
      <i/>
      <sz val="9.0"/>
      <color rgb="FF666666"/>
      <name val="Arial"/>
    </font>
    <font>
      <b/>
      <sz val="10.0"/>
      <color rgb="FF1A1A1A"/>
      <name val="Arial"/>
    </font>
    <font>
      <b/>
      <sz val="10.0"/>
      <color rgb="FF1A1A6B"/>
      <name val="Arial"/>
    </font>
    <font>
      <sz val="10.0"/>
      <color theme="1"/>
      <name val="Arial"/>
    </font>
    <font>
      <b/>
      <sz val="15.0"/>
      <color rgb="FF1A1A1A"/>
      <name val="Arial"/>
    </font>
    <font>
      <i/>
      <sz val="9.0"/>
      <color rgb="FFFFB03B"/>
      <name val="Arial"/>
    </font>
    <font>
      <b/>
      <sz val="9.0"/>
      <color rgb="FFFFFFFF"/>
      <name val="Arial"/>
    </font>
    <font>
      <sz val="10.0"/>
      <color rgb="FF1A1A6B"/>
      <name val="Arial"/>
    </font>
    <font>
      <b/>
      <sz val="14.0"/>
      <color rgb="FF1A1A1A"/>
      <name val="Arial"/>
    </font>
    <font>
      <b/>
      <sz val="12.0"/>
      <color rgb="FF1A1A1A"/>
      <name val="Arial"/>
    </font>
    <font>
      <b/>
      <sz val="13.0"/>
      <color rgb="FF1A1A1A"/>
      <name val="Arial"/>
    </font>
    <font>
      <sz val="10.0"/>
      <color rgb="FF666666"/>
      <name val="Arial"/>
    </font>
    <font>
      <sz val="8.0"/>
      <color rgb="FF1A1A6B"/>
      <name val="Arial"/>
    </font>
    <font>
      <b/>
      <sz val="12.0"/>
      <color rgb="FFFFFFFF"/>
      <name val="Inter"/>
    </font>
    <font>
      <b/>
      <sz val="10.0"/>
      <color rgb="FFFFFFFF"/>
      <name val="Inter"/>
    </font>
    <font>
      <b/>
      <sz val="12.0"/>
      <color rgb="FFFFFFFF"/>
      <name val="Arial"/>
    </font>
    <font>
      <b/>
      <sz val="11.0"/>
      <color rgb="FF1A1A6B"/>
      <name val="Arial"/>
    </font>
    <font>
      <b/>
      <sz val="8.0"/>
      <color rgb="FF1A1A6B"/>
      <name val="Arial"/>
    </font>
    <font>
      <b/>
      <sz val="10.0"/>
      <color rgb="FF000000"/>
      <name val="Arial"/>
    </font>
    <font>
      <b/>
      <sz val="9.0"/>
      <color rgb="FF1A1A1A"/>
      <name val="Arial"/>
    </font>
    <font>
      <sz val="9.0"/>
      <color rgb="FF1A1A1A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B03B"/>
        <bgColor rgb="FFFFB03B"/>
      </patternFill>
    </fill>
    <fill>
      <patternFill patternType="solid">
        <fgColor rgb="FFFFF0A5"/>
        <bgColor rgb="FFFFF0A5"/>
      </patternFill>
    </fill>
    <fill>
      <patternFill patternType="solid">
        <fgColor rgb="FF2D2D2D"/>
        <bgColor rgb="FF2D2D2D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5F5F5"/>
        <bgColor rgb="FFF5F5F5"/>
      </patternFill>
    </fill>
    <fill>
      <patternFill patternType="solid">
        <fgColor rgb="FFF2CB05"/>
        <bgColor rgb="FFF2CB05"/>
      </patternFill>
    </fill>
    <fill>
      <patternFill patternType="solid">
        <fgColor rgb="FFF2A20C"/>
        <bgColor rgb="FFF2A20C"/>
      </patternFill>
    </fill>
    <fill>
      <patternFill patternType="solid">
        <fgColor rgb="FF666666"/>
        <bgColor rgb="FF666666"/>
      </patternFill>
    </fill>
    <fill>
      <patternFill patternType="solid">
        <fgColor rgb="FFFFF9C4"/>
        <bgColor rgb="FFFFF9C4"/>
      </patternFill>
    </fill>
    <fill>
      <patternFill patternType="solid">
        <fgColor rgb="FFF8D7DA"/>
        <bgColor rgb="FFF8D7DA"/>
      </patternFill>
    </fill>
  </fills>
  <borders count="54">
    <border/>
    <border>
      <left/>
      <right/>
      <top/>
      <bottom/>
    </border>
    <border>
      <left/>
      <right/>
      <top/>
    </border>
    <border>
      <left/>
      <right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DDDDDD"/>
      </left>
      <right style="thin">
        <color rgb="FFDDDDDD"/>
      </right>
      <top/>
      <bottom style="thin">
        <color rgb="FFDDDDDD"/>
      </bottom>
    </border>
    <border>
      <left style="thin">
        <color rgb="FFDDDDDD"/>
      </left>
      <top/>
      <bottom style="thin">
        <color rgb="FFDDDDDD"/>
      </bottom>
    </border>
    <border>
      <top/>
      <bottom style="thin">
        <color rgb="FFDDDDDD"/>
      </bottom>
    </border>
    <border>
      <right style="thin">
        <color rgb="FFDDDDDD"/>
      </right>
      <top/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</border>
    <border>
      <left style="thin">
        <color rgb="FFDDDDDD"/>
      </left>
      <right style="thin">
        <color rgb="FFDDDDDD"/>
      </right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thin">
        <color rgb="FFDDDDDD"/>
      </left>
      <top style="thin">
        <color rgb="FFDDDDDD"/>
      </top>
      <bottom/>
    </border>
    <border>
      <right/>
      <top style="thin">
        <color rgb="FFDDDDDD"/>
      </top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DDDDD"/>
      </left>
      <right style="thin">
        <color rgb="FFDDDDDD"/>
      </right>
      <top style="thin">
        <color rgb="FFDDDDDD"/>
      </top>
      <bottom/>
    </border>
    <border>
      <left/>
      <top style="thin">
        <color rgb="FFDDDDDD"/>
      </top>
      <bottom style="thin">
        <color rgb="FFDDDDDD"/>
      </bottom>
    </border>
    <border>
      <left/>
      <top/>
      <bottom style="thin">
        <color rgb="FFDDDDDD"/>
      </bottom>
    </border>
    <border>
      <left style="thin">
        <color rgb="FFDDDDDD"/>
      </left>
      <right/>
      <top style="thin">
        <color rgb="FFDDDDDD"/>
      </top>
      <bottom style="thin">
        <color rgb="FFDDDDDD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/>
      <top style="thin">
        <color rgb="FFDDDDDD"/>
      </top>
      <bottom/>
    </border>
    <border>
      <right/>
      <top style="thin">
        <color rgb="FFDDDDDD"/>
      </top>
      <bottom style="thin">
        <color rgb="FFDDDDDD"/>
      </bottom>
    </border>
    <border>
      <left style="thin">
        <color rgb="FFDDDDDD"/>
      </left>
      <right/>
      <top style="thin">
        <color rgb="FFDDDDDD"/>
      </top>
      <bottom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DDDDDD"/>
      </left>
      <top style="thin">
        <color rgb="FFDDDDDD"/>
      </top>
    </border>
    <border>
      <right style="thin">
        <color rgb="FFDDDDDD"/>
      </right>
      <top style="thin">
        <color rgb="FFDDDDDD"/>
      </top>
    </border>
    <border>
      <left style="thin">
        <color rgb="FFDDDDDD"/>
      </left>
      <right/>
      <top style="thin">
        <color rgb="FFD9D9D9"/>
      </top>
      <bottom style="thin">
        <color rgb="FFDDDDDD"/>
      </bottom>
    </border>
    <border>
      <left/>
      <right/>
      <top style="thin">
        <color rgb="FFDDDDDD"/>
      </top>
      <bottom style="thin">
        <color rgb="FFDDDDDD"/>
      </bottom>
    </border>
    <border>
      <top style="thin">
        <color rgb="FFDDDDDD"/>
      </top>
      <bottom/>
    </border>
    <border>
      <right style="thin">
        <color rgb="FFDDDDDD"/>
      </right>
      <top style="thin">
        <color rgb="FFDDDDDD"/>
      </top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3" fillId="0" fontId="3" numFmtId="0" xfId="0" applyBorder="1" applyFont="1"/>
    <xf borderId="1" fillId="2" fontId="4" numFmtId="0" xfId="0" applyAlignment="1" applyBorder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4" fillId="5" fontId="5" numFmtId="0" xfId="0" applyAlignment="1" applyBorder="1" applyFill="1" applyFont="1">
      <alignment horizontal="left" shrinkToFit="0" vertical="center" wrapText="0"/>
    </xf>
    <xf borderId="4" fillId="6" fontId="6" numFmtId="0" xfId="0" applyAlignment="1" applyBorder="1" applyFill="1" applyFont="1">
      <alignment horizontal="left" shrinkToFit="0" vertical="center" wrapText="0"/>
    </xf>
    <xf borderId="4" fillId="4" fontId="6" numFmtId="0" xfId="0" applyAlignment="1" applyBorder="1" applyFont="1">
      <alignment horizontal="left" shrinkToFit="0" vertical="center" wrapText="0"/>
    </xf>
    <xf borderId="4" fillId="7" fontId="6" numFmtId="0" xfId="0" applyAlignment="1" applyBorder="1" applyFill="1" applyFont="1">
      <alignment horizontal="left" shrinkToFit="0" vertical="center" wrapText="0"/>
    </xf>
    <xf borderId="5" fillId="3" fontId="1" numFmtId="0" xfId="0" applyAlignment="1" applyBorder="1" applyFont="1">
      <alignment horizontal="center" shrinkToFit="0" vertical="center" wrapText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4" fontId="4" numFmtId="0" xfId="0" applyAlignment="1" applyBorder="1" applyFont="1">
      <alignment horizontal="center" shrinkToFit="0" vertical="center" wrapText="0"/>
    </xf>
    <xf borderId="12" fillId="0" fontId="3" numFmtId="0" xfId="0" applyBorder="1" applyFont="1"/>
    <xf borderId="13" fillId="0" fontId="3" numFmtId="0" xfId="0" applyBorder="1" applyFont="1"/>
    <xf borderId="14" fillId="5" fontId="5" numFmtId="0" xfId="0" applyAlignment="1" applyBorder="1" applyFont="1">
      <alignment horizontal="left" shrinkToFit="0" vertical="center" wrapText="0"/>
    </xf>
    <xf borderId="15" fillId="0" fontId="3" numFmtId="0" xfId="0" applyBorder="1" applyFont="1"/>
    <xf borderId="16" fillId="0" fontId="3" numFmtId="0" xfId="0" applyBorder="1" applyFont="1"/>
    <xf borderId="14" fillId="8" fontId="7" numFmtId="0" xfId="0" applyAlignment="1" applyBorder="1" applyFill="1" applyFont="1">
      <alignment horizontal="left" shrinkToFit="0" vertical="center" wrapText="0"/>
    </xf>
    <xf borderId="4" fillId="4" fontId="8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14" fillId="8" fontId="10" numFmtId="0" xfId="0" applyAlignment="1" applyBorder="1" applyFont="1">
      <alignment horizontal="left" shrinkToFit="0" vertical="center" wrapText="0"/>
    </xf>
    <xf borderId="1" fillId="4" fontId="11" numFmtId="0" xfId="0" applyAlignment="1" applyBorder="1" applyFont="1">
      <alignment horizontal="center" shrinkToFit="0" vertical="center" wrapText="0"/>
    </xf>
    <xf borderId="4" fillId="4" fontId="11" numFmtId="49" xfId="0" applyAlignment="1" applyBorder="1" applyFont="1" applyNumberFormat="1">
      <alignment horizontal="center" readingOrder="0" shrinkToFit="0" vertical="center" wrapText="0"/>
    </xf>
    <xf borderId="4" fillId="4" fontId="11" numFmtId="164" xfId="0" applyAlignment="1" applyBorder="1" applyFont="1" applyNumberFormat="1">
      <alignment horizontal="center" shrinkToFit="0" vertical="center" wrapText="0"/>
    </xf>
    <xf borderId="1" fillId="2" fontId="12" numFmtId="0" xfId="0" applyAlignment="1" applyBorder="1" applyFont="1">
      <alignment shrinkToFit="0" vertical="bottom" wrapText="0"/>
    </xf>
    <xf borderId="11" fillId="2" fontId="9" numFmtId="0" xfId="0" applyAlignment="1" applyBorder="1" applyFont="1">
      <alignment horizontal="left" shrinkToFit="0" vertical="center" wrapText="0"/>
    </xf>
    <xf borderId="14" fillId="6" fontId="6" numFmtId="0" xfId="0" applyAlignment="1" applyBorder="1" applyFont="1">
      <alignment horizontal="left" shrinkToFit="0" vertical="center" wrapText="0"/>
    </xf>
    <xf borderId="14" fillId="7" fontId="6" numFmtId="0" xfId="0" applyAlignment="1" applyBorder="1" applyFont="1">
      <alignment horizontal="left" shrinkToFit="0" vertical="center" wrapText="0"/>
    </xf>
    <xf borderId="5" fillId="3" fontId="13" numFmtId="0" xfId="0" applyAlignment="1" applyBorder="1" applyFont="1">
      <alignment horizontal="center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17" fillId="2" fontId="13" numFmtId="0" xfId="0" applyAlignment="1" applyBorder="1" applyFont="1">
      <alignment horizontal="center" shrinkToFit="0" vertical="center" wrapText="0"/>
    </xf>
    <xf borderId="17" fillId="2" fontId="4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left" shrinkToFit="0" vertical="center" wrapText="0"/>
    </xf>
    <xf borderId="17" fillId="0" fontId="14" numFmtId="0" xfId="0" applyAlignment="1" applyBorder="1" applyFont="1">
      <alignment horizontal="left" shrinkToFit="0" vertical="center" wrapText="0"/>
    </xf>
    <xf borderId="18" fillId="0" fontId="14" numFmtId="0" xfId="0" applyAlignment="1" applyBorder="1" applyFont="1">
      <alignment horizontal="left" shrinkToFit="0" vertical="center" wrapText="0"/>
    </xf>
    <xf borderId="19" fillId="0" fontId="3" numFmtId="0" xfId="0" applyBorder="1" applyFont="1"/>
    <xf borderId="20" fillId="0" fontId="3" numFmtId="0" xfId="0" applyBorder="1" applyFont="1"/>
    <xf borderId="21" fillId="0" fontId="14" numFmtId="0" xfId="0" applyAlignment="1" applyBorder="1" applyFont="1">
      <alignment horizontal="left" shrinkToFit="0" vertical="center" wrapText="0"/>
    </xf>
    <xf borderId="22" fillId="2" fontId="12" numFmtId="0" xfId="0" applyAlignment="1" applyBorder="1" applyFont="1">
      <alignment shrinkToFit="0" vertical="bottom" wrapText="0"/>
    </xf>
    <xf borderId="23" fillId="0" fontId="14" numFmtId="0" xfId="0" applyAlignment="1" applyBorder="1" applyFont="1">
      <alignment horizontal="left" shrinkToFit="0" vertical="center" wrapText="0"/>
    </xf>
    <xf borderId="17" fillId="2" fontId="12" numFmtId="0" xfId="0" applyAlignment="1" applyBorder="1" applyFont="1">
      <alignment shrinkToFit="0" vertical="bottom" wrapText="0"/>
    </xf>
    <xf borderId="24" fillId="5" fontId="15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4" fillId="2" fontId="16" numFmtId="0" xfId="0" applyAlignment="1" applyBorder="1" applyFont="1">
      <alignment horizontal="left" shrinkToFit="0" vertical="center" wrapText="0"/>
    </xf>
    <xf borderId="4" fillId="2" fontId="16" numFmtId="0" xfId="0" applyAlignment="1" applyBorder="1" applyFont="1">
      <alignment horizontal="center" shrinkToFit="0" vertical="center" wrapText="0"/>
    </xf>
    <xf borderId="4" fillId="2" fontId="16" numFmtId="4" xfId="0" applyAlignment="1" applyBorder="1" applyFont="1" applyNumberFormat="1">
      <alignment horizontal="center" shrinkToFit="0" vertical="center" wrapText="0"/>
    </xf>
    <xf borderId="4" fillId="2" fontId="16" numFmtId="165" xfId="0" applyAlignment="1" applyBorder="1" applyFont="1" applyNumberFormat="1">
      <alignment horizontal="center" shrinkToFit="0" vertical="center" wrapText="0"/>
    </xf>
    <xf borderId="1" fillId="2" fontId="12" numFmtId="3" xfId="0" applyAlignment="1" applyBorder="1" applyFont="1" applyNumberFormat="1">
      <alignment horizontal="center" shrinkToFit="0" vertical="center" wrapText="0"/>
    </xf>
    <xf borderId="11" fillId="3" fontId="17" numFmtId="0" xfId="0" applyAlignment="1" applyBorder="1" applyFont="1">
      <alignment horizontal="center" shrinkToFit="0" vertical="center" wrapText="0"/>
    </xf>
    <xf borderId="11" fillId="3" fontId="13" numFmtId="0" xfId="0" applyAlignment="1" applyBorder="1" applyFont="1">
      <alignment horizontal="center" shrinkToFit="0" vertical="center" wrapText="0"/>
    </xf>
    <xf borderId="18" fillId="0" fontId="14" numFmtId="0" xfId="0" applyAlignment="1" applyBorder="1" applyFont="1">
      <alignment shrinkToFit="0" vertical="center" wrapText="0"/>
    </xf>
    <xf borderId="25" fillId="8" fontId="10" numFmtId="0" xfId="0" applyAlignment="1" applyBorder="1" applyFont="1">
      <alignment horizontal="left" shrinkToFit="0" vertical="center" wrapText="0"/>
    </xf>
    <xf borderId="26" fillId="0" fontId="3" numFmtId="0" xfId="0" applyBorder="1" applyFont="1"/>
    <xf borderId="27" fillId="0" fontId="3" numFmtId="0" xfId="0" applyBorder="1" applyFont="1"/>
    <xf borderId="25" fillId="4" fontId="16" numFmtId="166" xfId="0" applyAlignment="1" applyBorder="1" applyFont="1" applyNumberFormat="1">
      <alignment horizontal="center" shrinkToFit="0" vertical="center" wrapText="0"/>
    </xf>
    <xf borderId="4" fillId="5" fontId="15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left" shrinkToFit="0" vertical="center" wrapText="0"/>
    </xf>
    <xf borderId="4" fillId="2" fontId="6" numFmtId="0" xfId="0" applyAlignment="1" applyBorder="1" applyFont="1">
      <alignment horizontal="center" shrinkToFit="0" vertical="center" wrapText="0"/>
    </xf>
    <xf borderId="4" fillId="4" fontId="6" numFmtId="4" xfId="0" applyAlignment="1" applyBorder="1" applyFont="1" applyNumberFormat="1">
      <alignment horizontal="center" shrinkToFit="0" vertical="center" wrapText="0"/>
    </xf>
    <xf borderId="14" fillId="3" fontId="10" numFmtId="0" xfId="0" applyAlignment="1" applyBorder="1" applyFont="1">
      <alignment horizontal="center" shrinkToFit="0" vertical="center" wrapText="0"/>
    </xf>
    <xf borderId="14" fillId="9" fontId="10" numFmtId="0" xfId="0" applyAlignment="1" applyBorder="1" applyFill="1" applyFont="1">
      <alignment horizontal="center" shrinkToFit="0" vertical="center" wrapText="0"/>
    </xf>
    <xf borderId="14" fillId="3" fontId="1" numFmtId="167" xfId="0" applyAlignment="1" applyBorder="1" applyFont="1" applyNumberFormat="1">
      <alignment horizontal="center" shrinkToFit="0" vertical="center" wrapText="0"/>
    </xf>
    <xf borderId="14" fillId="9" fontId="1" numFmtId="165" xfId="0" applyAlignment="1" applyBorder="1" applyFont="1" applyNumberFormat="1">
      <alignment horizontal="center" shrinkToFit="0" vertical="center" wrapText="0"/>
    </xf>
    <xf borderId="4" fillId="2" fontId="6" numFmtId="4" xfId="0" applyAlignment="1" applyBorder="1" applyFont="1" applyNumberFormat="1">
      <alignment horizontal="center" shrinkToFit="0" vertical="center" wrapText="0"/>
    </xf>
    <xf borderId="4" fillId="4" fontId="6" numFmtId="168" xfId="0" applyAlignment="1" applyBorder="1" applyFont="1" applyNumberFormat="1">
      <alignment horizontal="center" shrinkToFit="0" vertical="center" wrapText="0"/>
    </xf>
    <xf borderId="4" fillId="2" fontId="6" numFmtId="49" xfId="0" applyAlignment="1" applyBorder="1" applyFont="1" applyNumberFormat="1">
      <alignment horizontal="center" shrinkToFit="0" vertical="center" wrapText="0"/>
    </xf>
    <xf borderId="4" fillId="2" fontId="6" numFmtId="165" xfId="0" applyAlignment="1" applyBorder="1" applyFont="1" applyNumberFormat="1">
      <alignment horizontal="center" shrinkToFit="0" vertical="center" wrapText="0"/>
    </xf>
    <xf borderId="4" fillId="6" fontId="6" numFmtId="165" xfId="0" applyAlignment="1" applyBorder="1" applyFont="1" applyNumberFormat="1">
      <alignment horizontal="center" shrinkToFit="0" vertical="center" wrapText="0"/>
    </xf>
    <xf borderId="14" fillId="3" fontId="18" numFmtId="0" xfId="0" applyAlignment="1" applyBorder="1" applyFont="1">
      <alignment horizontal="right" shrinkToFit="0" vertical="center" wrapText="0"/>
    </xf>
    <xf borderId="4" fillId="3" fontId="19" numFmtId="165" xfId="0" applyAlignment="1" applyBorder="1" applyFont="1" applyNumberFormat="1">
      <alignment horizontal="center" shrinkToFit="0" vertical="center" wrapText="0"/>
    </xf>
    <xf borderId="4" fillId="2" fontId="16" numFmtId="3" xfId="0" applyAlignment="1" applyBorder="1" applyFont="1" applyNumberFormat="1">
      <alignment horizontal="center" shrinkToFit="0" vertical="center" wrapText="0"/>
    </xf>
    <xf borderId="28" fillId="5" fontId="5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14" fillId="4" fontId="10" numFmtId="0" xfId="0" applyAlignment="1" applyBorder="1" applyFont="1">
      <alignment horizontal="left" shrinkToFit="0" vertical="center" wrapText="0"/>
    </xf>
    <xf borderId="4" fillId="4" fontId="10" numFmtId="165" xfId="0" applyAlignment="1" applyBorder="1" applyFont="1" applyNumberFormat="1">
      <alignment horizontal="center" shrinkToFit="0" vertical="center" wrapText="0"/>
    </xf>
    <xf borderId="4" fillId="3" fontId="10" numFmtId="165" xfId="0" applyAlignment="1" applyBorder="1" applyFont="1" applyNumberFormat="1">
      <alignment horizontal="center" shrinkToFit="0" vertical="center" wrapText="0"/>
    </xf>
    <xf borderId="14" fillId="3" fontId="18" numFmtId="0" xfId="0" applyAlignment="1" applyBorder="1" applyFont="1">
      <alignment horizontal="left" shrinkToFit="0" vertical="center" wrapText="0"/>
    </xf>
    <xf borderId="4" fillId="3" fontId="18" numFmtId="165" xfId="0" applyAlignment="1" applyBorder="1" applyFont="1" applyNumberFormat="1">
      <alignment horizontal="center" shrinkToFit="0" vertical="center" wrapText="0"/>
    </xf>
    <xf borderId="14" fillId="9" fontId="18" numFmtId="0" xfId="0" applyAlignment="1" applyBorder="1" applyFont="1">
      <alignment horizontal="left" shrinkToFit="0" vertical="center" wrapText="0"/>
    </xf>
    <xf borderId="4" fillId="9" fontId="10" numFmtId="165" xfId="0" applyAlignment="1" applyBorder="1" applyFont="1" applyNumberFormat="1">
      <alignment horizontal="center" shrinkToFit="0" vertical="center" wrapText="0"/>
    </xf>
    <xf borderId="4" fillId="9" fontId="18" numFmtId="165" xfId="0" applyAlignment="1" applyBorder="1" applyFont="1" applyNumberFormat="1">
      <alignment horizontal="center" shrinkToFit="0" vertical="center" wrapText="0"/>
    </xf>
    <xf borderId="14" fillId="3" fontId="19" numFmtId="0" xfId="0" applyAlignment="1" applyBorder="1" applyFont="1">
      <alignment horizontal="left" shrinkToFit="0" vertical="center" wrapText="0"/>
    </xf>
    <xf borderId="14" fillId="4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0"/>
    </xf>
    <xf borderId="13" fillId="2" fontId="12" numFmtId="0" xfId="0" applyAlignment="1" applyBorder="1" applyFont="1">
      <alignment shrinkToFit="0" vertical="bottom" wrapText="0"/>
    </xf>
    <xf borderId="31" fillId="5" fontId="15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14" fillId="8" fontId="6" numFmtId="0" xfId="0" applyAlignment="1" applyBorder="1" applyFont="1">
      <alignment horizontal="left" shrinkToFit="0" vertical="center" wrapText="0"/>
    </xf>
    <xf borderId="33" fillId="2" fontId="16" numFmtId="164" xfId="0" applyAlignment="1" applyBorder="1" applyFont="1" applyNumberFormat="1">
      <alignment horizontal="center" shrinkToFit="0" vertical="center" wrapText="0"/>
    </xf>
    <xf borderId="0" fillId="0" fontId="20" numFmtId="0" xfId="0" applyAlignment="1" applyFont="1">
      <alignment horizontal="left" shrinkToFit="0" vertical="center" wrapText="0"/>
    </xf>
    <xf borderId="14" fillId="2" fontId="16" numFmtId="0" xfId="0" applyAlignment="1" applyBorder="1" applyFont="1">
      <alignment horizontal="left" shrinkToFit="0" vertical="center" wrapText="0"/>
    </xf>
    <xf borderId="30" fillId="2" fontId="16" numFmtId="164" xfId="0" applyAlignment="1" applyBorder="1" applyFont="1" applyNumberFormat="1">
      <alignment horizontal="center" shrinkToFit="0" vertical="center" wrapText="0"/>
    </xf>
    <xf borderId="3" fillId="2" fontId="12" numFmtId="0" xfId="0" applyAlignment="1" applyBorder="1" applyFont="1">
      <alignment shrinkToFit="0" vertical="bottom" wrapText="0"/>
    </xf>
    <xf borderId="4" fillId="4" fontId="10" numFmtId="164" xfId="0" applyAlignment="1" applyBorder="1" applyFont="1" applyNumberFormat="1">
      <alignment horizontal="center" shrinkToFit="0" vertical="center" wrapText="0"/>
    </xf>
    <xf borderId="2" fillId="2" fontId="12" numFmtId="0" xfId="0" applyAlignment="1" applyBorder="1" applyFont="1">
      <alignment shrinkToFit="0" vertical="bottom" wrapText="0"/>
    </xf>
    <xf borderId="14" fillId="6" fontId="6" numFmtId="165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shrinkToFit="0" vertical="bottom" wrapText="0"/>
    </xf>
    <xf borderId="14" fillId="6" fontId="6" numFmtId="164" xfId="0" applyAlignment="1" applyBorder="1" applyFont="1" applyNumberFormat="1">
      <alignment horizontal="center" shrinkToFit="0" vertical="center" wrapText="0"/>
    </xf>
    <xf borderId="14" fillId="6" fontId="6" numFmtId="3" xfId="0" applyAlignment="1" applyBorder="1" applyFont="1" applyNumberFormat="1">
      <alignment horizontal="center" shrinkToFit="0" vertical="center" wrapText="0"/>
    </xf>
    <xf borderId="14" fillId="3" fontId="10" numFmtId="0" xfId="0" applyAlignment="1" applyBorder="1" applyFont="1">
      <alignment horizontal="left" shrinkToFit="0" vertical="center" wrapText="0"/>
    </xf>
    <xf borderId="14" fillId="3" fontId="19" numFmtId="3" xfId="0" applyAlignment="1" applyBorder="1" applyFont="1" applyNumberFormat="1">
      <alignment horizontal="center" shrinkToFit="0" vertical="center" wrapText="0"/>
    </xf>
    <xf borderId="34" fillId="9" fontId="10" numFmtId="0" xfId="0" applyAlignment="1" applyBorder="1" applyFont="1">
      <alignment horizontal="left" shrinkToFit="0" vertical="center" wrapText="0"/>
    </xf>
    <xf borderId="34" fillId="9" fontId="10" numFmtId="165" xfId="0" applyAlignment="1" applyBorder="1" applyFont="1" applyNumberFormat="1">
      <alignment horizontal="center" shrinkToFit="0" vertical="center" wrapText="0"/>
    </xf>
    <xf borderId="14" fillId="3" fontId="19" numFmtId="165" xfId="0" applyAlignment="1" applyBorder="1" applyFont="1" applyNumberFormat="1">
      <alignment horizontal="center" shrinkToFit="0" vertical="center" wrapText="0"/>
    </xf>
    <xf borderId="35" fillId="4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1" fillId="2" fontId="12" numFmtId="0" xfId="0" applyAlignment="1" applyBorder="1" applyFont="1">
      <alignment horizontal="left" shrinkToFit="0" vertical="center" wrapText="0"/>
    </xf>
    <xf borderId="1" fillId="2" fontId="12" numFmtId="0" xfId="0" applyAlignment="1" applyBorder="1" applyFont="1">
      <alignment horizontal="left" shrinkToFit="0" vertical="center" wrapText="0"/>
    </xf>
    <xf borderId="1" fillId="2" fontId="12" numFmtId="165" xfId="0" applyAlignment="1" applyBorder="1" applyFont="1" applyNumberFormat="1">
      <alignment horizontal="center" shrinkToFit="0" vertical="center" wrapText="0"/>
    </xf>
    <xf borderId="11" fillId="2" fontId="12" numFmtId="0" xfId="0" applyAlignment="1" applyBorder="1" applyFont="1">
      <alignment shrinkToFit="0" vertical="bottom" wrapText="0"/>
    </xf>
    <xf borderId="1" fillId="2" fontId="12" numFmtId="164" xfId="0" applyAlignment="1" applyBorder="1" applyFont="1" applyNumberFormat="1">
      <alignment horizontal="center" shrinkToFit="0" vertical="center" wrapText="0"/>
    </xf>
    <xf borderId="36" fillId="2" fontId="12" numFmtId="0" xfId="0" applyAlignment="1" applyBorder="1" applyFont="1">
      <alignment horizontal="left" shrinkToFit="0" vertical="center" wrapText="0"/>
    </xf>
    <xf borderId="4" fillId="4" fontId="6" numFmtId="164" xfId="0" applyAlignment="1" applyBorder="1" applyFont="1" applyNumberFormat="1">
      <alignment horizontal="center" shrinkToFit="0" vertical="center" wrapText="0"/>
    </xf>
    <xf borderId="37" fillId="5" fontId="15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4" fillId="8" fontId="6" numFmtId="165" xfId="0" applyAlignment="1" applyBorder="1" applyFont="1" applyNumberFormat="1">
      <alignment horizontal="center" shrinkToFit="0" vertical="center" wrapText="0"/>
    </xf>
    <xf borderId="4" fillId="8" fontId="6" numFmtId="164" xfId="0" applyAlignment="1" applyBorder="1" applyFont="1" applyNumberFormat="1">
      <alignment horizontal="center" shrinkToFit="0" vertical="center" wrapText="0"/>
    </xf>
    <xf borderId="4" fillId="2" fontId="6" numFmtId="164" xfId="0" applyAlignment="1" applyBorder="1" applyFont="1" applyNumberFormat="1">
      <alignment horizontal="center" shrinkToFit="0" vertical="center" wrapText="0"/>
    </xf>
    <xf borderId="1" fillId="2" fontId="12" numFmtId="0" xfId="0" applyAlignment="1" applyBorder="1" applyFont="1">
      <alignment horizontal="center" shrinkToFit="0" vertical="center" wrapText="0"/>
    </xf>
    <xf borderId="25" fillId="3" fontId="10" numFmtId="0" xfId="0" applyAlignment="1" applyBorder="1" applyFont="1">
      <alignment horizontal="center" shrinkToFit="0" vertical="center" wrapText="0"/>
    </xf>
    <xf borderId="25" fillId="9" fontId="10" numFmtId="0" xfId="0" applyAlignment="1" applyBorder="1" applyFont="1">
      <alignment horizontal="center" shrinkToFit="0" vertical="center" wrapText="0"/>
    </xf>
    <xf borderId="25" fillId="6" fontId="10" numFmtId="0" xfId="0" applyAlignment="1" applyBorder="1" applyFont="1">
      <alignment horizontal="center" shrinkToFit="0" vertical="center" wrapText="0"/>
    </xf>
    <xf borderId="14" fillId="3" fontId="1" numFmtId="3" xfId="0" applyAlignment="1" applyBorder="1" applyFont="1" applyNumberFormat="1">
      <alignment horizontal="center" shrinkToFit="0" vertical="center" wrapText="0"/>
    </xf>
    <xf borderId="14" fillId="9" fontId="1" numFmtId="164" xfId="0" applyAlignment="1" applyBorder="1" applyFont="1" applyNumberFormat="1">
      <alignment horizontal="center" shrinkToFit="0" vertical="center" wrapText="0"/>
    </xf>
    <xf borderId="14" fillId="6" fontId="1" numFmtId="3" xfId="0" applyAlignment="1" applyBorder="1" applyFont="1" applyNumberFormat="1">
      <alignment horizontal="center" shrinkToFit="0" vertical="center" wrapText="0"/>
    </xf>
    <xf borderId="4" fillId="2" fontId="6" numFmtId="3" xfId="0" applyAlignment="1" applyBorder="1" applyFont="1" applyNumberFormat="1">
      <alignment horizontal="center" shrinkToFit="0" vertical="center" wrapText="0"/>
    </xf>
    <xf borderId="4" fillId="2" fontId="6" numFmtId="166" xfId="0" applyAlignment="1" applyBorder="1" applyFont="1" applyNumberFormat="1">
      <alignment horizontal="center" shrinkToFit="0" vertical="center" wrapText="0"/>
    </xf>
    <xf borderId="38" fillId="2" fontId="21" numFmtId="0" xfId="0" applyAlignment="1" applyBorder="1" applyFont="1">
      <alignment horizontal="center" shrinkToFit="0" vertical="center" wrapText="0"/>
    </xf>
    <xf borderId="39" fillId="2" fontId="22" numFmtId="0" xfId="0" applyAlignment="1" applyBorder="1" applyFont="1">
      <alignment horizontal="center" shrinkToFit="0" vertical="center" wrapText="0"/>
    </xf>
    <xf borderId="35" fillId="10" fontId="22" numFmtId="0" xfId="0" applyAlignment="1" applyBorder="1" applyFill="1" applyFont="1">
      <alignment horizontal="center" shrinkToFit="0" vertical="center" wrapText="0"/>
    </xf>
    <xf borderId="40" fillId="0" fontId="3" numFmtId="0" xfId="0" applyBorder="1" applyFont="1"/>
    <xf borderId="17" fillId="2" fontId="22" numFmtId="0" xfId="0" applyAlignment="1" applyBorder="1" applyFont="1">
      <alignment horizontal="center" shrinkToFit="0" vertical="center" wrapText="0"/>
    </xf>
    <xf borderId="22" fillId="2" fontId="21" numFmtId="0" xfId="0" applyAlignment="1" applyBorder="1" applyFont="1">
      <alignment horizontal="center" shrinkToFit="0" vertical="center" wrapText="0"/>
    </xf>
    <xf borderId="17" fillId="2" fontId="21" numFmtId="0" xfId="0" applyAlignment="1" applyBorder="1" applyFont="1">
      <alignment horizontal="center" shrinkToFit="0" vertical="center" wrapText="0"/>
    </xf>
    <xf borderId="41" fillId="5" fontId="23" numFmtId="0" xfId="0" applyAlignment="1" applyBorder="1" applyFont="1">
      <alignment horizontal="center" shrinkToFit="0" vertical="center" wrapText="0"/>
    </xf>
    <xf borderId="14" fillId="10" fontId="24" numFmtId="0" xfId="0" applyAlignment="1" applyBorder="1" applyFont="1">
      <alignment horizontal="left" shrinkToFit="0" vertical="center" wrapText="0"/>
    </xf>
    <xf borderId="42" fillId="2" fontId="21" numFmtId="0" xfId="0" applyAlignment="1" applyBorder="1" applyFont="1">
      <alignment horizontal="center" shrinkToFit="0" vertical="center" wrapText="0"/>
    </xf>
    <xf borderId="4" fillId="8" fontId="10" numFmtId="0" xfId="0" applyAlignment="1" applyBorder="1" applyFont="1">
      <alignment horizontal="left" shrinkToFit="0" vertical="center" wrapText="0"/>
    </xf>
    <xf borderId="14" fillId="4" fontId="25" numFmtId="0" xfId="0" applyAlignment="1" applyBorder="1" applyFont="1">
      <alignment horizontal="left" shrinkToFit="0" vertical="center" wrapText="0"/>
    </xf>
    <xf borderId="4" fillId="8" fontId="6" numFmtId="0" xfId="0" applyAlignment="1" applyBorder="1" applyFont="1">
      <alignment horizontal="left" shrinkToFit="0" vertical="center" wrapText="0"/>
    </xf>
    <xf borderId="28" fillId="8" fontId="6" numFmtId="0" xfId="0" applyAlignment="1" applyBorder="1" applyFont="1">
      <alignment horizontal="left" shrinkToFit="0" vertical="center" wrapText="0"/>
    </xf>
    <xf borderId="28" fillId="8" fontId="6" numFmtId="0" xfId="0" applyAlignment="1" applyBorder="1" applyFont="1">
      <alignment horizontal="center" shrinkToFit="0" vertical="center" wrapText="0"/>
    </xf>
    <xf borderId="4" fillId="6" fontId="10" numFmtId="0" xfId="0" applyAlignment="1" applyBorder="1" applyFont="1">
      <alignment horizontal="left" shrinkToFit="0" vertical="center" wrapText="0"/>
    </xf>
    <xf borderId="14" fillId="6" fontId="10" numFmtId="164" xfId="0" applyAlignment="1" applyBorder="1" applyFont="1" applyNumberFormat="1">
      <alignment horizontal="center" shrinkToFit="0" vertical="center" wrapText="0"/>
    </xf>
    <xf borderId="0" fillId="2" fontId="9" numFmtId="0" xfId="0" applyAlignment="1" applyFont="1">
      <alignment horizontal="left" shrinkToFit="0" vertical="center" wrapText="0"/>
    </xf>
    <xf borderId="4" fillId="2" fontId="16" numFmtId="169" xfId="0" applyAlignment="1" applyBorder="1" applyFont="1" applyNumberFormat="1">
      <alignment horizontal="center" shrinkToFit="0" vertical="center" wrapText="0"/>
    </xf>
    <xf borderId="4" fillId="4" fontId="6" numFmtId="165" xfId="0" applyAlignment="1" applyBorder="1" applyFont="1" applyNumberFormat="1">
      <alignment horizontal="center" shrinkToFit="0" vertical="center" wrapText="0"/>
    </xf>
    <xf borderId="4" fillId="11" fontId="5" numFmtId="0" xfId="0" applyAlignment="1" applyBorder="1" applyFill="1" applyFont="1">
      <alignment horizontal="left" shrinkToFit="0" vertical="center" wrapText="0"/>
    </xf>
    <xf borderId="43" fillId="0" fontId="2" numFmtId="0" xfId="0" applyAlignment="1" applyBorder="1" applyFont="1">
      <alignment shrinkToFit="0" vertical="bottom" wrapText="0"/>
    </xf>
    <xf borderId="44" fillId="0" fontId="3" numFmtId="0" xfId="0" applyBorder="1" applyFont="1"/>
    <xf borderId="21" fillId="0" fontId="3" numFmtId="0" xfId="0" applyBorder="1" applyFont="1"/>
    <xf borderId="14" fillId="8" fontId="6" numFmtId="165" xfId="0" applyAlignment="1" applyBorder="1" applyFont="1" applyNumberFormat="1">
      <alignment horizontal="right" shrinkToFit="0" vertical="center" wrapText="0"/>
    </xf>
    <xf borderId="4" fillId="4" fontId="10" numFmtId="0" xfId="0" applyAlignment="1" applyBorder="1" applyFont="1">
      <alignment horizontal="left" shrinkToFit="0" vertical="center" wrapText="0"/>
    </xf>
    <xf borderId="14" fillId="4" fontId="10" numFmtId="165" xfId="0" applyAlignment="1" applyBorder="1" applyFont="1" applyNumberFormat="1">
      <alignment horizontal="right" shrinkToFit="0" vertical="center" wrapText="0"/>
    </xf>
    <xf borderId="14" fillId="8" fontId="6" numFmtId="164" xfId="0" applyAlignment="1" applyBorder="1" applyFont="1" applyNumberFormat="1">
      <alignment horizontal="right" shrinkToFit="0" vertical="center" wrapText="0"/>
    </xf>
    <xf borderId="14" fillId="8" fontId="6" numFmtId="4" xfId="0" applyAlignment="1" applyBorder="1" applyFont="1" applyNumberFormat="1">
      <alignment horizontal="right" shrinkToFit="0" vertical="center" wrapText="0"/>
    </xf>
    <xf borderId="4" fillId="3" fontId="17" numFmtId="170" xfId="0" applyAlignment="1" applyBorder="1" applyFont="1" applyNumberFormat="1">
      <alignment horizontal="center" shrinkToFit="0" vertical="center" wrapText="0"/>
    </xf>
    <xf borderId="11" fillId="2" fontId="2" numFmtId="0" xfId="0" applyAlignment="1" applyBorder="1" applyFont="1">
      <alignment shrinkToFit="0" vertical="bottom" wrapText="0"/>
    </xf>
    <xf borderId="0" fillId="0" fontId="26" numFmtId="0" xfId="0" applyAlignment="1" applyFont="1">
      <alignment horizontal="center" shrinkToFit="0" vertical="center" wrapText="0"/>
    </xf>
    <xf borderId="43" fillId="2" fontId="2" numFmtId="0" xfId="0" applyAlignment="1" applyBorder="1" applyFont="1">
      <alignment shrinkToFit="0" vertical="bottom" wrapText="0"/>
    </xf>
    <xf borderId="14" fillId="11" fontId="5" numFmtId="0" xfId="0" applyAlignment="1" applyBorder="1" applyFont="1">
      <alignment horizontal="left" shrinkToFit="0" vertical="center" wrapText="0"/>
    </xf>
    <xf borderId="45" fillId="8" fontId="6" numFmtId="0" xfId="0" applyAlignment="1" applyBorder="1" applyFont="1">
      <alignment horizontal="left" shrinkToFit="0" vertical="center" wrapText="0"/>
    </xf>
    <xf borderId="46" fillId="8" fontId="6" numFmtId="0" xfId="0" applyAlignment="1" applyBorder="1" applyFont="1">
      <alignment horizontal="left" shrinkToFit="0" vertical="center" wrapText="0"/>
    </xf>
    <xf borderId="7" fillId="2" fontId="12" numFmtId="0" xfId="0" applyAlignment="1" applyBorder="1" applyFont="1">
      <alignment shrinkToFit="0" vertical="bottom" wrapText="0"/>
    </xf>
    <xf borderId="4" fillId="4" fontId="6" numFmtId="170" xfId="0" applyAlignment="1" applyBorder="1" applyFont="1" applyNumberFormat="1">
      <alignment horizontal="center" shrinkToFit="0" vertical="center" wrapText="0"/>
    </xf>
    <xf borderId="5" fillId="2" fontId="13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left" shrinkToFit="0" vertical="center" wrapText="0"/>
    </xf>
    <xf borderId="1" fillId="2" fontId="2" numFmtId="0" xfId="0" applyAlignment="1" applyBorder="1" applyFont="1">
      <alignment shrinkToFit="0" vertical="bottom" wrapText="0"/>
    </xf>
    <xf borderId="1" fillId="4" fontId="11" numFmtId="0" xfId="0" applyAlignment="1" applyBorder="1" applyFont="1">
      <alignment horizontal="right" readingOrder="0" shrinkToFit="0" vertical="center" wrapText="0"/>
    </xf>
    <xf borderId="1" fillId="2" fontId="11" numFmtId="0" xfId="0" applyAlignment="1" applyBorder="1" applyFont="1">
      <alignment horizontal="right" shrinkToFit="0" vertical="center" wrapText="0"/>
    </xf>
    <xf borderId="47" fillId="4" fontId="11" numFmtId="3" xfId="0" applyAlignment="1" applyBorder="1" applyFont="1" applyNumberFormat="1">
      <alignment horizontal="right" shrinkToFit="0" vertical="center" wrapText="0"/>
    </xf>
    <xf borderId="1" fillId="2" fontId="11" numFmtId="3" xfId="0" applyAlignment="1" applyBorder="1" applyFont="1" applyNumberFormat="1">
      <alignment horizontal="right" shrinkToFit="0" vertical="center" wrapText="0"/>
    </xf>
    <xf borderId="37" fillId="4" fontId="11" numFmtId="164" xfId="0" applyAlignment="1" applyBorder="1" applyFont="1" applyNumberFormat="1">
      <alignment horizontal="right" shrinkToFit="0" vertical="center" wrapText="0"/>
    </xf>
    <xf borderId="1" fillId="2" fontId="11" numFmtId="164" xfId="0" applyAlignment="1" applyBorder="1" applyFont="1" applyNumberFormat="1">
      <alignment horizontal="right" shrinkToFit="0" vertical="center" wrapText="0"/>
    </xf>
    <xf borderId="37" fillId="4" fontId="11" numFmtId="165" xfId="0" applyAlignment="1" applyBorder="1" applyFont="1" applyNumberFormat="1">
      <alignment horizontal="right" shrinkToFit="0" vertical="center" wrapText="0"/>
    </xf>
    <xf borderId="1" fillId="2" fontId="11" numFmtId="165" xfId="0" applyAlignment="1" applyBorder="1" applyFont="1" applyNumberFormat="1">
      <alignment horizontal="right" shrinkToFit="0" vertical="center" wrapText="0"/>
    </xf>
    <xf borderId="37" fillId="4" fontId="11" numFmtId="166" xfId="0" applyAlignment="1" applyBorder="1" applyFont="1" applyNumberFormat="1">
      <alignment horizontal="right" shrinkToFit="0" vertical="center" wrapText="0"/>
    </xf>
    <xf borderId="1" fillId="2" fontId="11" numFmtId="166" xfId="0" applyAlignment="1" applyBorder="1" applyFont="1" applyNumberFormat="1">
      <alignment horizontal="right" shrinkToFit="0" vertical="center" wrapText="0"/>
    </xf>
    <xf borderId="14" fillId="4" fontId="6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48" fillId="3" fontId="27" numFmtId="165" xfId="0" applyAlignment="1" applyBorder="1" applyFont="1" applyNumberFormat="1">
      <alignment horizontal="center" shrinkToFit="0" vertical="center" wrapText="0"/>
    </xf>
    <xf borderId="1" fillId="2" fontId="10" numFmtId="165" xfId="0" applyAlignment="1" applyBorder="1" applyFont="1" applyNumberFormat="1">
      <alignment horizontal="center" shrinkToFit="0" vertical="center" wrapText="0"/>
    </xf>
    <xf borderId="14" fillId="8" fontId="6" numFmtId="165" xfId="0" applyAlignment="1" applyBorder="1" applyFont="1" applyNumberFormat="1">
      <alignment horizontal="center" shrinkToFit="0" vertical="center" wrapText="0"/>
    </xf>
    <xf borderId="14" fillId="2" fontId="6" numFmtId="0" xfId="0" applyAlignment="1" applyBorder="1" applyFont="1">
      <alignment horizontal="left" shrinkToFit="0" vertical="center" wrapText="0"/>
    </xf>
    <xf borderId="14" fillId="4" fontId="11" numFmtId="164" xfId="0" applyAlignment="1" applyBorder="1" applyFont="1" applyNumberFormat="1">
      <alignment horizontal="center" shrinkToFit="0" vertical="center" wrapText="0"/>
    </xf>
    <xf borderId="14" fillId="9" fontId="10" numFmtId="0" xfId="0" applyAlignment="1" applyBorder="1" applyFont="1">
      <alignment horizontal="left" shrinkToFit="0" vertical="center" wrapText="0"/>
    </xf>
    <xf borderId="14" fillId="9" fontId="10" numFmtId="165" xfId="0" applyAlignment="1" applyBorder="1" applyFont="1" applyNumberFormat="1">
      <alignment horizontal="center" shrinkToFit="0" vertical="center" wrapText="0"/>
    </xf>
    <xf borderId="14" fillId="8" fontId="6" numFmtId="164" xfId="0" applyAlignment="1" applyBorder="1" applyFont="1" applyNumberFormat="1">
      <alignment horizontal="center" shrinkToFit="0" vertical="center" wrapText="0"/>
    </xf>
    <xf borderId="14" fillId="3" fontId="7" numFmtId="0" xfId="0" applyAlignment="1" applyBorder="1" applyFont="1">
      <alignment horizontal="left" shrinkToFit="0" vertical="center" wrapText="0"/>
    </xf>
    <xf borderId="31" fillId="8" fontId="6" numFmtId="0" xfId="0" applyAlignment="1" applyBorder="1" applyFont="1">
      <alignment horizontal="left" shrinkToFit="0" vertical="center" wrapText="0"/>
    </xf>
    <xf borderId="49" fillId="0" fontId="3" numFmtId="0" xfId="0" applyBorder="1" applyFont="1"/>
    <xf borderId="50" fillId="0" fontId="3" numFmtId="0" xfId="0" applyBorder="1" applyFont="1"/>
    <xf borderId="31" fillId="8" fontId="6" numFmtId="164" xfId="0" applyAlignment="1" applyBorder="1" applyFont="1" applyNumberFormat="1">
      <alignment horizontal="center" shrinkToFit="0" vertical="center" wrapText="0"/>
    </xf>
    <xf borderId="51" fillId="8" fontId="6" numFmtId="0" xfId="0" applyAlignment="1" applyBorder="1" applyFont="1">
      <alignment horizontal="left" shrinkToFit="0" vertical="center" wrapText="0"/>
    </xf>
    <xf borderId="52" fillId="0" fontId="3" numFmtId="0" xfId="0" applyBorder="1" applyFont="1"/>
    <xf borderId="53" fillId="0" fontId="3" numFmtId="0" xfId="0" applyBorder="1" applyFont="1"/>
    <xf borderId="51" fillId="8" fontId="6" numFmtId="165" xfId="0" applyAlignment="1" applyBorder="1" applyFont="1" applyNumberFormat="1">
      <alignment horizontal="center" shrinkToFit="0" vertical="center" wrapText="0"/>
    </xf>
    <xf borderId="1" fillId="2" fontId="6" numFmtId="0" xfId="0" applyAlignment="1" applyBorder="1" applyFont="1">
      <alignment horizontal="left" shrinkToFit="0" vertical="center" wrapText="0"/>
    </xf>
    <xf borderId="1" fillId="2" fontId="6" numFmtId="165" xfId="0" applyAlignment="1" applyBorder="1" applyFont="1" applyNumberFormat="1">
      <alignment horizontal="center" shrinkToFit="0" vertical="center" wrapText="0"/>
    </xf>
    <xf borderId="25" fillId="8" fontId="18" numFmtId="0" xfId="0" applyAlignment="1" applyBorder="1" applyFont="1">
      <alignment horizontal="left" shrinkToFit="0" vertical="center" wrapText="0"/>
    </xf>
    <xf borderId="25" fillId="4" fontId="7" numFmtId="0" xfId="0" applyAlignment="1" applyBorder="1" applyFont="1">
      <alignment horizontal="center" shrinkToFit="0" vertical="center" wrapText="1"/>
    </xf>
    <xf borderId="14" fillId="7" fontId="28" numFmtId="0" xfId="0" applyAlignment="1" applyBorder="1" applyFont="1">
      <alignment horizontal="center" shrinkToFit="0" vertical="center" wrapText="0"/>
    </xf>
    <xf borderId="14" fillId="7" fontId="29" numFmtId="0" xfId="0" applyAlignment="1" applyBorder="1" applyFont="1">
      <alignment horizontal="left" shrinkToFit="0" vertical="center" wrapText="0"/>
    </xf>
    <xf borderId="14" fillId="12" fontId="28" numFmtId="0" xfId="0" applyAlignment="1" applyBorder="1" applyFill="1" applyFont="1">
      <alignment horizontal="center" shrinkToFit="0" vertical="center" wrapText="0"/>
    </xf>
    <xf borderId="14" fillId="12" fontId="29" numFmtId="0" xfId="0" applyAlignment="1" applyBorder="1" applyFont="1">
      <alignment horizontal="left" shrinkToFit="0" vertical="center" wrapText="0"/>
    </xf>
    <xf borderId="14" fillId="13" fontId="28" numFmtId="0" xfId="0" applyAlignment="1" applyBorder="1" applyFill="1" applyFont="1">
      <alignment horizontal="center" shrinkToFit="0" vertical="center" wrapText="0"/>
    </xf>
    <xf borderId="14" fillId="13" fontId="29" numFmtId="0" xfId="0" applyAlignment="1" applyBorder="1" applyFont="1">
      <alignment horizontal="left" shrinkToFit="0" vertical="center" wrapText="0"/>
    </xf>
    <xf borderId="14" fillId="4" fontId="10" numFmtId="0" xfId="0" applyAlignment="1" applyBorder="1" applyFont="1">
      <alignment horizontal="center" shrinkToFit="0" vertical="center" wrapText="0"/>
    </xf>
    <xf borderId="1" fillId="4" fontId="11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238125</xdr:colOff>
      <xdr:row>60</xdr:row>
      <xdr:rowOff>57150</xdr:rowOff>
    </xdr:from>
    <xdr:ext cx="2990850" cy="2000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31</xdr:row>
      <xdr:rowOff>295275</xdr:rowOff>
    </xdr:from>
    <xdr:ext cx="2895600" cy="19240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3</xdr:row>
      <xdr:rowOff>28575</xdr:rowOff>
    </xdr:from>
    <xdr:ext cx="2819400" cy="18764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3</xdr:row>
      <xdr:rowOff>200025</xdr:rowOff>
    </xdr:from>
    <xdr:ext cx="2819400" cy="18764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92.0"/>
    <col customWidth="1" min="3" max="3" width="2.0"/>
    <col customWidth="1" min="4" max="6" width="8.71"/>
  </cols>
  <sheetData>
    <row r="1" ht="7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43.5" customHeight="1">
      <c r="A2" s="1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.75" customHeight="1">
      <c r="A3" s="5"/>
      <c r="B3" s="6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7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.75" customHeight="1">
      <c r="A5" s="3"/>
      <c r="B5" s="7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9.5" customHeight="1">
      <c r="A6" s="3"/>
      <c r="B6" s="8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9.5" customHeight="1">
      <c r="A7" s="3"/>
      <c r="B7" s="8" t="s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9.5" customHeight="1">
      <c r="A8" s="3"/>
      <c r="B8" s="8" t="s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9.5" customHeight="1">
      <c r="A9" s="3"/>
      <c r="B9" s="8" t="s">
        <v>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7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75" customHeight="1">
      <c r="A11" s="3"/>
      <c r="B11" s="7" t="s">
        <v>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9.5" customHeight="1">
      <c r="A12" s="3"/>
      <c r="B12" s="9" t="s">
        <v>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9.5" customHeight="1">
      <c r="A13" s="3"/>
      <c r="B13" s="9" t="s">
        <v>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5" customHeight="1">
      <c r="A14" s="3"/>
      <c r="B14" s="9" t="s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5" customHeight="1">
      <c r="A15" s="3"/>
      <c r="B15" s="9" t="s">
        <v>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7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75" customHeight="1">
      <c r="A17" s="3"/>
      <c r="B17" s="7" t="s">
        <v>12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5" customHeight="1">
      <c r="A18" s="3"/>
      <c r="B18" s="10" t="s">
        <v>13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5" customHeight="1">
      <c r="A19" s="3"/>
      <c r="B19" s="10" t="s">
        <v>14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5" customHeight="1">
      <c r="A20" s="3"/>
      <c r="B20" s="10" t="s">
        <v>15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5" customHeight="1">
      <c r="A21" s="3"/>
      <c r="B21" s="10" t="s">
        <v>16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5" customHeight="1">
      <c r="A22" s="3"/>
      <c r="B22" s="10" t="s">
        <v>17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9.5" customHeight="1">
      <c r="A23" s="3"/>
      <c r="B23" s="10" t="s">
        <v>18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9.5" customHeight="1">
      <c r="A24" s="3"/>
      <c r="B24" s="10" t="s">
        <v>19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7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75" customHeight="1">
      <c r="A26" s="3"/>
      <c r="B26" s="7" t="s">
        <v>20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9.5" customHeight="1">
      <c r="A27" s="3"/>
      <c r="B27" s="8" t="s">
        <v>21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9.5" customHeight="1">
      <c r="A28" s="3"/>
      <c r="B28" s="8" t="s">
        <v>22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9.5" customHeight="1">
      <c r="A29" s="3"/>
      <c r="B29" s="8" t="s">
        <v>23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9.5" customHeight="1">
      <c r="A30" s="3"/>
      <c r="B30" s="8" t="s">
        <v>24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9.5" customHeight="1">
      <c r="A31" s="3"/>
      <c r="B31" s="8" t="s">
        <v>25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9.5" customHeight="1">
      <c r="A32" s="3"/>
      <c r="B32" s="8" t="s">
        <v>26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9.5" customHeight="1">
      <c r="A33" s="3"/>
      <c r="B33" s="8" t="s">
        <v>27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7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75" customHeight="1">
      <c r="A35" s="3"/>
      <c r="B35" s="7" t="s">
        <v>28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9.5" customHeight="1">
      <c r="A36" s="3"/>
      <c r="B36" s="9" t="s">
        <v>29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9.5" customHeight="1">
      <c r="A37" s="3"/>
      <c r="B37" s="9" t="s">
        <v>30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9.5" customHeight="1">
      <c r="A38" s="3"/>
      <c r="B38" s="9" t="s">
        <v>31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9.5" customHeight="1">
      <c r="A39" s="3"/>
      <c r="B39" s="9" t="s">
        <v>32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9.5" customHeight="1">
      <c r="A40" s="3"/>
      <c r="B40" s="9" t="s">
        <v>33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7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.75" customHeight="1">
      <c r="A42" s="3"/>
      <c r="B42" s="7" t="s">
        <v>34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9.5" customHeight="1">
      <c r="A43" s="3"/>
      <c r="B43" s="10" t="s">
        <v>35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9.5" customHeight="1">
      <c r="A44" s="3"/>
      <c r="B44" s="10" t="s">
        <v>36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9.5" customHeight="1">
      <c r="A45" s="3"/>
      <c r="B45" s="10" t="s">
        <v>37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9.5" customHeight="1">
      <c r="A46" s="3"/>
      <c r="B46" s="10" t="s">
        <v>38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9.5" customHeight="1">
      <c r="A47" s="3"/>
      <c r="B47" s="10" t="s">
        <v>39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7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75" customHeight="1">
      <c r="A49" s="3"/>
      <c r="B49" s="7" t="s">
        <v>40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9.5" customHeight="1">
      <c r="A50" s="3"/>
      <c r="B50" s="8" t="s">
        <v>41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9.5" customHeight="1">
      <c r="A51" s="3"/>
      <c r="B51" s="8" t="s">
        <v>42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9.5" customHeight="1">
      <c r="A52" s="3"/>
      <c r="B52" s="8" t="s">
        <v>43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9.5" customHeight="1">
      <c r="A53" s="3"/>
      <c r="B53" s="8" t="s">
        <v>44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9.5" customHeight="1">
      <c r="A54" s="3"/>
      <c r="B54" s="8" t="s">
        <v>45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7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">
    <mergeCell ref="B1:B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18.0"/>
    <col customWidth="1" min="4" max="4" width="24.43"/>
    <col customWidth="1" min="5" max="5" width="33.14"/>
    <col customWidth="1" min="6" max="6" width="2.0"/>
  </cols>
  <sheetData>
    <row r="1" ht="7.5" customHeight="1">
      <c r="A1" s="11" t="s">
        <v>46</v>
      </c>
      <c r="B1" s="12"/>
      <c r="C1" s="12"/>
      <c r="D1" s="12"/>
      <c r="E1" s="1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3.5" customHeight="1">
      <c r="A2" s="14"/>
      <c r="B2" s="15"/>
      <c r="C2" s="15"/>
      <c r="D2" s="15"/>
      <c r="E2" s="1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17" t="s">
        <v>47</v>
      </c>
      <c r="B3" s="18"/>
      <c r="C3" s="18"/>
      <c r="D3" s="18"/>
      <c r="E3" s="19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7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0" t="s">
        <v>48</v>
      </c>
      <c r="C5" s="21"/>
      <c r="D5" s="21"/>
      <c r="E5" s="2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75" customHeight="1">
      <c r="A6" s="3"/>
      <c r="B6" s="23" t="s">
        <v>49</v>
      </c>
      <c r="C6" s="22"/>
      <c r="D6" s="24" t="s">
        <v>50</v>
      </c>
      <c r="E6" s="25" t="s">
        <v>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0" customHeight="1">
      <c r="A7" s="3"/>
      <c r="B7" s="26" t="s">
        <v>52</v>
      </c>
      <c r="C7" s="22"/>
      <c r="D7" s="27" t="s">
        <v>53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0" customHeight="1">
      <c r="A8" s="3"/>
      <c r="B8" s="26" t="s">
        <v>54</v>
      </c>
      <c r="C8" s="22"/>
      <c r="D8" s="28" t="s">
        <v>55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0" customHeight="1">
      <c r="A9" s="3"/>
      <c r="B9" s="26" t="s">
        <v>56</v>
      </c>
      <c r="C9" s="22"/>
      <c r="D9" s="29">
        <v>0.65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0" customHeight="1">
      <c r="A10" s="3"/>
      <c r="B10" s="26" t="s">
        <v>57</v>
      </c>
      <c r="C10" s="22"/>
      <c r="D10" s="29">
        <v>0.35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0" customHeight="1">
      <c r="A11" s="3"/>
      <c r="B11" s="26" t="s">
        <v>58</v>
      </c>
      <c r="C11" s="22"/>
      <c r="D11" s="29">
        <v>0.21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0"/>
      <c r="B12" s="31" t="s">
        <v>59</v>
      </c>
      <c r="C12" s="18"/>
      <c r="D12" s="18"/>
      <c r="E12" s="19"/>
      <c r="F12" s="3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75" customHeight="1">
      <c r="A14" s="3"/>
      <c r="B14" s="20" t="s">
        <v>60</v>
      </c>
      <c r="C14" s="21"/>
      <c r="D14" s="21"/>
      <c r="E14" s="2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75" customHeight="1">
      <c r="A15" s="3"/>
      <c r="B15" s="32" t="s">
        <v>61</v>
      </c>
      <c r="C15" s="21"/>
      <c r="D15" s="21"/>
      <c r="E15" s="2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75" customHeight="1">
      <c r="A16" s="3"/>
      <c r="B16" s="32" t="s">
        <v>62</v>
      </c>
      <c r="C16" s="21"/>
      <c r="D16" s="21"/>
      <c r="E16" s="2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3"/>
      <c r="B17" s="33" t="s">
        <v>63</v>
      </c>
      <c r="C17" s="21"/>
      <c r="D17" s="21"/>
      <c r="E17" s="2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B10:C10"/>
    <mergeCell ref="B11:C11"/>
    <mergeCell ref="B12:E12"/>
    <mergeCell ref="B14:E14"/>
    <mergeCell ref="B15:E15"/>
    <mergeCell ref="B16:E16"/>
    <mergeCell ref="B17:E17"/>
    <mergeCell ref="A1:E2"/>
    <mergeCell ref="A3:E3"/>
    <mergeCell ref="B5:E5"/>
    <mergeCell ref="B6:C6"/>
    <mergeCell ref="B7:C7"/>
    <mergeCell ref="B8:C8"/>
    <mergeCell ref="B9:C9"/>
  </mergeCells>
  <dataValidations>
    <dataValidation type="list" allowBlank="1" sqref="D6">
      <formula1>"Restaurante,Emprendimiento"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16.0"/>
    <col customWidth="1" min="4" max="4" width="14.0"/>
    <col customWidth="1" min="5" max="5" width="14.86"/>
    <col customWidth="1" min="6" max="6" width="10.0"/>
    <col customWidth="1" min="7" max="7" width="12.0"/>
    <col customWidth="1" min="8" max="8" width="14.0"/>
    <col customWidth="1" min="9" max="9" width="12.0"/>
    <col customWidth="1" min="10" max="10" width="14.0"/>
    <col customWidth="1" min="11" max="11" width="2.0"/>
    <col customWidth="1" min="12" max="12" width="12.0"/>
  </cols>
  <sheetData>
    <row r="1" ht="7.5" customHeight="1">
      <c r="A1" s="34" t="s">
        <v>64</v>
      </c>
      <c r="B1" s="12"/>
      <c r="C1" s="12"/>
      <c r="D1" s="12"/>
      <c r="E1" s="12"/>
      <c r="F1" s="12"/>
      <c r="G1" s="12"/>
      <c r="H1" s="12"/>
      <c r="I1" s="12"/>
      <c r="J1" s="13"/>
      <c r="K1" s="35"/>
      <c r="L1" s="35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0" customHeight="1">
      <c r="A2" s="14"/>
      <c r="B2" s="15"/>
      <c r="C2" s="15"/>
      <c r="D2" s="15"/>
      <c r="E2" s="15"/>
      <c r="F2" s="15"/>
      <c r="G2" s="15"/>
      <c r="H2" s="15"/>
      <c r="I2" s="15"/>
      <c r="J2" s="16"/>
      <c r="K2" s="36"/>
      <c r="L2" s="3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17" t="s">
        <v>65</v>
      </c>
      <c r="B3" s="18"/>
      <c r="C3" s="18"/>
      <c r="D3" s="18"/>
      <c r="E3" s="18"/>
      <c r="F3" s="18"/>
      <c r="G3" s="18"/>
      <c r="H3" s="18"/>
      <c r="I3" s="18"/>
      <c r="J3" s="19"/>
      <c r="K3" s="37"/>
      <c r="L3" s="3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.75" customHeight="1">
      <c r="A4" s="3"/>
      <c r="B4" s="38"/>
      <c r="C4" s="38"/>
      <c r="D4" s="38"/>
      <c r="E4" s="38"/>
      <c r="F4" s="38"/>
      <c r="G4" s="38"/>
      <c r="H4" s="38"/>
      <c r="I4" s="38"/>
      <c r="J4" s="38"/>
      <c r="K4" s="38"/>
      <c r="L4" s="39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40" t="s">
        <v>66</v>
      </c>
      <c r="C5" s="41"/>
      <c r="D5" s="41"/>
      <c r="E5" s="41"/>
      <c r="F5" s="41"/>
      <c r="G5" s="41"/>
      <c r="H5" s="41"/>
      <c r="I5" s="41"/>
      <c r="J5" s="42"/>
      <c r="K5" s="43"/>
      <c r="L5" s="39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40" t="s">
        <v>67</v>
      </c>
      <c r="C6" s="41"/>
      <c r="D6" s="41"/>
      <c r="E6" s="41"/>
      <c r="F6" s="41"/>
      <c r="G6" s="41"/>
      <c r="H6" s="41"/>
      <c r="I6" s="41"/>
      <c r="J6" s="42"/>
      <c r="K6" s="43"/>
      <c r="L6" s="4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8.25" customHeight="1">
      <c r="A7" s="3"/>
      <c r="B7" s="45"/>
      <c r="C7" s="45"/>
      <c r="D7" s="45"/>
      <c r="E7" s="45"/>
      <c r="F7" s="45"/>
      <c r="G7" s="45"/>
      <c r="H7" s="45"/>
      <c r="I7" s="45"/>
      <c r="J7" s="45"/>
      <c r="K7" s="38"/>
      <c r="L7" s="4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6.0" customHeight="1">
      <c r="A8" s="3"/>
      <c r="B8" s="47" t="s">
        <v>68</v>
      </c>
      <c r="C8" s="47" t="s">
        <v>69</v>
      </c>
      <c r="D8" s="47" t="s">
        <v>70</v>
      </c>
      <c r="E8" s="47" t="s">
        <v>71</v>
      </c>
      <c r="F8" s="47" t="s">
        <v>72</v>
      </c>
      <c r="G8" s="47" t="s">
        <v>73</v>
      </c>
      <c r="H8" s="47" t="s">
        <v>74</v>
      </c>
      <c r="I8" s="47" t="s">
        <v>75</v>
      </c>
      <c r="J8" s="47" t="s">
        <v>76</v>
      </c>
      <c r="K8" s="30"/>
      <c r="L8" s="4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49" t="s">
        <v>77</v>
      </c>
      <c r="C9" s="50" t="s">
        <v>78</v>
      </c>
      <c r="D9" s="49" t="s">
        <v>79</v>
      </c>
      <c r="E9" s="50" t="s">
        <v>80</v>
      </c>
      <c r="F9" s="51">
        <v>25.0</v>
      </c>
      <c r="G9" s="50" t="s">
        <v>81</v>
      </c>
      <c r="H9" s="52">
        <v>2800.0</v>
      </c>
      <c r="I9" s="51">
        <v>0.5</v>
      </c>
      <c r="J9" s="51">
        <v>2.0</v>
      </c>
      <c r="K9" s="30"/>
      <c r="L9" s="5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49" t="s">
        <v>82</v>
      </c>
      <c r="C10" s="50" t="s">
        <v>83</v>
      </c>
      <c r="D10" s="49" t="s">
        <v>84</v>
      </c>
      <c r="E10" s="50" t="s">
        <v>85</v>
      </c>
      <c r="F10" s="51">
        <v>5.0</v>
      </c>
      <c r="G10" s="50" t="s">
        <v>81</v>
      </c>
      <c r="H10" s="52">
        <v>980.0</v>
      </c>
      <c r="I10" s="51">
        <v>0.3</v>
      </c>
      <c r="J10" s="51">
        <v>1.0</v>
      </c>
      <c r="K10" s="30"/>
      <c r="L10" s="5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49" t="s">
        <v>86</v>
      </c>
      <c r="C11" s="50" t="s">
        <v>87</v>
      </c>
      <c r="D11" s="49" t="s">
        <v>88</v>
      </c>
      <c r="E11" s="50" t="s">
        <v>81</v>
      </c>
      <c r="F11" s="51">
        <v>1.0</v>
      </c>
      <c r="G11" s="50" t="s">
        <v>81</v>
      </c>
      <c r="H11" s="52">
        <v>2200.0</v>
      </c>
      <c r="I11" s="51">
        <v>0.3</v>
      </c>
      <c r="J11" s="51">
        <v>0.8</v>
      </c>
      <c r="K11" s="30"/>
      <c r="L11" s="5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49" t="s">
        <v>89</v>
      </c>
      <c r="C12" s="50" t="s">
        <v>90</v>
      </c>
      <c r="D12" s="49" t="s">
        <v>91</v>
      </c>
      <c r="E12" s="50" t="s">
        <v>92</v>
      </c>
      <c r="F12" s="51">
        <v>5.0</v>
      </c>
      <c r="G12" s="50" t="s">
        <v>93</v>
      </c>
      <c r="H12" s="52">
        <v>3800.0</v>
      </c>
      <c r="I12" s="51">
        <v>0.1</v>
      </c>
      <c r="J12" s="51">
        <v>0.3</v>
      </c>
      <c r="K12" s="30"/>
      <c r="L12" s="5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49" t="s">
        <v>94</v>
      </c>
      <c r="C13" s="50" t="s">
        <v>87</v>
      </c>
      <c r="D13" s="49" t="s">
        <v>95</v>
      </c>
      <c r="E13" s="50" t="s">
        <v>96</v>
      </c>
      <c r="F13" s="51">
        <v>12.0</v>
      </c>
      <c r="G13" s="50" t="s">
        <v>97</v>
      </c>
      <c r="H13" s="52">
        <v>2400.0</v>
      </c>
      <c r="I13" s="51">
        <v>1.0</v>
      </c>
      <c r="J13" s="51">
        <v>3.0</v>
      </c>
      <c r="K13" s="30"/>
      <c r="L13" s="5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98</v>
      </c>
      <c r="C14" s="50" t="s">
        <v>87</v>
      </c>
      <c r="D14" s="49" t="s">
        <v>88</v>
      </c>
      <c r="E14" s="50" t="s">
        <v>99</v>
      </c>
      <c r="F14" s="51">
        <v>1.0</v>
      </c>
      <c r="G14" s="50" t="s">
        <v>93</v>
      </c>
      <c r="H14" s="52">
        <v>850.0</v>
      </c>
      <c r="I14" s="51">
        <v>0.5</v>
      </c>
      <c r="J14" s="51">
        <v>2.0</v>
      </c>
      <c r="K14" s="30"/>
      <c r="L14" s="5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100</v>
      </c>
      <c r="C15" s="50" t="s">
        <v>87</v>
      </c>
      <c r="D15" s="49" t="s">
        <v>88</v>
      </c>
      <c r="E15" s="50" t="s">
        <v>99</v>
      </c>
      <c r="F15" s="51">
        <v>1.0</v>
      </c>
      <c r="G15" s="50" t="s">
        <v>93</v>
      </c>
      <c r="H15" s="52">
        <v>1600.0</v>
      </c>
      <c r="I15" s="51">
        <v>0.2</v>
      </c>
      <c r="J15" s="51">
        <v>0.6</v>
      </c>
      <c r="K15" s="30"/>
      <c r="L15" s="5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101</v>
      </c>
      <c r="C16" s="50" t="s">
        <v>87</v>
      </c>
      <c r="D16" s="49" t="s">
        <v>102</v>
      </c>
      <c r="E16" s="50" t="s">
        <v>81</v>
      </c>
      <c r="F16" s="51">
        <v>1.0</v>
      </c>
      <c r="G16" s="50" t="s">
        <v>81</v>
      </c>
      <c r="H16" s="52">
        <v>4800.0</v>
      </c>
      <c r="I16" s="51">
        <v>0.2</v>
      </c>
      <c r="J16" s="51">
        <v>0.5</v>
      </c>
      <c r="K16" s="30"/>
      <c r="L16" s="5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103</v>
      </c>
      <c r="C17" s="50" t="s">
        <v>87</v>
      </c>
      <c r="D17" s="49" t="s">
        <v>104</v>
      </c>
      <c r="E17" s="50" t="s">
        <v>81</v>
      </c>
      <c r="F17" s="51">
        <v>1.0</v>
      </c>
      <c r="G17" s="50" t="s">
        <v>81</v>
      </c>
      <c r="H17" s="52">
        <v>5200.0</v>
      </c>
      <c r="I17" s="51">
        <v>0.1</v>
      </c>
      <c r="J17" s="51">
        <v>0.3</v>
      </c>
      <c r="K17" s="30"/>
      <c r="L17" s="5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105</v>
      </c>
      <c r="C18" s="50" t="s">
        <v>87</v>
      </c>
      <c r="D18" s="49" t="s">
        <v>88</v>
      </c>
      <c r="E18" s="50" t="s">
        <v>81</v>
      </c>
      <c r="F18" s="51">
        <v>1.0</v>
      </c>
      <c r="G18" s="50" t="s">
        <v>81</v>
      </c>
      <c r="H18" s="52">
        <v>2800.0</v>
      </c>
      <c r="I18" s="51">
        <v>0.1</v>
      </c>
      <c r="J18" s="51">
        <v>0.3</v>
      </c>
      <c r="K18" s="30"/>
      <c r="L18" s="5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106</v>
      </c>
      <c r="C19" s="50" t="s">
        <v>107</v>
      </c>
      <c r="D19" s="49" t="s">
        <v>108</v>
      </c>
      <c r="E19" s="50" t="s">
        <v>81</v>
      </c>
      <c r="F19" s="51">
        <v>1.0</v>
      </c>
      <c r="G19" s="50" t="s">
        <v>81</v>
      </c>
      <c r="H19" s="52">
        <v>420.0</v>
      </c>
      <c r="I19" s="51">
        <v>0.05</v>
      </c>
      <c r="J19" s="51">
        <v>0.15</v>
      </c>
      <c r="K19" s="30"/>
      <c r="L19" s="5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109</v>
      </c>
      <c r="C20" s="50" t="s">
        <v>78</v>
      </c>
      <c r="D20" s="49" t="s">
        <v>110</v>
      </c>
      <c r="E20" s="50" t="s">
        <v>111</v>
      </c>
      <c r="F20" s="51">
        <v>0.015</v>
      </c>
      <c r="G20" s="50" t="s">
        <v>81</v>
      </c>
      <c r="H20" s="52">
        <v>180.0</v>
      </c>
      <c r="I20" s="51">
        <v>0.01</v>
      </c>
      <c r="J20" s="51">
        <v>0.03</v>
      </c>
      <c r="K20" s="30"/>
      <c r="L20" s="5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112</v>
      </c>
      <c r="C21" s="50" t="s">
        <v>78</v>
      </c>
      <c r="D21" s="49" t="s">
        <v>113</v>
      </c>
      <c r="E21" s="50" t="s">
        <v>114</v>
      </c>
      <c r="F21" s="51">
        <v>0.01</v>
      </c>
      <c r="G21" s="50" t="s">
        <v>81</v>
      </c>
      <c r="H21" s="52">
        <v>280.0</v>
      </c>
      <c r="I21" s="51">
        <v>0.01</v>
      </c>
      <c r="J21" s="51">
        <v>0.03</v>
      </c>
      <c r="K21" s="30"/>
      <c r="L21" s="5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 t="s">
        <v>115</v>
      </c>
      <c r="C22" s="50" t="s">
        <v>107</v>
      </c>
      <c r="D22" s="49" t="s">
        <v>116</v>
      </c>
      <c r="E22" s="50" t="s">
        <v>117</v>
      </c>
      <c r="F22" s="51">
        <v>0.1</v>
      </c>
      <c r="G22" s="50" t="s">
        <v>93</v>
      </c>
      <c r="H22" s="52">
        <v>650.0</v>
      </c>
      <c r="I22" s="51">
        <v>0.01</v>
      </c>
      <c r="J22" s="51">
        <v>0.03</v>
      </c>
      <c r="K22" s="30"/>
      <c r="L22" s="5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 t="s">
        <v>118</v>
      </c>
      <c r="C23" s="50" t="s">
        <v>107</v>
      </c>
      <c r="D23" s="49" t="s">
        <v>119</v>
      </c>
      <c r="E23" s="50" t="s">
        <v>120</v>
      </c>
      <c r="F23" s="51">
        <v>0.05</v>
      </c>
      <c r="G23" s="50" t="s">
        <v>81</v>
      </c>
      <c r="H23" s="52">
        <v>480.0</v>
      </c>
      <c r="I23" s="51">
        <v>0.005</v>
      </c>
      <c r="J23" s="51">
        <v>0.01</v>
      </c>
      <c r="K23" s="30"/>
      <c r="L23" s="5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 t="s">
        <v>121</v>
      </c>
      <c r="C24" s="50" t="s">
        <v>122</v>
      </c>
      <c r="D24" s="49" t="s">
        <v>123</v>
      </c>
      <c r="E24" s="50" t="s">
        <v>124</v>
      </c>
      <c r="F24" s="51">
        <v>4.0</v>
      </c>
      <c r="G24" s="50" t="s">
        <v>81</v>
      </c>
      <c r="H24" s="52">
        <v>3600.0</v>
      </c>
      <c r="I24" s="51">
        <v>0.3</v>
      </c>
      <c r="J24" s="51">
        <v>1.0</v>
      </c>
      <c r="K24" s="30"/>
      <c r="L24" s="5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 t="s">
        <v>125</v>
      </c>
      <c r="C25" s="50" t="s">
        <v>122</v>
      </c>
      <c r="D25" s="49" t="s">
        <v>126</v>
      </c>
      <c r="E25" s="50" t="s">
        <v>81</v>
      </c>
      <c r="F25" s="51">
        <v>1.0</v>
      </c>
      <c r="G25" s="50" t="s">
        <v>81</v>
      </c>
      <c r="H25" s="52">
        <v>2400.0</v>
      </c>
      <c r="I25" s="51">
        <v>0.05</v>
      </c>
      <c r="J25" s="51">
        <v>0.2</v>
      </c>
      <c r="K25" s="30"/>
      <c r="L25" s="5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 t="s">
        <v>127</v>
      </c>
      <c r="C26" s="50" t="s">
        <v>122</v>
      </c>
      <c r="D26" s="49" t="s">
        <v>128</v>
      </c>
      <c r="E26" s="50" t="s">
        <v>81</v>
      </c>
      <c r="F26" s="51">
        <v>1.0</v>
      </c>
      <c r="G26" s="50" t="s">
        <v>81</v>
      </c>
      <c r="H26" s="52">
        <v>6800.0</v>
      </c>
      <c r="I26" s="51">
        <v>0.1</v>
      </c>
      <c r="J26" s="51">
        <v>0.3</v>
      </c>
      <c r="K26" s="30"/>
      <c r="L26" s="5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 t="s">
        <v>129</v>
      </c>
      <c r="C27" s="50" t="s">
        <v>122</v>
      </c>
      <c r="D27" s="49" t="s">
        <v>130</v>
      </c>
      <c r="E27" s="50" t="s">
        <v>131</v>
      </c>
      <c r="F27" s="51">
        <v>0.2</v>
      </c>
      <c r="G27" s="50" t="s">
        <v>81</v>
      </c>
      <c r="H27" s="52">
        <v>480.0</v>
      </c>
      <c r="I27" s="51">
        <v>0.02</v>
      </c>
      <c r="J27" s="51">
        <v>0.05</v>
      </c>
      <c r="K27" s="30"/>
      <c r="L27" s="5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 t="s">
        <v>132</v>
      </c>
      <c r="C28" s="50" t="s">
        <v>133</v>
      </c>
      <c r="D28" s="49" t="s">
        <v>134</v>
      </c>
      <c r="E28" s="50" t="s">
        <v>135</v>
      </c>
      <c r="F28" s="51">
        <v>0.5</v>
      </c>
      <c r="G28" s="50" t="s">
        <v>81</v>
      </c>
      <c r="H28" s="52">
        <v>4200.0</v>
      </c>
      <c r="I28" s="51">
        <v>0.02</v>
      </c>
      <c r="J28" s="51">
        <v>0.05</v>
      </c>
      <c r="K28" s="30"/>
      <c r="L28" s="5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 t="s">
        <v>136</v>
      </c>
      <c r="C29" s="50" t="s">
        <v>137</v>
      </c>
      <c r="D29" s="49" t="s">
        <v>138</v>
      </c>
      <c r="E29" s="50" t="s">
        <v>81</v>
      </c>
      <c r="F29" s="51">
        <v>1.0</v>
      </c>
      <c r="G29" s="50" t="s">
        <v>81</v>
      </c>
      <c r="H29" s="52">
        <v>3200.0</v>
      </c>
      <c r="I29" s="51">
        <v>0.2</v>
      </c>
      <c r="J29" s="51">
        <v>0.5</v>
      </c>
      <c r="K29" s="30"/>
      <c r="L29" s="5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 t="s">
        <v>139</v>
      </c>
      <c r="C30" s="50" t="s">
        <v>140</v>
      </c>
      <c r="D30" s="49" t="s">
        <v>141</v>
      </c>
      <c r="E30" s="50" t="s">
        <v>81</v>
      </c>
      <c r="F30" s="51">
        <v>1.0</v>
      </c>
      <c r="G30" s="50" t="s">
        <v>81</v>
      </c>
      <c r="H30" s="52">
        <v>950.0</v>
      </c>
      <c r="I30" s="51">
        <v>0.2</v>
      </c>
      <c r="J30" s="51">
        <v>0.6</v>
      </c>
      <c r="K30" s="30"/>
      <c r="L30" s="5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49" t="s">
        <v>142</v>
      </c>
      <c r="C31" s="50" t="s">
        <v>140</v>
      </c>
      <c r="D31" s="49" t="s">
        <v>141</v>
      </c>
      <c r="E31" s="50" t="s">
        <v>81</v>
      </c>
      <c r="F31" s="51">
        <v>1.0</v>
      </c>
      <c r="G31" s="50" t="s">
        <v>81</v>
      </c>
      <c r="H31" s="52">
        <v>480.0</v>
      </c>
      <c r="I31" s="51">
        <v>0.1</v>
      </c>
      <c r="J31" s="51">
        <v>0.3</v>
      </c>
      <c r="K31" s="30"/>
      <c r="L31" s="5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49" t="s">
        <v>143</v>
      </c>
      <c r="C32" s="50" t="s">
        <v>140</v>
      </c>
      <c r="D32" s="49" t="s">
        <v>141</v>
      </c>
      <c r="E32" s="50" t="s">
        <v>81</v>
      </c>
      <c r="F32" s="51">
        <v>1.0</v>
      </c>
      <c r="G32" s="50" t="s">
        <v>81</v>
      </c>
      <c r="H32" s="52">
        <v>1200.0</v>
      </c>
      <c r="I32" s="51">
        <v>0.02</v>
      </c>
      <c r="J32" s="51">
        <v>0.05</v>
      </c>
      <c r="K32" s="30"/>
      <c r="L32" s="5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49" t="s">
        <v>144</v>
      </c>
      <c r="C33" s="50" t="s">
        <v>140</v>
      </c>
      <c r="D33" s="49" t="s">
        <v>141</v>
      </c>
      <c r="E33" s="50" t="s">
        <v>81</v>
      </c>
      <c r="F33" s="51">
        <v>1.0</v>
      </c>
      <c r="G33" s="50" t="s">
        <v>81</v>
      </c>
      <c r="H33" s="52">
        <v>680.0</v>
      </c>
      <c r="I33" s="51">
        <v>0.05</v>
      </c>
      <c r="J33" s="51">
        <v>0.15</v>
      </c>
      <c r="K33" s="30"/>
      <c r="L33" s="5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49" t="s">
        <v>145</v>
      </c>
      <c r="C34" s="50" t="s">
        <v>122</v>
      </c>
      <c r="D34" s="49" t="s">
        <v>146</v>
      </c>
      <c r="E34" s="50" t="s">
        <v>147</v>
      </c>
      <c r="F34" s="51">
        <v>0.4</v>
      </c>
      <c r="G34" s="50" t="s">
        <v>81</v>
      </c>
      <c r="H34" s="52">
        <v>1200.0</v>
      </c>
      <c r="I34" s="51">
        <v>0.05</v>
      </c>
      <c r="J34" s="51">
        <v>0.15</v>
      </c>
      <c r="K34" s="30"/>
      <c r="L34" s="5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49" t="s">
        <v>148</v>
      </c>
      <c r="C35" s="50" t="s">
        <v>78</v>
      </c>
      <c r="D35" s="49" t="s">
        <v>149</v>
      </c>
      <c r="E35" s="50" t="s">
        <v>150</v>
      </c>
      <c r="F35" s="51">
        <v>0.4</v>
      </c>
      <c r="G35" s="50" t="s">
        <v>81</v>
      </c>
      <c r="H35" s="52">
        <v>650.0</v>
      </c>
      <c r="I35" s="51">
        <v>0.02</v>
      </c>
      <c r="J35" s="51">
        <v>0.06</v>
      </c>
      <c r="K35" s="30"/>
      <c r="L35" s="5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49" t="s">
        <v>151</v>
      </c>
      <c r="C36" s="50" t="s">
        <v>83</v>
      </c>
      <c r="D36" s="49" t="s">
        <v>84</v>
      </c>
      <c r="E36" s="50" t="s">
        <v>135</v>
      </c>
      <c r="F36" s="51">
        <v>0.5</v>
      </c>
      <c r="G36" s="50" t="s">
        <v>81</v>
      </c>
      <c r="H36" s="52">
        <v>1100.0</v>
      </c>
      <c r="I36" s="51">
        <v>0.05</v>
      </c>
      <c r="J36" s="51">
        <v>0.15</v>
      </c>
      <c r="K36" s="30"/>
      <c r="L36" s="5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49" t="s">
        <v>152</v>
      </c>
      <c r="C37" s="50" t="s">
        <v>153</v>
      </c>
      <c r="D37" s="49" t="s">
        <v>154</v>
      </c>
      <c r="E37" s="50" t="s">
        <v>155</v>
      </c>
      <c r="F37" s="51">
        <v>100.0</v>
      </c>
      <c r="G37" s="50" t="s">
        <v>97</v>
      </c>
      <c r="H37" s="52">
        <v>3500.0</v>
      </c>
      <c r="I37" s="51">
        <v>2.0</v>
      </c>
      <c r="J37" s="51">
        <v>6.0</v>
      </c>
      <c r="K37" s="30"/>
      <c r="L37" s="5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49" t="s">
        <v>156</v>
      </c>
      <c r="C38" s="50" t="s">
        <v>153</v>
      </c>
      <c r="D38" s="49" t="s">
        <v>154</v>
      </c>
      <c r="E38" s="50" t="s">
        <v>155</v>
      </c>
      <c r="F38" s="51">
        <v>100.0</v>
      </c>
      <c r="G38" s="50" t="s">
        <v>97</v>
      </c>
      <c r="H38" s="52">
        <v>2200.0</v>
      </c>
      <c r="I38" s="51">
        <v>3.0</v>
      </c>
      <c r="J38" s="51">
        <v>8.0</v>
      </c>
      <c r="K38" s="30"/>
      <c r="L38" s="5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49"/>
      <c r="C39" s="50"/>
      <c r="D39" s="49"/>
      <c r="E39" s="50"/>
      <c r="F39" s="51"/>
      <c r="G39" s="50"/>
      <c r="H39" s="52"/>
      <c r="I39" s="51"/>
      <c r="J39" s="51"/>
      <c r="K39" s="30"/>
      <c r="L39" s="5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49"/>
      <c r="C40" s="50"/>
      <c r="D40" s="49"/>
      <c r="E40" s="50"/>
      <c r="F40" s="51"/>
      <c r="G40" s="50"/>
      <c r="H40" s="52"/>
      <c r="I40" s="51"/>
      <c r="J40" s="51"/>
      <c r="K40" s="30"/>
      <c r="L40" s="5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49"/>
      <c r="C41" s="50"/>
      <c r="D41" s="49"/>
      <c r="E41" s="50"/>
      <c r="F41" s="51"/>
      <c r="G41" s="50"/>
      <c r="H41" s="52"/>
      <c r="I41" s="51"/>
      <c r="J41" s="51"/>
      <c r="K41" s="30"/>
      <c r="L41" s="5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49"/>
      <c r="C42" s="50"/>
      <c r="D42" s="49"/>
      <c r="E42" s="50"/>
      <c r="F42" s="51"/>
      <c r="G42" s="50"/>
      <c r="H42" s="52"/>
      <c r="I42" s="51"/>
      <c r="J42" s="51"/>
      <c r="K42" s="30"/>
      <c r="L42" s="5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49"/>
      <c r="C43" s="50"/>
      <c r="D43" s="49"/>
      <c r="E43" s="50"/>
      <c r="F43" s="51"/>
      <c r="G43" s="50"/>
      <c r="H43" s="52"/>
      <c r="I43" s="51"/>
      <c r="J43" s="51"/>
      <c r="K43" s="30"/>
      <c r="L43" s="5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49"/>
      <c r="C44" s="50"/>
      <c r="D44" s="50"/>
      <c r="E44" s="50"/>
      <c r="F44" s="51"/>
      <c r="G44" s="50"/>
      <c r="H44" s="52"/>
      <c r="I44" s="51"/>
      <c r="J44" s="51"/>
      <c r="K44" s="30"/>
      <c r="L44" s="5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49"/>
      <c r="C45" s="50"/>
      <c r="D45" s="50"/>
      <c r="E45" s="50"/>
      <c r="F45" s="51"/>
      <c r="G45" s="50"/>
      <c r="H45" s="52"/>
      <c r="I45" s="51"/>
      <c r="J45" s="51"/>
      <c r="K45" s="30"/>
      <c r="L45" s="5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49"/>
      <c r="C46" s="50"/>
      <c r="D46" s="50"/>
      <c r="E46" s="50"/>
      <c r="F46" s="51"/>
      <c r="G46" s="50"/>
      <c r="H46" s="52"/>
      <c r="I46" s="51"/>
      <c r="J46" s="51"/>
      <c r="K46" s="30"/>
      <c r="L46" s="5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49"/>
      <c r="C47" s="50"/>
      <c r="D47" s="50"/>
      <c r="E47" s="50"/>
      <c r="F47" s="51"/>
      <c r="G47" s="50"/>
      <c r="H47" s="52"/>
      <c r="I47" s="51"/>
      <c r="J47" s="51"/>
      <c r="K47" s="30"/>
      <c r="L47" s="5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49"/>
      <c r="C48" s="50"/>
      <c r="D48" s="50"/>
      <c r="E48" s="50"/>
      <c r="F48" s="51"/>
      <c r="G48" s="50"/>
      <c r="H48" s="52"/>
      <c r="I48" s="51"/>
      <c r="J48" s="51"/>
      <c r="K48" s="30"/>
      <c r="L48" s="5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49"/>
      <c r="C49" s="50"/>
      <c r="D49" s="50"/>
      <c r="E49" s="50"/>
      <c r="F49" s="51"/>
      <c r="G49" s="50"/>
      <c r="H49" s="52"/>
      <c r="I49" s="51"/>
      <c r="J49" s="51"/>
      <c r="K49" s="30"/>
      <c r="L49" s="5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49"/>
      <c r="C50" s="50"/>
      <c r="D50" s="50"/>
      <c r="E50" s="50"/>
      <c r="F50" s="51"/>
      <c r="G50" s="50"/>
      <c r="H50" s="52"/>
      <c r="I50" s="51"/>
      <c r="J50" s="51"/>
      <c r="K50" s="30"/>
      <c r="L50" s="5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49"/>
      <c r="C51" s="50"/>
      <c r="D51" s="50"/>
      <c r="E51" s="50"/>
      <c r="F51" s="51"/>
      <c r="G51" s="50"/>
      <c r="H51" s="52"/>
      <c r="I51" s="51"/>
      <c r="J51" s="51"/>
      <c r="K51" s="30"/>
      <c r="L51" s="5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49"/>
      <c r="C52" s="50"/>
      <c r="D52" s="50"/>
      <c r="E52" s="50"/>
      <c r="F52" s="51"/>
      <c r="G52" s="50"/>
      <c r="H52" s="52"/>
      <c r="I52" s="51"/>
      <c r="J52" s="51"/>
      <c r="K52" s="30"/>
      <c r="L52" s="5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49"/>
      <c r="C53" s="50"/>
      <c r="D53" s="50"/>
      <c r="E53" s="50"/>
      <c r="F53" s="51"/>
      <c r="G53" s="50"/>
      <c r="H53" s="52"/>
      <c r="I53" s="51"/>
      <c r="J53" s="51"/>
      <c r="K53" s="30"/>
      <c r="L53" s="5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49"/>
      <c r="C54" s="50"/>
      <c r="D54" s="50"/>
      <c r="E54" s="50"/>
      <c r="F54" s="51"/>
      <c r="G54" s="50"/>
      <c r="H54" s="52"/>
      <c r="I54" s="51"/>
      <c r="J54" s="51"/>
      <c r="K54" s="30"/>
      <c r="L54" s="5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3"/>
      <c r="B55" s="49"/>
      <c r="C55" s="50"/>
      <c r="D55" s="50"/>
      <c r="E55" s="50"/>
      <c r="F55" s="51"/>
      <c r="G55" s="50"/>
      <c r="H55" s="52"/>
      <c r="I55" s="51"/>
      <c r="J55" s="51"/>
      <c r="K55" s="30"/>
      <c r="L55" s="5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3"/>
      <c r="B56" s="49"/>
      <c r="C56" s="50"/>
      <c r="D56" s="50"/>
      <c r="E56" s="50"/>
      <c r="F56" s="51"/>
      <c r="G56" s="50"/>
      <c r="H56" s="52"/>
      <c r="I56" s="51"/>
      <c r="J56" s="51"/>
      <c r="K56" s="30"/>
      <c r="L56" s="5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3"/>
      <c r="B57" s="49"/>
      <c r="C57" s="50"/>
      <c r="D57" s="50"/>
      <c r="E57" s="50"/>
      <c r="F57" s="51"/>
      <c r="G57" s="50"/>
      <c r="H57" s="52"/>
      <c r="I57" s="51"/>
      <c r="J57" s="51"/>
      <c r="K57" s="30"/>
      <c r="L57" s="5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3"/>
      <c r="B58" s="49"/>
      <c r="C58" s="50"/>
      <c r="D58" s="50"/>
      <c r="E58" s="50"/>
      <c r="F58" s="51"/>
      <c r="G58" s="50"/>
      <c r="H58" s="52"/>
      <c r="I58" s="51"/>
      <c r="J58" s="51"/>
      <c r="K58" s="30"/>
      <c r="L58" s="5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3"/>
      <c r="B59" s="49"/>
      <c r="C59" s="50"/>
      <c r="D59" s="50"/>
      <c r="E59" s="50"/>
      <c r="F59" s="51"/>
      <c r="G59" s="50"/>
      <c r="H59" s="52"/>
      <c r="I59" s="51"/>
      <c r="J59" s="51"/>
      <c r="K59" s="30"/>
      <c r="L59" s="5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3"/>
      <c r="B60" s="49"/>
      <c r="C60" s="50"/>
      <c r="D60" s="50"/>
      <c r="E60" s="50"/>
      <c r="F60" s="51"/>
      <c r="G60" s="50"/>
      <c r="H60" s="52"/>
      <c r="I60" s="51"/>
      <c r="J60" s="51"/>
      <c r="K60" s="30"/>
      <c r="L60" s="5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3"/>
      <c r="B61" s="49"/>
      <c r="C61" s="50"/>
      <c r="D61" s="50"/>
      <c r="E61" s="50"/>
      <c r="F61" s="51"/>
      <c r="G61" s="50"/>
      <c r="H61" s="52"/>
      <c r="I61" s="51"/>
      <c r="J61" s="51"/>
      <c r="K61" s="30"/>
      <c r="L61" s="5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3"/>
      <c r="B62" s="49"/>
      <c r="C62" s="50"/>
      <c r="D62" s="50"/>
      <c r="E62" s="50"/>
      <c r="F62" s="51"/>
      <c r="G62" s="50"/>
      <c r="H62" s="52"/>
      <c r="I62" s="51"/>
      <c r="J62" s="51"/>
      <c r="K62" s="30"/>
      <c r="L62" s="5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3"/>
      <c r="B63" s="49"/>
      <c r="C63" s="50"/>
      <c r="D63" s="50"/>
      <c r="E63" s="50"/>
      <c r="F63" s="51"/>
      <c r="G63" s="50"/>
      <c r="H63" s="52"/>
      <c r="I63" s="51"/>
      <c r="J63" s="51"/>
      <c r="K63" s="30"/>
      <c r="L63" s="5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49"/>
      <c r="C64" s="50"/>
      <c r="D64" s="50"/>
      <c r="E64" s="50"/>
      <c r="F64" s="51"/>
      <c r="G64" s="50"/>
      <c r="H64" s="52"/>
      <c r="I64" s="51"/>
      <c r="J64" s="51"/>
      <c r="K64" s="30"/>
      <c r="L64" s="5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3"/>
      <c r="B65" s="49"/>
      <c r="C65" s="50"/>
      <c r="D65" s="50"/>
      <c r="E65" s="50"/>
      <c r="F65" s="51"/>
      <c r="G65" s="50"/>
      <c r="H65" s="52"/>
      <c r="I65" s="51"/>
      <c r="J65" s="51"/>
      <c r="K65" s="30"/>
      <c r="L65" s="5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49"/>
      <c r="C66" s="50"/>
      <c r="D66" s="50"/>
      <c r="E66" s="50"/>
      <c r="F66" s="51"/>
      <c r="G66" s="50"/>
      <c r="H66" s="52"/>
      <c r="I66" s="51"/>
      <c r="J66" s="51"/>
      <c r="K66" s="30"/>
      <c r="L66" s="5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49"/>
      <c r="C67" s="50"/>
      <c r="D67" s="50"/>
      <c r="E67" s="50"/>
      <c r="F67" s="51"/>
      <c r="G67" s="50"/>
      <c r="H67" s="52"/>
      <c r="I67" s="51"/>
      <c r="J67" s="51"/>
      <c r="K67" s="30"/>
      <c r="L67" s="5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49"/>
      <c r="C68" s="50"/>
      <c r="D68" s="50"/>
      <c r="E68" s="50"/>
      <c r="F68" s="51"/>
      <c r="G68" s="50"/>
      <c r="H68" s="52"/>
      <c r="I68" s="51"/>
      <c r="J68" s="51"/>
      <c r="K68" s="30"/>
      <c r="L68" s="5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J2"/>
    <mergeCell ref="A3:J3"/>
    <mergeCell ref="B5:J5"/>
    <mergeCell ref="B6:J6"/>
  </mergeCells>
  <dataValidations>
    <dataValidation type="list" allowBlank="1" sqref="G9:G68">
      <formula1>"gramo,kg,ml,L,unidad"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2.0"/>
    <col customWidth="1" min="2" max="8" width="22.0"/>
  </cols>
  <sheetData>
    <row r="1" ht="7.5" customHeight="1">
      <c r="A1" s="54"/>
      <c r="B1" s="18"/>
      <c r="C1" s="18"/>
      <c r="D1" s="18"/>
      <c r="E1" s="18"/>
      <c r="F1" s="18"/>
      <c r="G1" s="18"/>
      <c r="H1" s="1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0" customHeight="1">
      <c r="A2" s="55" t="s">
        <v>157</v>
      </c>
      <c r="B2" s="18"/>
      <c r="C2" s="18"/>
      <c r="D2" s="18"/>
      <c r="E2" s="18"/>
      <c r="F2" s="18"/>
      <c r="G2" s="18"/>
      <c r="H2" s="1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17" t="str">
        <f>IF(Configuracion!D6="Restaurante","Imprimí esta hoja y llevala al local para el conteo físico de stock.","Usala para registrar cuánto tenés de cada insumo antes de salir a comprar.")</f>
        <v>Usala para registrar cuánto tenés de cada insumo antes de salir a comprar.</v>
      </c>
      <c r="B3" s="18"/>
      <c r="C3" s="18"/>
      <c r="D3" s="18"/>
      <c r="E3" s="18"/>
      <c r="F3" s="18"/>
      <c r="G3" s="18"/>
      <c r="H3" s="1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7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4.0" customHeight="1">
      <c r="A5" s="3"/>
      <c r="B5" s="56" t="s">
        <v>158</v>
      </c>
      <c r="C5" s="41"/>
      <c r="D5" s="41"/>
      <c r="E5" s="41"/>
      <c r="F5" s="41"/>
      <c r="G5" s="41"/>
      <c r="H5" s="4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4.0" customHeight="1">
      <c r="A6" s="3"/>
      <c r="B6" s="57" t="s">
        <v>159</v>
      </c>
      <c r="C6" s="58"/>
      <c r="D6" s="59"/>
      <c r="E6" s="60">
        <v>45762.0</v>
      </c>
      <c r="F6" s="59"/>
      <c r="G6" s="57" t="s">
        <v>160</v>
      </c>
      <c r="H6" s="5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0" t="s">
        <v>161</v>
      </c>
      <c r="C7" s="21"/>
      <c r="D7" s="21"/>
      <c r="E7" s="21"/>
      <c r="F7" s="21"/>
      <c r="G7" s="21"/>
      <c r="H7" s="2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1.5" customHeight="1">
      <c r="A8" s="3"/>
      <c r="B8" s="61" t="s">
        <v>162</v>
      </c>
      <c r="C8" s="61" t="s">
        <v>69</v>
      </c>
      <c r="D8" s="61" t="s">
        <v>163</v>
      </c>
      <c r="E8" s="61" t="s">
        <v>164</v>
      </c>
      <c r="F8" s="61" t="s">
        <v>165</v>
      </c>
      <c r="G8" s="61" t="s">
        <v>166</v>
      </c>
      <c r="H8" s="61" t="s">
        <v>167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62" t="str">
        <f>'Base de Datos'!B9</f>
        <v>Harina 000</v>
      </c>
      <c r="C9" s="63" t="str">
        <f>'Base de Datos'!C9</f>
        <v>Harinas</v>
      </c>
      <c r="D9" s="63" t="str">
        <f>'Base de Datos'!G9</f>
        <v>kg</v>
      </c>
      <c r="E9" s="51">
        <v>5.0</v>
      </c>
      <c r="F9" s="49" t="s">
        <v>168</v>
      </c>
      <c r="G9" s="64">
        <f>IF('Base de Datos'!J9&gt;0,'Base de Datos'!J9*3,"")</f>
        <v>6</v>
      </c>
      <c r="H9" s="63" t="str">
        <f t="shared" ref="H9:H38" si="1">IF(E9="","",IF(E9&lt;=G9,"⚠️ SÍ — REPONER","✅ OK"))</f>
        <v>⚠️ SÍ — REPONER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62" t="str">
        <f>'Base de Datos'!B10</f>
        <v>Azúcar</v>
      </c>
      <c r="C10" s="63" t="str">
        <f>'Base de Datos'!C10</f>
        <v>Azúcares</v>
      </c>
      <c r="D10" s="63" t="str">
        <f>'Base de Datos'!G10</f>
        <v>kg</v>
      </c>
      <c r="E10" s="51">
        <v>4.0</v>
      </c>
      <c r="F10" s="49" t="s">
        <v>168</v>
      </c>
      <c r="G10" s="64">
        <f>IF('Base de Datos'!J10&gt;0,'Base de Datos'!J10*3,"")</f>
        <v>3</v>
      </c>
      <c r="H10" s="63" t="str">
        <f t="shared" si="1"/>
        <v>✅ OK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62" t="str">
        <f>'Base de Datos'!B11</f>
        <v>Manteca</v>
      </c>
      <c r="C11" s="63" t="str">
        <f>'Base de Datos'!C11</f>
        <v>Lácteos</v>
      </c>
      <c r="D11" s="63" t="str">
        <f>'Base de Datos'!G11</f>
        <v>kg</v>
      </c>
      <c r="E11" s="51">
        <v>0.2</v>
      </c>
      <c r="F11" s="49" t="s">
        <v>169</v>
      </c>
      <c r="G11" s="64">
        <f>IF('Base de Datos'!J11&gt;0,'Base de Datos'!J11*3,"")</f>
        <v>2.4</v>
      </c>
      <c r="H11" s="63" t="str">
        <f t="shared" si="1"/>
        <v>⚠️ SÍ — REPONER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62" t="str">
        <f>'Base de Datos'!B12</f>
        <v>Aceite girasol</v>
      </c>
      <c r="C12" s="63" t="str">
        <f>'Base de Datos'!C12</f>
        <v>Aceites</v>
      </c>
      <c r="D12" s="63" t="str">
        <f>'Base de Datos'!G12</f>
        <v>L</v>
      </c>
      <c r="E12" s="51">
        <v>3.5</v>
      </c>
      <c r="F12" s="49" t="s">
        <v>168</v>
      </c>
      <c r="G12" s="64">
        <f>IF('Base de Datos'!J12&gt;0,'Base de Datos'!J12*3,"")</f>
        <v>0.9</v>
      </c>
      <c r="H12" s="63" t="str">
        <f t="shared" si="1"/>
        <v>✅ OK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62" t="str">
        <f>'Base de Datos'!B13</f>
        <v>Huevos</v>
      </c>
      <c r="C13" s="63" t="str">
        <f>'Base de Datos'!C13</f>
        <v>Lácteos</v>
      </c>
      <c r="D13" s="63" t="str">
        <f>'Base de Datos'!G13</f>
        <v>unidad</v>
      </c>
      <c r="E13" s="51">
        <v>10.0</v>
      </c>
      <c r="F13" s="49" t="s">
        <v>169</v>
      </c>
      <c r="G13" s="64">
        <f>IF('Base de Datos'!J13&gt;0,'Base de Datos'!J13*3,"")</f>
        <v>9</v>
      </c>
      <c r="H13" s="63" t="str">
        <f t="shared" si="1"/>
        <v>✅ OK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62" t="str">
        <f>'Base de Datos'!B14</f>
        <v>Leche entera</v>
      </c>
      <c r="C14" s="63" t="str">
        <f>'Base de Datos'!C14</f>
        <v>Lácteos</v>
      </c>
      <c r="D14" s="63" t="str">
        <f>'Base de Datos'!G14</f>
        <v>L</v>
      </c>
      <c r="E14" s="51">
        <v>5.0</v>
      </c>
      <c r="F14" s="49" t="s">
        <v>169</v>
      </c>
      <c r="G14" s="64">
        <f>IF('Base de Datos'!J14&gt;0,'Base de Datos'!J14*3,"")</f>
        <v>6</v>
      </c>
      <c r="H14" s="63" t="str">
        <f t="shared" si="1"/>
        <v>⚠️ SÍ — REPONER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62" t="str">
        <f>'Base de Datos'!B15</f>
        <v>Crema de leche</v>
      </c>
      <c r="C15" s="63" t="str">
        <f>'Base de Datos'!C15</f>
        <v>Lácteos</v>
      </c>
      <c r="D15" s="63" t="str">
        <f>'Base de Datos'!G15</f>
        <v>L</v>
      </c>
      <c r="E15" s="51">
        <v>0.3</v>
      </c>
      <c r="F15" s="49" t="s">
        <v>169</v>
      </c>
      <c r="G15" s="64">
        <f>IF('Base de Datos'!J15&gt;0,'Base de Datos'!J15*3,"")</f>
        <v>1.8</v>
      </c>
      <c r="H15" s="63" t="str">
        <f t="shared" si="1"/>
        <v>⚠️ SÍ — REPONER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62" t="str">
        <f>'Base de Datos'!B16</f>
        <v>Queso mozzarella</v>
      </c>
      <c r="C16" s="63" t="str">
        <f>'Base de Datos'!C16</f>
        <v>Lácteos</v>
      </c>
      <c r="D16" s="63" t="str">
        <f>'Base de Datos'!G16</f>
        <v>kg</v>
      </c>
      <c r="E16" s="51">
        <v>1.8</v>
      </c>
      <c r="F16" s="49" t="s">
        <v>169</v>
      </c>
      <c r="G16" s="64">
        <f>IF('Base de Datos'!J16&gt;0,'Base de Datos'!J16*3,"")</f>
        <v>1.5</v>
      </c>
      <c r="H16" s="63" t="str">
        <f t="shared" si="1"/>
        <v>✅ OK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62" t="str">
        <f>'Base de Datos'!B17</f>
        <v>Queso crema</v>
      </c>
      <c r="C17" s="63" t="str">
        <f>'Base de Datos'!C17</f>
        <v>Lácteos</v>
      </c>
      <c r="D17" s="63" t="str">
        <f>'Base de Datos'!G17</f>
        <v>kg</v>
      </c>
      <c r="E17" s="51">
        <v>0.8</v>
      </c>
      <c r="F17" s="49" t="s">
        <v>169</v>
      </c>
      <c r="G17" s="64">
        <f>IF('Base de Datos'!J17&gt;0,'Base de Datos'!J17*3,"")</f>
        <v>0.9</v>
      </c>
      <c r="H17" s="63" t="str">
        <f t="shared" si="1"/>
        <v>⚠️ SÍ — REPONER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62" t="str">
        <f>'Base de Datos'!B18</f>
        <v>Ricota</v>
      </c>
      <c r="C18" s="63" t="str">
        <f>'Base de Datos'!C18</f>
        <v>Lácteos</v>
      </c>
      <c r="D18" s="63" t="str">
        <f>'Base de Datos'!G18</f>
        <v>kg</v>
      </c>
      <c r="E18" s="51">
        <v>1.5</v>
      </c>
      <c r="F18" s="49" t="s">
        <v>169</v>
      </c>
      <c r="G18" s="64">
        <f>IF('Base de Datos'!J18&gt;0,'Base de Datos'!J18*3,"")</f>
        <v>0.9</v>
      </c>
      <c r="H18" s="63" t="str">
        <f t="shared" si="1"/>
        <v>✅ OK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62" t="str">
        <f>'Base de Datos'!B19</f>
        <v>Sal fina</v>
      </c>
      <c r="C19" s="63" t="str">
        <f>'Base de Datos'!C19</f>
        <v>Condimentos</v>
      </c>
      <c r="D19" s="63" t="str">
        <f>'Base de Datos'!G19</f>
        <v>kg</v>
      </c>
      <c r="E19" s="51">
        <v>0.8</v>
      </c>
      <c r="F19" s="49" t="s">
        <v>168</v>
      </c>
      <c r="G19" s="64">
        <f>IF('Base de Datos'!J19&gt;0,'Base de Datos'!J19*3,"")</f>
        <v>0.45</v>
      </c>
      <c r="H19" s="63" t="str">
        <f t="shared" si="1"/>
        <v>✅ OK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62" t="str">
        <f>'Base de Datos'!B20</f>
        <v>Polvo de hornear</v>
      </c>
      <c r="C20" s="63" t="str">
        <f>'Base de Datos'!C20</f>
        <v>Harinas</v>
      </c>
      <c r="D20" s="63" t="str">
        <f>'Base de Datos'!G20</f>
        <v>kg</v>
      </c>
      <c r="E20" s="51">
        <v>0.12</v>
      </c>
      <c r="F20" s="49" t="s">
        <v>168</v>
      </c>
      <c r="G20" s="64">
        <f>IF('Base de Datos'!J20&gt;0,'Base de Datos'!J20*3,"")</f>
        <v>0.09</v>
      </c>
      <c r="H20" s="63" t="str">
        <f t="shared" si="1"/>
        <v>✅ OK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62" t="str">
        <f>'Base de Datos'!B21</f>
        <v>Levadura seca</v>
      </c>
      <c r="C21" s="63" t="str">
        <f>'Base de Datos'!C21</f>
        <v>Harinas</v>
      </c>
      <c r="D21" s="63" t="str">
        <f>'Base de Datos'!G21</f>
        <v>kg</v>
      </c>
      <c r="E21" s="51">
        <v>0.12</v>
      </c>
      <c r="F21" s="49" t="s">
        <v>168</v>
      </c>
      <c r="G21" s="64">
        <f>IF('Base de Datos'!J21&gt;0,'Base de Datos'!J21*3,"")</f>
        <v>0.09</v>
      </c>
      <c r="H21" s="63" t="str">
        <f t="shared" si="1"/>
        <v>✅ OK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62" t="str">
        <f>'Base de Datos'!B22</f>
        <v>Vainilla esencia</v>
      </c>
      <c r="C22" s="63" t="str">
        <f>'Base de Datos'!C22</f>
        <v>Condimentos</v>
      </c>
      <c r="D22" s="63" t="str">
        <f>'Base de Datos'!G22</f>
        <v>L</v>
      </c>
      <c r="E22" s="51">
        <v>0.08</v>
      </c>
      <c r="F22" s="49" t="s">
        <v>168</v>
      </c>
      <c r="G22" s="64">
        <f>IF('Base de Datos'!J22&gt;0,'Base de Datos'!J22*3,"")</f>
        <v>0.09</v>
      </c>
      <c r="H22" s="63" t="str">
        <f t="shared" si="1"/>
        <v>⚠️ SÍ — REPONER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62" t="str">
        <f>'Base de Datos'!B23</f>
        <v>Canela molida</v>
      </c>
      <c r="C23" s="63" t="str">
        <f>'Base de Datos'!C23</f>
        <v>Condimentos</v>
      </c>
      <c r="D23" s="63" t="str">
        <f>'Base de Datos'!G23</f>
        <v>kg</v>
      </c>
      <c r="E23" s="51">
        <v>0.06</v>
      </c>
      <c r="F23" s="49" t="s">
        <v>168</v>
      </c>
      <c r="G23" s="64">
        <f>IF('Base de Datos'!J23&gt;0,'Base de Datos'!J23*3,"")</f>
        <v>0.03</v>
      </c>
      <c r="H23" s="63" t="str">
        <f t="shared" si="1"/>
        <v>✅ OK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62" t="str">
        <f>'Base de Datos'!B24</f>
        <v>Dulce de leche</v>
      </c>
      <c r="C24" s="63" t="str">
        <f>'Base de Datos'!C24</f>
        <v>Repostería</v>
      </c>
      <c r="D24" s="63" t="str">
        <f>'Base de Datos'!G24</f>
        <v>kg</v>
      </c>
      <c r="E24" s="51">
        <v>2.8</v>
      </c>
      <c r="F24" s="49" t="s">
        <v>169</v>
      </c>
      <c r="G24" s="64">
        <f>IF('Base de Datos'!J24&gt;0,'Base de Datos'!J24*3,"")</f>
        <v>3</v>
      </c>
      <c r="H24" s="63" t="str">
        <f t="shared" si="1"/>
        <v>⚠️ SÍ — REPONER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62" t="str">
        <f>'Base de Datos'!B25</f>
        <v>Cacao en polvo</v>
      </c>
      <c r="C25" s="63" t="str">
        <f>'Base de Datos'!C25</f>
        <v>Repostería</v>
      </c>
      <c r="D25" s="63" t="str">
        <f>'Base de Datos'!G25</f>
        <v>kg</v>
      </c>
      <c r="E25" s="51">
        <v>0.7</v>
      </c>
      <c r="F25" s="49" t="s">
        <v>168</v>
      </c>
      <c r="G25" s="64">
        <f>IF('Base de Datos'!J25&gt;0,'Base de Datos'!J25*3,"")</f>
        <v>0.6</v>
      </c>
      <c r="H25" s="63" t="str">
        <f t="shared" si="1"/>
        <v>✅ OK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62" t="str">
        <f>'Base de Datos'!B26</f>
        <v>Chocolate cobertura</v>
      </c>
      <c r="C26" s="63" t="str">
        <f>'Base de Datos'!C26</f>
        <v>Repostería</v>
      </c>
      <c r="D26" s="63" t="str">
        <f>'Base de Datos'!G26</f>
        <v>kg</v>
      </c>
      <c r="E26" s="51">
        <v>0.8</v>
      </c>
      <c r="F26" s="49" t="s">
        <v>168</v>
      </c>
      <c r="G26" s="64">
        <f>IF('Base de Datos'!J26&gt;0,'Base de Datos'!J26*3,"")</f>
        <v>0.9</v>
      </c>
      <c r="H26" s="63" t="str">
        <f t="shared" si="1"/>
        <v>⚠️ SÍ — REPONER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62" t="str">
        <f>'Base de Datos'!B27</f>
        <v>Coco rallado</v>
      </c>
      <c r="C27" s="63" t="str">
        <f>'Base de Datos'!C27</f>
        <v>Repostería</v>
      </c>
      <c r="D27" s="63" t="str">
        <f>'Base de Datos'!G27</f>
        <v>kg</v>
      </c>
      <c r="E27" s="51">
        <v>0.3</v>
      </c>
      <c r="F27" s="49" t="s">
        <v>168</v>
      </c>
      <c r="G27" s="64">
        <f>IF('Base de Datos'!J27&gt;0,'Base de Datos'!J27*3,"")</f>
        <v>0.15</v>
      </c>
      <c r="H27" s="63" t="str">
        <f t="shared" si="1"/>
        <v>✅ OK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62" t="str">
        <f>'Base de Datos'!B28</f>
        <v>Nueces</v>
      </c>
      <c r="C28" s="63" t="str">
        <f>'Base de Datos'!C28</f>
        <v>Frutos secos</v>
      </c>
      <c r="D28" s="63" t="str">
        <f>'Base de Datos'!G28</f>
        <v>kg</v>
      </c>
      <c r="E28" s="51">
        <v>0.4</v>
      </c>
      <c r="F28" s="49" t="s">
        <v>168</v>
      </c>
      <c r="G28" s="64">
        <f>IF('Base de Datos'!J28&gt;0,'Base de Datos'!J28*3,"")</f>
        <v>0.15</v>
      </c>
      <c r="H28" s="63" t="str">
        <f t="shared" si="1"/>
        <v>✅ OK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62" t="str">
        <f>'Base de Datos'!B29</f>
        <v>Carne picada</v>
      </c>
      <c r="C29" s="63" t="str">
        <f>'Base de Datos'!C29</f>
        <v>Carnes</v>
      </c>
      <c r="D29" s="63" t="str">
        <f>'Base de Datos'!G29</f>
        <v>kg</v>
      </c>
      <c r="E29" s="51">
        <v>1.5</v>
      </c>
      <c r="F29" s="49" t="s">
        <v>170</v>
      </c>
      <c r="G29" s="64">
        <f>IF('Base de Datos'!J29&gt;0,'Base de Datos'!J29*3,"")</f>
        <v>1.5</v>
      </c>
      <c r="H29" s="63" t="str">
        <f t="shared" si="1"/>
        <v>⚠️ SÍ — REPONER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62" t="str">
        <f>'Base de Datos'!B30</f>
        <v>Tomate</v>
      </c>
      <c r="C30" s="63" t="str">
        <f>'Base de Datos'!C30</f>
        <v>Verduras</v>
      </c>
      <c r="D30" s="63" t="str">
        <f>'Base de Datos'!G30</f>
        <v>kg</v>
      </c>
      <c r="E30" s="51">
        <v>2.5</v>
      </c>
      <c r="F30" s="49" t="s">
        <v>169</v>
      </c>
      <c r="G30" s="64">
        <f>IF('Base de Datos'!J30&gt;0,'Base de Datos'!J30*3,"")</f>
        <v>1.8</v>
      </c>
      <c r="H30" s="63" t="str">
        <f t="shared" si="1"/>
        <v>✅ OK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62" t="str">
        <f>'Base de Datos'!B31</f>
        <v>Cebolla</v>
      </c>
      <c r="C31" s="63" t="str">
        <f>'Base de Datos'!C31</f>
        <v>Verduras</v>
      </c>
      <c r="D31" s="63" t="str">
        <f>'Base de Datos'!G31</f>
        <v>kg</v>
      </c>
      <c r="E31" s="51">
        <v>2.0</v>
      </c>
      <c r="F31" s="49" t="s">
        <v>168</v>
      </c>
      <c r="G31" s="64">
        <f>IF('Base de Datos'!J31&gt;0,'Base de Datos'!J31*3,"")</f>
        <v>0.9</v>
      </c>
      <c r="H31" s="63" t="str">
        <f t="shared" si="1"/>
        <v>✅ OK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62" t="str">
        <f>'Base de Datos'!B32</f>
        <v>Ajo</v>
      </c>
      <c r="C32" s="63" t="str">
        <f>'Base de Datos'!C32</f>
        <v>Verduras</v>
      </c>
      <c r="D32" s="63" t="str">
        <f>'Base de Datos'!G32</f>
        <v>kg</v>
      </c>
      <c r="E32" s="51">
        <v>0.3</v>
      </c>
      <c r="F32" s="49" t="s">
        <v>168</v>
      </c>
      <c r="G32" s="64">
        <f>IF('Base de Datos'!J32&gt;0,'Base de Datos'!J32*3,"")</f>
        <v>0.15</v>
      </c>
      <c r="H32" s="63" t="str">
        <f t="shared" si="1"/>
        <v>✅ OK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62" t="str">
        <f>'Base de Datos'!B33</f>
        <v>Limón</v>
      </c>
      <c r="C33" s="63" t="str">
        <f>'Base de Datos'!C33</f>
        <v>Verduras</v>
      </c>
      <c r="D33" s="63" t="str">
        <f>'Base de Datos'!G33</f>
        <v>kg</v>
      </c>
      <c r="E33" s="51">
        <v>0.4</v>
      </c>
      <c r="F33" s="49" t="s">
        <v>168</v>
      </c>
      <c r="G33" s="64">
        <f>IF('Base de Datos'!J33&gt;0,'Base de Datos'!J33*3,"")</f>
        <v>0.45</v>
      </c>
      <c r="H33" s="63" t="str">
        <f t="shared" si="1"/>
        <v>⚠️ SÍ — REPONER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62" t="str">
        <f>'Base de Datos'!B34</f>
        <v>Mermelada frutillas</v>
      </c>
      <c r="C34" s="63" t="str">
        <f>'Base de Datos'!C34</f>
        <v>Repostería</v>
      </c>
      <c r="D34" s="63" t="str">
        <f>'Base de Datos'!G34</f>
        <v>kg</v>
      </c>
      <c r="E34" s="51">
        <v>0.8</v>
      </c>
      <c r="F34" s="49" t="s">
        <v>168</v>
      </c>
      <c r="G34" s="64">
        <f>IF('Base de Datos'!J34&gt;0,'Base de Datos'!J34*3,"")</f>
        <v>0.45</v>
      </c>
      <c r="H34" s="63" t="str">
        <f t="shared" si="1"/>
        <v>✅ OK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62" t="str">
        <f>'Base de Datos'!B35</f>
        <v>Maicena</v>
      </c>
      <c r="C35" s="63" t="str">
        <f>'Base de Datos'!C35</f>
        <v>Harinas</v>
      </c>
      <c r="D35" s="63" t="str">
        <f>'Base de Datos'!G35</f>
        <v>kg</v>
      </c>
      <c r="E35" s="51">
        <v>0.5</v>
      </c>
      <c r="F35" s="49" t="s">
        <v>168</v>
      </c>
      <c r="G35" s="64">
        <f>IF('Base de Datos'!J35&gt;0,'Base de Datos'!J35*3,"")</f>
        <v>0.18</v>
      </c>
      <c r="H35" s="63" t="str">
        <f t="shared" si="1"/>
        <v>✅ OK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62" t="str">
        <f>'Base de Datos'!B36</f>
        <v>Azúcar impalpable</v>
      </c>
      <c r="C36" s="63" t="str">
        <f>'Base de Datos'!C36</f>
        <v>Azúcares</v>
      </c>
      <c r="D36" s="63" t="str">
        <f>'Base de Datos'!G36</f>
        <v>kg</v>
      </c>
      <c r="E36" s="51">
        <v>0.6</v>
      </c>
      <c r="F36" s="49" t="s">
        <v>168</v>
      </c>
      <c r="G36" s="64">
        <f>IF('Base de Datos'!J36&gt;0,'Base de Datos'!J36*3,"")</f>
        <v>0.45</v>
      </c>
      <c r="H36" s="63" t="str">
        <f t="shared" si="1"/>
        <v>✅ OK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62" t="str">
        <f>'Base de Datos'!B37</f>
        <v>Packaging caja</v>
      </c>
      <c r="C37" s="63" t="str">
        <f>'Base de Datos'!C37</f>
        <v>Packaging</v>
      </c>
      <c r="D37" s="63" t="str">
        <f>'Base de Datos'!G37</f>
        <v>unidad</v>
      </c>
      <c r="E37" s="51">
        <v>80.0</v>
      </c>
      <c r="F37" s="49" t="s">
        <v>171</v>
      </c>
      <c r="G37" s="64">
        <f>IF('Base de Datos'!J37&gt;0,'Base de Datos'!J37*3,"")</f>
        <v>18</v>
      </c>
      <c r="H37" s="63" t="str">
        <f t="shared" si="1"/>
        <v>✅ OK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62" t="str">
        <f>'Base de Datos'!B38</f>
        <v>Packaging bolsa</v>
      </c>
      <c r="C38" s="63" t="str">
        <f>'Base de Datos'!C38</f>
        <v>Packaging</v>
      </c>
      <c r="D38" s="63" t="str">
        <f>'Base de Datos'!G38</f>
        <v>unidad</v>
      </c>
      <c r="E38" s="51">
        <v>120.0</v>
      </c>
      <c r="F38" s="49" t="s">
        <v>171</v>
      </c>
      <c r="G38" s="64">
        <f>IF('Base de Datos'!J38&gt;0,'Base de Datos'!J38*3,"")</f>
        <v>24</v>
      </c>
      <c r="H38" s="63" t="str">
        <f t="shared" si="1"/>
        <v>✅ OK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62"/>
      <c r="C39" s="63"/>
      <c r="D39" s="63"/>
      <c r="E39" s="51"/>
      <c r="F39" s="49"/>
      <c r="G39" s="64"/>
      <c r="H39" s="6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62"/>
      <c r="C40" s="63"/>
      <c r="D40" s="63"/>
      <c r="E40" s="51"/>
      <c r="F40" s="49"/>
      <c r="G40" s="64"/>
      <c r="H40" s="6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62"/>
      <c r="C41" s="63"/>
      <c r="D41" s="63"/>
      <c r="E41" s="51"/>
      <c r="F41" s="49"/>
      <c r="G41" s="64"/>
      <c r="H41" s="6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62"/>
      <c r="C42" s="63"/>
      <c r="D42" s="63"/>
      <c r="E42" s="51"/>
      <c r="F42" s="49"/>
      <c r="G42" s="64"/>
      <c r="H42" s="6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62"/>
      <c r="C43" s="63"/>
      <c r="D43" s="63"/>
      <c r="E43" s="51"/>
      <c r="F43" s="49"/>
      <c r="G43" s="64"/>
      <c r="H43" s="6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62"/>
      <c r="C44" s="63"/>
      <c r="D44" s="63"/>
      <c r="E44" s="51"/>
      <c r="F44" s="49"/>
      <c r="G44" s="64"/>
      <c r="H44" s="6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62"/>
      <c r="C45" s="63"/>
      <c r="D45" s="63"/>
      <c r="E45" s="51"/>
      <c r="F45" s="49"/>
      <c r="G45" s="64"/>
      <c r="H45" s="6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62"/>
      <c r="C46" s="63"/>
      <c r="D46" s="63"/>
      <c r="E46" s="51"/>
      <c r="F46" s="49"/>
      <c r="G46" s="64"/>
      <c r="H46" s="6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62"/>
      <c r="C47" s="63"/>
      <c r="D47" s="63"/>
      <c r="E47" s="51"/>
      <c r="F47" s="49"/>
      <c r="G47" s="64"/>
      <c r="H47" s="6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62"/>
      <c r="C48" s="63"/>
      <c r="D48" s="63"/>
      <c r="E48" s="51"/>
      <c r="F48" s="49"/>
      <c r="G48" s="64"/>
      <c r="H48" s="6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62"/>
      <c r="C49" s="63"/>
      <c r="D49" s="63"/>
      <c r="E49" s="51"/>
      <c r="F49" s="49"/>
      <c r="G49" s="64"/>
      <c r="H49" s="6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62"/>
      <c r="C50" s="63"/>
      <c r="D50" s="63"/>
      <c r="E50" s="51"/>
      <c r="F50" s="49"/>
      <c r="G50" s="64"/>
      <c r="H50" s="6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62"/>
      <c r="C51" s="63"/>
      <c r="D51" s="63"/>
      <c r="E51" s="51"/>
      <c r="F51" s="49"/>
      <c r="G51" s="64"/>
      <c r="H51" s="6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62"/>
      <c r="C52" s="63"/>
      <c r="D52" s="63"/>
      <c r="E52" s="51"/>
      <c r="F52" s="49"/>
      <c r="G52" s="64"/>
      <c r="H52" s="6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62"/>
      <c r="C53" s="63"/>
      <c r="D53" s="63"/>
      <c r="E53" s="51"/>
      <c r="F53" s="49"/>
      <c r="G53" s="64"/>
      <c r="H53" s="6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62"/>
      <c r="C54" s="63"/>
      <c r="D54" s="63"/>
      <c r="E54" s="51"/>
      <c r="F54" s="49"/>
      <c r="G54" s="64"/>
      <c r="H54" s="6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3"/>
      <c r="B55" s="62"/>
      <c r="C55" s="63"/>
      <c r="D55" s="63"/>
      <c r="E55" s="51"/>
      <c r="F55" s="49"/>
      <c r="G55" s="64"/>
      <c r="H55" s="6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3"/>
      <c r="B56" s="62"/>
      <c r="C56" s="63"/>
      <c r="D56" s="63"/>
      <c r="E56" s="51"/>
      <c r="F56" s="49"/>
      <c r="G56" s="64"/>
      <c r="H56" s="6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3"/>
      <c r="B57" s="62"/>
      <c r="C57" s="63"/>
      <c r="D57" s="63"/>
      <c r="E57" s="51"/>
      <c r="F57" s="49"/>
      <c r="G57" s="64"/>
      <c r="H57" s="6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3"/>
      <c r="B58" s="62"/>
      <c r="C58" s="63"/>
      <c r="D58" s="63"/>
      <c r="E58" s="51"/>
      <c r="F58" s="49"/>
      <c r="G58" s="64"/>
      <c r="H58" s="6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3"/>
      <c r="B59" s="62"/>
      <c r="C59" s="63"/>
      <c r="D59" s="63"/>
      <c r="E59" s="51"/>
      <c r="F59" s="49"/>
      <c r="G59" s="64"/>
      <c r="H59" s="6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3"/>
      <c r="B60" s="62"/>
      <c r="C60" s="63"/>
      <c r="D60" s="63"/>
      <c r="E60" s="51"/>
      <c r="F60" s="49"/>
      <c r="G60" s="64"/>
      <c r="H60" s="6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3"/>
      <c r="B61" s="62"/>
      <c r="C61" s="63"/>
      <c r="D61" s="63"/>
      <c r="E61" s="51"/>
      <c r="F61" s="49"/>
      <c r="G61" s="64"/>
      <c r="H61" s="6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3"/>
      <c r="B62" s="62"/>
      <c r="C62" s="63"/>
      <c r="D62" s="63"/>
      <c r="E62" s="51"/>
      <c r="F62" s="49"/>
      <c r="G62" s="64"/>
      <c r="H62" s="6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3"/>
      <c r="B63" s="62"/>
      <c r="C63" s="63"/>
      <c r="D63" s="63"/>
      <c r="E63" s="51"/>
      <c r="F63" s="49"/>
      <c r="G63" s="64"/>
      <c r="H63" s="6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62"/>
      <c r="C64" s="63"/>
      <c r="D64" s="63"/>
      <c r="E64" s="51"/>
      <c r="F64" s="49"/>
      <c r="G64" s="64"/>
      <c r="H64" s="6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3"/>
      <c r="B65" s="62"/>
      <c r="C65" s="63"/>
      <c r="D65" s="63"/>
      <c r="E65" s="51"/>
      <c r="F65" s="49"/>
      <c r="G65" s="64"/>
      <c r="H65" s="6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62"/>
      <c r="C66" s="63"/>
      <c r="D66" s="63"/>
      <c r="E66" s="51"/>
      <c r="F66" s="49"/>
      <c r="G66" s="64"/>
      <c r="H66" s="6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62"/>
      <c r="C67" s="63"/>
      <c r="D67" s="63"/>
      <c r="E67" s="51"/>
      <c r="F67" s="49"/>
      <c r="G67" s="64"/>
      <c r="H67" s="6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62"/>
      <c r="C68" s="63"/>
      <c r="D68" s="63"/>
      <c r="E68" s="51"/>
      <c r="F68" s="49"/>
      <c r="G68" s="64"/>
      <c r="H68" s="6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A1:H1"/>
    <mergeCell ref="A2:H2"/>
    <mergeCell ref="A3:H3"/>
    <mergeCell ref="B5:H5"/>
    <mergeCell ref="B6:D6"/>
    <mergeCell ref="E6:F6"/>
    <mergeCell ref="G6:H6"/>
    <mergeCell ref="B7:H7"/>
  </mergeCells>
  <dataValidations>
    <dataValidation type="list" allowBlank="1" sqref="F9:F68">
      <formula1>"Heladera,Freezer,Despensa,Depósito,Estante,Patio,Limpieza"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0"/>
    <col customWidth="1" min="2" max="9" width="21.0"/>
  </cols>
  <sheetData>
    <row r="1" ht="42.0" customHeight="1">
      <c r="A1" s="55" t="s">
        <v>172</v>
      </c>
      <c r="B1" s="18"/>
      <c r="C1" s="18"/>
      <c r="D1" s="18"/>
      <c r="E1" s="18"/>
      <c r="F1" s="18"/>
      <c r="G1" s="18"/>
      <c r="H1" s="18"/>
      <c r="I1" s="19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17" t="s">
        <v>173</v>
      </c>
      <c r="B2" s="18"/>
      <c r="C2" s="18"/>
      <c r="D2" s="18"/>
      <c r="E2" s="18"/>
      <c r="F2" s="18"/>
      <c r="G2" s="18"/>
      <c r="H2" s="18"/>
      <c r="I2" s="1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1.5" customHeight="1">
      <c r="A4" s="3"/>
      <c r="B4" s="65" t="s">
        <v>174</v>
      </c>
      <c r="C4" s="21"/>
      <c r="D4" s="22"/>
      <c r="E4" s="66" t="s">
        <v>175</v>
      </c>
      <c r="F4" s="21"/>
      <c r="G4" s="2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6.0" customHeight="1">
      <c r="A5" s="3"/>
      <c r="B5" s="67">
        <f>COUNTIF(Inventario!H9:H38,"⚠️*")</f>
        <v>10</v>
      </c>
      <c r="C5" s="21"/>
      <c r="D5" s="22"/>
      <c r="E5" s="68">
        <f>SUMIF(B8:B53,"&lt;&gt;",I8:I53)</f>
        <v>110995</v>
      </c>
      <c r="F5" s="21"/>
      <c r="G5" s="2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0" t="s">
        <v>176</v>
      </c>
      <c r="C6" s="21"/>
      <c r="D6" s="21"/>
      <c r="E6" s="21"/>
      <c r="F6" s="21"/>
      <c r="G6" s="21"/>
      <c r="H6" s="21"/>
      <c r="I6" s="2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2.0" customHeight="1">
      <c r="A7" s="3"/>
      <c r="B7" s="61" t="s">
        <v>162</v>
      </c>
      <c r="C7" s="61" t="s">
        <v>70</v>
      </c>
      <c r="D7" s="61" t="s">
        <v>164</v>
      </c>
      <c r="E7" s="61" t="s">
        <v>177</v>
      </c>
      <c r="F7" s="61" t="s">
        <v>178</v>
      </c>
      <c r="G7" s="61" t="s">
        <v>179</v>
      </c>
      <c r="H7" s="61" t="s">
        <v>180</v>
      </c>
      <c r="I7" s="61" t="s">
        <v>181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62" t="str">
        <f>IF(Inventario!E9&lt;=Inventario!G9,'Base de Datos'!B9,"")</f>
        <v>Harina 000</v>
      </c>
      <c r="C8" s="62" t="str">
        <f>IF(Inventario!E9&lt;=Inventario!G9,'Base de Datos'!D9,"")</f>
        <v>Molino Cañuelas</v>
      </c>
      <c r="D8" s="69">
        <f>IF(Inventario!E9&lt;=Inventario!G9,Inventario!E9,"")</f>
        <v>5</v>
      </c>
      <c r="E8" s="69">
        <f>IF(Inventario!E9&lt;=Inventario!G9,Inventario!G9,"")</f>
        <v>6</v>
      </c>
      <c r="F8" s="70">
        <f>IFERROR(IF(Inventario!E9&lt;=Inventario!G9,MAX(CEILING(('Base de Datos'!J9*3-Inventario!E9)/'Base de Datos'!F9,1),1),""),"")</f>
        <v>1</v>
      </c>
      <c r="G8" s="71" t="str">
        <f>IF(Inventario!E9&lt;=Inventario!G9,'Base de Datos'!E9,"")</f>
        <v>bolsa 25 kg</v>
      </c>
      <c r="H8" s="72">
        <f>IF(Inventario!E9&lt;=Inventario!G9,'Base de Datos'!H9,"")</f>
        <v>2800</v>
      </c>
      <c r="I8" s="73">
        <f>IF(AND(F8&lt;&gt;"",H8&lt;&gt;""),F8*H8*'Base de Datos'!F9,"")</f>
        <v>70000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62" t="str">
        <f>IF(Inventario!E11&lt;=Inventario!G11,'Base de Datos'!B11,"")</f>
        <v>Manteca</v>
      </c>
      <c r="C9" s="62" t="str">
        <f>IF(Inventario!E11&lt;=Inventario!G11,'Base de Datos'!D11,"")</f>
        <v>La Serenísima</v>
      </c>
      <c r="D9" s="69">
        <f>IF(Inventario!E11&lt;=Inventario!G11,Inventario!E11,"")</f>
        <v>0.2</v>
      </c>
      <c r="E9" s="69">
        <f>IF(Inventario!E11&lt;=Inventario!G11,Inventario!G11,"")</f>
        <v>2.4</v>
      </c>
      <c r="F9" s="70">
        <f>IFERROR(IF(Inventario!E11&lt;=Inventario!G11,MAX(CEILING(('Base de Datos'!J11*3-Inventario!E11)/'Base de Datos'!F11,1),1),""),"")</f>
        <v>3</v>
      </c>
      <c r="G9" s="71" t="str">
        <f>IF(Inventario!E11&lt;=Inventario!G11,'Base de Datos'!E11,"")</f>
        <v>kg</v>
      </c>
      <c r="H9" s="72">
        <f>IF(Inventario!E11&lt;=Inventario!G11,'Base de Datos'!H11,"")</f>
        <v>2200</v>
      </c>
      <c r="I9" s="73">
        <f>IF(AND(F9&lt;&gt;"",H9&lt;&gt;""),F9*H9*'Base de Datos'!F11,"")</f>
        <v>6600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62" t="str">
        <f>IF(Inventario!E14&lt;=Inventario!G14,'Base de Datos'!B14,"")</f>
        <v>Leche entera</v>
      </c>
      <c r="C10" s="62" t="str">
        <f>IF(Inventario!E14&lt;=Inventario!G14,'Base de Datos'!D14,"")</f>
        <v>La Serenísima</v>
      </c>
      <c r="D10" s="69">
        <f>IF(Inventario!E14&lt;=Inventario!G14,Inventario!E14,"")</f>
        <v>5</v>
      </c>
      <c r="E10" s="69">
        <f>IF(Inventario!E14&lt;=Inventario!G14,Inventario!G14,"")</f>
        <v>6</v>
      </c>
      <c r="F10" s="70">
        <f>IFERROR(IF(Inventario!E14&lt;=Inventario!G14,MAX(CEILING(('Base de Datos'!J14*3-Inventario!E14)/'Base de Datos'!F14,1),1),""),"")</f>
        <v>1</v>
      </c>
      <c r="G10" s="71" t="str">
        <f>IF(Inventario!E14&lt;=Inventario!G14,'Base de Datos'!E14,"")</f>
        <v>litro</v>
      </c>
      <c r="H10" s="72">
        <f>IF(Inventario!E14&lt;=Inventario!G14,'Base de Datos'!H14,"")</f>
        <v>850</v>
      </c>
      <c r="I10" s="73">
        <f>IF(AND(F10&lt;&gt;"",H10&lt;&gt;""),F10*H10*'Base de Datos'!F14,"")</f>
        <v>850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62" t="str">
        <f>IF(Inventario!E15&lt;=Inventario!G15,'Base de Datos'!B15,"")</f>
        <v>Crema de leche</v>
      </c>
      <c r="C11" s="62" t="str">
        <f>IF(Inventario!E15&lt;=Inventario!G15,'Base de Datos'!D15,"")</f>
        <v>La Serenísima</v>
      </c>
      <c r="D11" s="69">
        <f>IF(Inventario!E15&lt;=Inventario!G15,Inventario!E15,"")</f>
        <v>0.3</v>
      </c>
      <c r="E11" s="69">
        <f>IF(Inventario!E15&lt;=Inventario!G15,Inventario!G15,"")</f>
        <v>1.8</v>
      </c>
      <c r="F11" s="70">
        <f>IFERROR(IF(Inventario!E15&lt;=Inventario!G15,MAX(CEILING(('Base de Datos'!J15*3-Inventario!E15)/'Base de Datos'!F15,1),1),""),"")</f>
        <v>2</v>
      </c>
      <c r="G11" s="71" t="str">
        <f>IF(Inventario!E15&lt;=Inventario!G15,'Base de Datos'!E15,"")</f>
        <v>litro</v>
      </c>
      <c r="H11" s="72">
        <f>IF(Inventario!E15&lt;=Inventario!G15,'Base de Datos'!H15,"")</f>
        <v>1600</v>
      </c>
      <c r="I11" s="73">
        <f>IF(AND(F11&lt;&gt;"",H11&lt;&gt;""),F11*H11*'Base de Datos'!F15,"")</f>
        <v>3200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75" customHeight="1">
      <c r="A12" s="3"/>
      <c r="B12" s="62" t="str">
        <f>IF(Inventario!E17&lt;=Inventario!G17,'Base de Datos'!B17,"")</f>
        <v>Queso crema</v>
      </c>
      <c r="C12" s="62" t="str">
        <f>IF(Inventario!E17&lt;=Inventario!G17,'Base de Datos'!D17,"")</f>
        <v>Casancrem</v>
      </c>
      <c r="D12" s="69">
        <f>IF(Inventario!E17&lt;=Inventario!G17,Inventario!E17,"")</f>
        <v>0.8</v>
      </c>
      <c r="E12" s="69">
        <f>IF(Inventario!E17&lt;=Inventario!G17,Inventario!G17,"")</f>
        <v>0.9</v>
      </c>
      <c r="F12" s="70">
        <f>IFERROR(IF(Inventario!E17&lt;=Inventario!G17,MAX(CEILING(('Base de Datos'!J17*3-Inventario!E17)/'Base de Datos'!F17,1),1),""),"")</f>
        <v>1</v>
      </c>
      <c r="G12" s="71" t="str">
        <f>IF(Inventario!E17&lt;=Inventario!G17,'Base de Datos'!E17,"")</f>
        <v>kg</v>
      </c>
      <c r="H12" s="72">
        <f>IF(Inventario!E17&lt;=Inventario!G17,'Base de Datos'!H17,"")</f>
        <v>5200</v>
      </c>
      <c r="I12" s="73">
        <f>IF(AND(F12&lt;&gt;"",H12&lt;&gt;""),F12*H12*'Base de Datos'!F17,"")</f>
        <v>5200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75" customHeight="1">
      <c r="A13" s="3"/>
      <c r="B13" s="62" t="str">
        <f>IF(Inventario!E22&lt;=Inventario!G22,'Base de Datos'!B22,"")</f>
        <v>Vainilla esencia</v>
      </c>
      <c r="C13" s="62" t="str">
        <f>IF(Inventario!E22&lt;=Inventario!G22,'Base de Datos'!D22,"")</f>
        <v>Alicante</v>
      </c>
      <c r="D13" s="69">
        <f>IF(Inventario!E22&lt;=Inventario!G22,Inventario!E22,"")</f>
        <v>0.08</v>
      </c>
      <c r="E13" s="69">
        <f>IF(Inventario!E22&lt;=Inventario!G22,Inventario!G22,"")</f>
        <v>0.09</v>
      </c>
      <c r="F13" s="70">
        <f>IFERROR(IF(Inventario!E22&lt;=Inventario!G22,MAX(CEILING(('Base de Datos'!J22*3-Inventario!E22)/'Base de Datos'!F22,1),1),""),"")</f>
        <v>1</v>
      </c>
      <c r="G13" s="71" t="str">
        <f>IF(Inventario!E22&lt;=Inventario!G22,'Base de Datos'!E22,"")</f>
        <v>frasco 100ml</v>
      </c>
      <c r="H13" s="72">
        <f>IF(Inventario!E22&lt;=Inventario!G22,'Base de Datos'!H22,"")</f>
        <v>650</v>
      </c>
      <c r="I13" s="73">
        <f>IF(AND(F13&lt;&gt;"",H13&lt;&gt;""),F13*H13*'Base de Datos'!F22,"")</f>
        <v>65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75" customHeight="1">
      <c r="A14" s="3"/>
      <c r="B14" s="62" t="str">
        <f>IF(Inventario!E24&lt;=Inventario!G24,'Base de Datos'!B24,"")</f>
        <v>Dulce de leche</v>
      </c>
      <c r="C14" s="62" t="str">
        <f>IF(Inventario!E24&lt;=Inventario!G24,'Base de Datos'!D24,"")</f>
        <v>La Salamandra</v>
      </c>
      <c r="D14" s="69">
        <f>IF(Inventario!E24&lt;=Inventario!G24,Inventario!E24,"")</f>
        <v>2.8</v>
      </c>
      <c r="E14" s="69">
        <f>IF(Inventario!E24&lt;=Inventario!G24,Inventario!G24,"")</f>
        <v>3</v>
      </c>
      <c r="F14" s="70">
        <f>IFERROR(IF(Inventario!E24&lt;=Inventario!G24,MAX(CEILING(('Base de Datos'!J24*3-Inventario!E24)/'Base de Datos'!F24,1),1),""),"")</f>
        <v>1</v>
      </c>
      <c r="G14" s="71" t="str">
        <f>IF(Inventario!E24&lt;=Inventario!G24,'Base de Datos'!E24,"")</f>
        <v>balde 4 kg</v>
      </c>
      <c r="H14" s="72">
        <f>IF(Inventario!E24&lt;=Inventario!G24,'Base de Datos'!H24,"")</f>
        <v>3600</v>
      </c>
      <c r="I14" s="73">
        <f>IF(AND(F14&lt;&gt;"",H14&lt;&gt;""),F14*H14*'Base de Datos'!F24,"")</f>
        <v>14400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75" customHeight="1">
      <c r="A15" s="3"/>
      <c r="B15" s="62" t="str">
        <f>IF(Inventario!E26&lt;=Inventario!G26,'Base de Datos'!B26,"")</f>
        <v>Chocolate cobertura</v>
      </c>
      <c r="C15" s="62" t="str">
        <f>IF(Inventario!E26&lt;=Inventario!G26,'Base de Datos'!D26,"")</f>
        <v>Fenix</v>
      </c>
      <c r="D15" s="69">
        <f>IF(Inventario!E26&lt;=Inventario!G26,Inventario!E26,"")</f>
        <v>0.8</v>
      </c>
      <c r="E15" s="69">
        <f>IF(Inventario!E26&lt;=Inventario!G26,Inventario!G26,"")</f>
        <v>0.9</v>
      </c>
      <c r="F15" s="70">
        <f>IFERROR(IF(Inventario!E26&lt;=Inventario!G26,MAX(CEILING(('Base de Datos'!J26*3-Inventario!E26)/'Base de Datos'!F26,1),1),""),"")</f>
        <v>1</v>
      </c>
      <c r="G15" s="71" t="str">
        <f>IF(Inventario!E26&lt;=Inventario!G26,'Base de Datos'!E26,"")</f>
        <v>kg</v>
      </c>
      <c r="H15" s="72">
        <f>IF(Inventario!E26&lt;=Inventario!G26,'Base de Datos'!H26,"")</f>
        <v>6800</v>
      </c>
      <c r="I15" s="73">
        <f>IF(AND(F15&lt;&gt;"",H15&lt;&gt;""),F15*H15*'Base de Datos'!F26,"")</f>
        <v>6800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3"/>
      <c r="B16" s="62" t="str">
        <f>IF(Inventario!E29&lt;=Inventario!G29,'Base de Datos'!B29,"")</f>
        <v>Carne picada</v>
      </c>
      <c r="C16" s="62" t="str">
        <f>IF(Inventario!E29&lt;=Inventario!G29,'Base de Datos'!D29,"")</f>
        <v>Frigorífico Amor</v>
      </c>
      <c r="D16" s="69">
        <f>IF(Inventario!E29&lt;=Inventario!G29,Inventario!E29,"")</f>
        <v>1.5</v>
      </c>
      <c r="E16" s="69">
        <f>IF(Inventario!E29&lt;=Inventario!G29,Inventario!G29,"")</f>
        <v>1.5</v>
      </c>
      <c r="F16" s="70">
        <f>IFERROR(IF(Inventario!E29&lt;=Inventario!G29,MAX(CEILING(('Base de Datos'!J29*3-Inventario!E29)/'Base de Datos'!F29,1),1),""),"")</f>
        <v>1</v>
      </c>
      <c r="G16" s="71" t="str">
        <f>IF(Inventario!E29&lt;=Inventario!G29,'Base de Datos'!E29,"")</f>
        <v>kg</v>
      </c>
      <c r="H16" s="72">
        <f>IF(Inventario!E29&lt;=Inventario!G29,'Base de Datos'!H29,"")</f>
        <v>3200</v>
      </c>
      <c r="I16" s="73">
        <f>IF(AND(F16&lt;&gt;"",H16&lt;&gt;""),F16*H16*'Base de Datos'!F29,"")</f>
        <v>3200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3"/>
      <c r="B17" s="62" t="str">
        <f>IF(Inventario!E33&lt;=Inventario!G33,'Base de Datos'!B33,"")</f>
        <v>Limón</v>
      </c>
      <c r="C17" s="62" t="str">
        <f>IF(Inventario!E33&lt;=Inventario!G33,'Base de Datos'!D33,"")</f>
        <v>Verdulería Sur</v>
      </c>
      <c r="D17" s="69">
        <f>IF(Inventario!E33&lt;=Inventario!G33,Inventario!E33,"")</f>
        <v>0.4</v>
      </c>
      <c r="E17" s="69">
        <f>IF(Inventario!E33&lt;=Inventario!G33,Inventario!G33,"")</f>
        <v>0.45</v>
      </c>
      <c r="F17" s="70">
        <f>IFERROR(IF(Inventario!E33&lt;=Inventario!G33,MAX(CEILING(('Base de Datos'!J33*3-Inventario!E33)/'Base de Datos'!F33,1),1),""),"")</f>
        <v>1</v>
      </c>
      <c r="G17" s="71" t="str">
        <f>IF(Inventario!E33&lt;=Inventario!G33,'Base de Datos'!E33,"")</f>
        <v>kg</v>
      </c>
      <c r="H17" s="72">
        <f>IF(Inventario!E33&lt;=Inventario!G33,'Base de Datos'!H33,"")</f>
        <v>680</v>
      </c>
      <c r="I17" s="73">
        <f>IF(AND(F17&lt;&gt;"",H17&lt;&gt;""),F17*H17*'Base de Datos'!F33,"")</f>
        <v>680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3"/>
      <c r="B18" s="62" t="str">
        <f>IF(Inventario!E34&lt;=Inventario!G34,'Base de Datos'!B34,"")</f>
        <v/>
      </c>
      <c r="C18" s="62" t="str">
        <f>IF(Inventario!E34&lt;=Inventario!G34,'Base de Datos'!D34,"")</f>
        <v/>
      </c>
      <c r="D18" s="69" t="str">
        <f>IF(Inventario!E34&lt;=Inventario!G34,Inventario!E34,"")</f>
        <v/>
      </c>
      <c r="E18" s="69" t="str">
        <f>IF(Inventario!E34&lt;=Inventario!G34,Inventario!G34,"")</f>
        <v/>
      </c>
      <c r="F18" s="70" t="str">
        <f>IFERROR(IF(Inventario!E34&lt;=Inventario!G34,MAX(CEILING(('Base de Datos'!J34*3-Inventario!E34)/'Base de Datos'!F34,1),1),""),"")</f>
        <v/>
      </c>
      <c r="G18" s="71" t="str">
        <f>IF(Inventario!E34&lt;=Inventario!G34,'Base de Datos'!E34,"")</f>
        <v/>
      </c>
      <c r="H18" s="72" t="str">
        <f>IF(Inventario!E34&lt;=Inventario!G34,'Base de Datos'!H34,"")</f>
        <v/>
      </c>
      <c r="I18" s="73" t="str">
        <f>IF(AND(F18&lt;&gt;"",H18&lt;&gt;""),F18*H18*'Base de Datos'!F34,"")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75" customHeight="1">
      <c r="A19" s="3"/>
      <c r="B19" s="62" t="str">
        <f>IF(Inventario!E35&lt;=Inventario!G35,'Base de Datos'!B35,"")</f>
        <v/>
      </c>
      <c r="C19" s="62" t="str">
        <f>IF(Inventario!E35&lt;=Inventario!G35,'Base de Datos'!D35,"")</f>
        <v/>
      </c>
      <c r="D19" s="69" t="str">
        <f>IF(Inventario!E35&lt;=Inventario!G35,Inventario!E35,"")</f>
        <v/>
      </c>
      <c r="E19" s="69" t="str">
        <f>IF(Inventario!E35&lt;=Inventario!G35,Inventario!G35,"")</f>
        <v/>
      </c>
      <c r="F19" s="70" t="str">
        <f>IFERROR(IF(Inventario!E35&lt;=Inventario!G35,MAX(CEILING(('Base de Datos'!J35*3-Inventario!E35)/'Base de Datos'!F35,1),1),""),"")</f>
        <v/>
      </c>
      <c r="G19" s="71" t="str">
        <f>IF(Inventario!E35&lt;=Inventario!G35,'Base de Datos'!E35,"")</f>
        <v/>
      </c>
      <c r="H19" s="72" t="str">
        <f>IF(Inventario!E35&lt;=Inventario!G35,'Base de Datos'!H35,"")</f>
        <v/>
      </c>
      <c r="I19" s="73" t="str">
        <f>IF(AND(F19&lt;&gt;"",H19&lt;&gt;""),F19*H19*'Base de Datos'!F35,"")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75" customHeight="1">
      <c r="A20" s="3"/>
      <c r="B20" s="62" t="str">
        <f>IF(Inventario!E36&lt;=Inventario!G36,'Base de Datos'!B36,"")</f>
        <v/>
      </c>
      <c r="C20" s="62" t="str">
        <f>IF(Inventario!E36&lt;=Inventario!G36,'Base de Datos'!D36,"")</f>
        <v/>
      </c>
      <c r="D20" s="69" t="str">
        <f>IF(Inventario!E36&lt;=Inventario!G36,Inventario!E36,"")</f>
        <v/>
      </c>
      <c r="E20" s="69" t="str">
        <f>IF(Inventario!E36&lt;=Inventario!G36,Inventario!G36,"")</f>
        <v/>
      </c>
      <c r="F20" s="70" t="str">
        <f>IFERROR(IF(Inventario!E36&lt;=Inventario!G36,MAX(CEILING(('Base de Datos'!J36*3-Inventario!E36)/'Base de Datos'!F36,1),1),""),"")</f>
        <v/>
      </c>
      <c r="G20" s="71" t="str">
        <f>IF(Inventario!E36&lt;=Inventario!G36,'Base de Datos'!E36,"")</f>
        <v/>
      </c>
      <c r="H20" s="72" t="str">
        <f>IF(Inventario!E36&lt;=Inventario!G36,'Base de Datos'!H36,"")</f>
        <v/>
      </c>
      <c r="I20" s="73" t="str">
        <f>IF(AND(F20&lt;&gt;"",H20&lt;&gt;""),F20*H20*'Base de Datos'!F36,"")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75" customHeight="1">
      <c r="A21" s="3"/>
      <c r="B21" s="62" t="str">
        <f>IF(Inventario!E37&lt;=Inventario!G37,'Base de Datos'!B37,"")</f>
        <v/>
      </c>
      <c r="C21" s="62" t="str">
        <f>IF(Inventario!E37&lt;=Inventario!G37,'Base de Datos'!D37,"")</f>
        <v/>
      </c>
      <c r="D21" s="69" t="str">
        <f>IF(Inventario!E37&lt;=Inventario!G37,Inventario!E37,"")</f>
        <v/>
      </c>
      <c r="E21" s="69" t="str">
        <f>IF(Inventario!E37&lt;=Inventario!G37,Inventario!G37,"")</f>
        <v/>
      </c>
      <c r="F21" s="70" t="str">
        <f>IFERROR(IF(Inventario!E37&lt;=Inventario!G37,MAX(CEILING(('Base de Datos'!J37*3-Inventario!E37)/'Base de Datos'!F37,1),1),""),"")</f>
        <v/>
      </c>
      <c r="G21" s="71" t="str">
        <f>IF(Inventario!E37&lt;=Inventario!G37,'Base de Datos'!E37,"")</f>
        <v/>
      </c>
      <c r="H21" s="72" t="str">
        <f>IF(Inventario!E37&lt;=Inventario!G37,'Base de Datos'!H37,"")</f>
        <v/>
      </c>
      <c r="I21" s="73" t="str">
        <f>IF(AND(F21&lt;&gt;"",H21&lt;&gt;""),F21*H21*'Base de Datos'!F37,"")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75" customHeight="1">
      <c r="A22" s="3"/>
      <c r="B22" s="62" t="str">
        <f>IF(Inventario!E38&lt;=Inventario!G38,'Base de Datos'!B38,"")</f>
        <v/>
      </c>
      <c r="C22" s="62" t="str">
        <f>IF(Inventario!E38&lt;=Inventario!G38,'Base de Datos'!D38,"")</f>
        <v/>
      </c>
      <c r="D22" s="69" t="str">
        <f>IF(Inventario!E38&lt;=Inventario!G38,Inventario!E38,"")</f>
        <v/>
      </c>
      <c r="E22" s="69" t="str">
        <f>IF(Inventario!E38&lt;=Inventario!G38,Inventario!G38,"")</f>
        <v/>
      </c>
      <c r="F22" s="70" t="str">
        <f>IFERROR(IF(Inventario!E38&lt;=Inventario!G38,MAX(CEILING(('Base de Datos'!J38*3-Inventario!E38)/'Base de Datos'!F38,1),1),""),"")</f>
        <v/>
      </c>
      <c r="G22" s="71" t="str">
        <f>IF(Inventario!E38&lt;=Inventario!G38,'Base de Datos'!E38,"")</f>
        <v/>
      </c>
      <c r="H22" s="72" t="str">
        <f>IF(Inventario!E38&lt;=Inventario!G38,'Base de Datos'!H38,"")</f>
        <v/>
      </c>
      <c r="I22" s="73" t="str">
        <f>IF(AND(F22&lt;&gt;"",H22&lt;&gt;""),F22*H22*'Base de Datos'!F38,"")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3"/>
      <c r="B23" s="62"/>
      <c r="C23" s="62"/>
      <c r="D23" s="69"/>
      <c r="E23" s="69"/>
      <c r="F23" s="70"/>
      <c r="G23" s="71"/>
      <c r="H23" s="72"/>
      <c r="I23" s="7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3"/>
      <c r="B24" s="62"/>
      <c r="C24" s="62"/>
      <c r="D24" s="69"/>
      <c r="E24" s="69"/>
      <c r="F24" s="70"/>
      <c r="G24" s="71"/>
      <c r="H24" s="72"/>
      <c r="I24" s="7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75" customHeight="1">
      <c r="A25" s="3"/>
      <c r="B25" s="62"/>
      <c r="C25" s="62"/>
      <c r="D25" s="69"/>
      <c r="E25" s="69"/>
      <c r="F25" s="70"/>
      <c r="G25" s="71"/>
      <c r="H25" s="72"/>
      <c r="I25" s="7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75" customHeight="1">
      <c r="A26" s="3"/>
      <c r="B26" s="62"/>
      <c r="C26" s="62"/>
      <c r="D26" s="69"/>
      <c r="E26" s="69"/>
      <c r="F26" s="70"/>
      <c r="G26" s="71"/>
      <c r="H26" s="72"/>
      <c r="I26" s="7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75" customHeight="1">
      <c r="A27" s="3"/>
      <c r="B27" s="62"/>
      <c r="C27" s="62"/>
      <c r="D27" s="69"/>
      <c r="E27" s="69"/>
      <c r="F27" s="70"/>
      <c r="G27" s="71"/>
      <c r="H27" s="72"/>
      <c r="I27" s="7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75" customHeight="1">
      <c r="A28" s="3"/>
      <c r="B28" s="62"/>
      <c r="C28" s="62"/>
      <c r="D28" s="69"/>
      <c r="E28" s="69"/>
      <c r="F28" s="70"/>
      <c r="G28" s="71"/>
      <c r="H28" s="72"/>
      <c r="I28" s="7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75" customHeight="1">
      <c r="A29" s="3"/>
      <c r="B29" s="62"/>
      <c r="C29" s="62"/>
      <c r="D29" s="69"/>
      <c r="E29" s="69"/>
      <c r="F29" s="70"/>
      <c r="G29" s="71"/>
      <c r="H29" s="72"/>
      <c r="I29" s="7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75" customHeight="1">
      <c r="A30" s="3"/>
      <c r="B30" s="62"/>
      <c r="C30" s="62"/>
      <c r="D30" s="69"/>
      <c r="E30" s="69"/>
      <c r="F30" s="70"/>
      <c r="G30" s="71"/>
      <c r="H30" s="72"/>
      <c r="I30" s="7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75" customHeight="1">
      <c r="A31" s="3"/>
      <c r="B31" s="62"/>
      <c r="C31" s="62"/>
      <c r="D31" s="69"/>
      <c r="E31" s="69"/>
      <c r="F31" s="70"/>
      <c r="G31" s="71"/>
      <c r="H31" s="72"/>
      <c r="I31" s="7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75" customHeight="1">
      <c r="A32" s="3"/>
      <c r="B32" s="62"/>
      <c r="C32" s="62"/>
      <c r="D32" s="69"/>
      <c r="E32" s="69"/>
      <c r="F32" s="70"/>
      <c r="G32" s="71"/>
      <c r="H32" s="72"/>
      <c r="I32" s="7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75" customHeight="1">
      <c r="A33" s="3"/>
      <c r="B33" s="62"/>
      <c r="C33" s="62"/>
      <c r="D33" s="69"/>
      <c r="E33" s="69"/>
      <c r="F33" s="70"/>
      <c r="G33" s="71"/>
      <c r="H33" s="72"/>
      <c r="I33" s="7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62"/>
      <c r="C34" s="62"/>
      <c r="D34" s="69"/>
      <c r="E34" s="69"/>
      <c r="F34" s="70"/>
      <c r="G34" s="71"/>
      <c r="H34" s="72"/>
      <c r="I34" s="7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62"/>
      <c r="C35" s="62"/>
      <c r="D35" s="69"/>
      <c r="E35" s="69"/>
      <c r="F35" s="70"/>
      <c r="G35" s="71"/>
      <c r="H35" s="72"/>
      <c r="I35" s="7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62"/>
      <c r="C36" s="62"/>
      <c r="D36" s="69"/>
      <c r="E36" s="69"/>
      <c r="F36" s="70"/>
      <c r="G36" s="71"/>
      <c r="H36" s="72"/>
      <c r="I36" s="7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62"/>
      <c r="C37" s="62"/>
      <c r="D37" s="69"/>
      <c r="E37" s="69"/>
      <c r="F37" s="70"/>
      <c r="G37" s="71"/>
      <c r="H37" s="72"/>
      <c r="I37" s="7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62"/>
      <c r="C38" s="62"/>
      <c r="D38" s="69"/>
      <c r="E38" s="69"/>
      <c r="F38" s="70"/>
      <c r="G38" s="71"/>
      <c r="H38" s="72"/>
      <c r="I38" s="7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1.75" customHeight="1">
      <c r="A39" s="3"/>
      <c r="B39" s="62"/>
      <c r="C39" s="62"/>
      <c r="D39" s="69"/>
      <c r="E39" s="69"/>
      <c r="F39" s="70"/>
      <c r="G39" s="71"/>
      <c r="H39" s="72"/>
      <c r="I39" s="7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62"/>
      <c r="C40" s="62"/>
      <c r="D40" s="69"/>
      <c r="E40" s="69"/>
      <c r="F40" s="70"/>
      <c r="G40" s="71"/>
      <c r="H40" s="72"/>
      <c r="I40" s="7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1.75" customHeight="1">
      <c r="A41" s="3"/>
      <c r="B41" s="62"/>
      <c r="C41" s="62"/>
      <c r="D41" s="69"/>
      <c r="E41" s="69"/>
      <c r="F41" s="70"/>
      <c r="G41" s="71"/>
      <c r="H41" s="72"/>
      <c r="I41" s="7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62"/>
      <c r="C42" s="62"/>
      <c r="D42" s="69"/>
      <c r="E42" s="69"/>
      <c r="F42" s="70"/>
      <c r="G42" s="71"/>
      <c r="H42" s="72"/>
      <c r="I42" s="7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1.75" customHeight="1">
      <c r="A43" s="3"/>
      <c r="B43" s="62"/>
      <c r="C43" s="62"/>
      <c r="D43" s="69"/>
      <c r="E43" s="69"/>
      <c r="F43" s="70"/>
      <c r="G43" s="71"/>
      <c r="H43" s="72"/>
      <c r="I43" s="7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1.75" customHeight="1">
      <c r="A44" s="3"/>
      <c r="B44" s="62"/>
      <c r="C44" s="62"/>
      <c r="D44" s="69"/>
      <c r="E44" s="69"/>
      <c r="F44" s="70"/>
      <c r="G44" s="71"/>
      <c r="H44" s="72"/>
      <c r="I44" s="7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62"/>
      <c r="C45" s="62"/>
      <c r="D45" s="69"/>
      <c r="E45" s="69"/>
      <c r="F45" s="70"/>
      <c r="G45" s="71"/>
      <c r="H45" s="72"/>
      <c r="I45" s="7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62"/>
      <c r="C46" s="62"/>
      <c r="D46" s="69"/>
      <c r="E46" s="69"/>
      <c r="F46" s="70"/>
      <c r="G46" s="71"/>
      <c r="H46" s="72"/>
      <c r="I46" s="7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75" customHeight="1">
      <c r="A47" s="3"/>
      <c r="B47" s="62"/>
      <c r="C47" s="62"/>
      <c r="D47" s="69"/>
      <c r="E47" s="69"/>
      <c r="F47" s="70"/>
      <c r="G47" s="71"/>
      <c r="H47" s="72"/>
      <c r="I47" s="7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1.75" customHeight="1">
      <c r="A48" s="3"/>
      <c r="B48" s="62"/>
      <c r="C48" s="62"/>
      <c r="D48" s="69"/>
      <c r="E48" s="69"/>
      <c r="F48" s="70"/>
      <c r="G48" s="71"/>
      <c r="H48" s="72"/>
      <c r="I48" s="7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1.75" customHeight="1">
      <c r="A49" s="3"/>
      <c r="B49" s="62"/>
      <c r="C49" s="62"/>
      <c r="D49" s="69"/>
      <c r="E49" s="69"/>
      <c r="F49" s="70"/>
      <c r="G49" s="71"/>
      <c r="H49" s="72"/>
      <c r="I49" s="7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1.75" customHeight="1">
      <c r="A50" s="3"/>
      <c r="B50" s="62"/>
      <c r="C50" s="62"/>
      <c r="D50" s="69"/>
      <c r="E50" s="69"/>
      <c r="F50" s="70"/>
      <c r="G50" s="71"/>
      <c r="H50" s="72"/>
      <c r="I50" s="7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1.75" customHeight="1">
      <c r="A51" s="3"/>
      <c r="B51" s="62"/>
      <c r="C51" s="62"/>
      <c r="D51" s="69"/>
      <c r="E51" s="69"/>
      <c r="F51" s="70"/>
      <c r="G51" s="71"/>
      <c r="H51" s="72"/>
      <c r="I51" s="7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62"/>
      <c r="C52" s="62"/>
      <c r="D52" s="69"/>
      <c r="E52" s="69"/>
      <c r="F52" s="70"/>
      <c r="G52" s="71"/>
      <c r="H52" s="72"/>
      <c r="I52" s="7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7.75" customHeight="1">
      <c r="A53" s="3"/>
      <c r="B53" s="74"/>
      <c r="C53" s="21"/>
      <c r="D53" s="21"/>
      <c r="E53" s="21"/>
      <c r="F53" s="21"/>
      <c r="G53" s="21"/>
      <c r="H53" s="22"/>
      <c r="I53" s="7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8" t="s">
        <v>182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</sheetData>
  <mergeCells count="9">
    <mergeCell ref="B53:H53"/>
    <mergeCell ref="B54:I54"/>
    <mergeCell ref="A1:I1"/>
    <mergeCell ref="A2:I2"/>
    <mergeCell ref="B4:D4"/>
    <mergeCell ref="E4:G4"/>
    <mergeCell ref="B5:D5"/>
    <mergeCell ref="E5:G5"/>
    <mergeCell ref="B6:I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8" width="24.29"/>
  </cols>
  <sheetData>
    <row r="1" ht="7.5" customHeight="1">
      <c r="A1" s="54"/>
      <c r="B1" s="18"/>
      <c r="C1" s="18"/>
      <c r="D1" s="18"/>
      <c r="E1" s="18"/>
      <c r="F1" s="18"/>
      <c r="G1" s="18"/>
      <c r="H1" s="1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0" customHeight="1">
      <c r="A2" s="55" t="s">
        <v>183</v>
      </c>
      <c r="B2" s="18"/>
      <c r="C2" s="18"/>
      <c r="D2" s="18"/>
      <c r="E2" s="18"/>
      <c r="F2" s="18"/>
      <c r="G2" s="18"/>
      <c r="H2" s="1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5" customHeight="1">
      <c r="A4" s="3"/>
      <c r="B4" s="26" t="s">
        <v>184</v>
      </c>
      <c r="C4" s="22"/>
      <c r="D4" s="50" t="s">
        <v>185</v>
      </c>
      <c r="E4" s="26" t="s">
        <v>186</v>
      </c>
      <c r="F4" s="22"/>
      <c r="G4" s="76">
        <v>2025.0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0" t="s">
        <v>187</v>
      </c>
      <c r="C6" s="21"/>
      <c r="D6" s="21"/>
      <c r="E6" s="21"/>
      <c r="F6" s="21"/>
      <c r="G6" s="21"/>
      <c r="H6" s="2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6.0" customHeight="1">
      <c r="A7" s="3"/>
      <c r="B7" s="61" t="s">
        <v>188</v>
      </c>
      <c r="C7" s="61" t="s">
        <v>189</v>
      </c>
      <c r="D7" s="61" t="s">
        <v>190</v>
      </c>
      <c r="E7" s="61" t="s">
        <v>191</v>
      </c>
      <c r="F7" s="61" t="s">
        <v>192</v>
      </c>
      <c r="G7" s="61" t="s">
        <v>193</v>
      </c>
      <c r="H7" s="61" t="s">
        <v>194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77" t="s">
        <v>195</v>
      </c>
      <c r="C8" s="62" t="str">
        <f>IF(Configuracion!D6="Restaurante","Ventas salón / mostrador","Pedidos WhatsApp / directos")</f>
        <v>Pedidos WhatsApp / directos</v>
      </c>
      <c r="D8" s="52">
        <v>85000.0</v>
      </c>
      <c r="E8" s="52">
        <v>92000.0</v>
      </c>
      <c r="F8" s="52">
        <v>78000.0</v>
      </c>
      <c r="G8" s="52">
        <v>95000.0</v>
      </c>
      <c r="H8" s="73">
        <f t="shared" ref="H8:H11" si="1">SUM(D8:G8)</f>
        <v>350000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78"/>
      <c r="C9" s="62" t="str">
        <f>IF(Configuracion!D6="Restaurante","Delivery (plataformas)","Catering / eventos")</f>
        <v>Catering / eventos</v>
      </c>
      <c r="D9" s="52">
        <v>45000.0</v>
      </c>
      <c r="E9" s="52">
        <v>0.0</v>
      </c>
      <c r="F9" s="52">
        <v>65000.0</v>
      </c>
      <c r="G9" s="52">
        <v>0.0</v>
      </c>
      <c r="H9" s="73">
        <f t="shared" si="1"/>
        <v>110000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78"/>
      <c r="C10" s="62" t="str">
        <f>IF(Configuracion!D6="Restaurante","Bar / bebidas","Ventas en ferias / mercados")</f>
        <v>Ventas en ferias / mercados</v>
      </c>
      <c r="D10" s="52">
        <v>0.0</v>
      </c>
      <c r="E10" s="52">
        <v>15000.0</v>
      </c>
      <c r="F10" s="52">
        <v>0.0</v>
      </c>
      <c r="G10" s="52">
        <v>22000.0</v>
      </c>
      <c r="H10" s="73">
        <f t="shared" si="1"/>
        <v>37000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79"/>
      <c r="C11" s="62" t="s">
        <v>196</v>
      </c>
      <c r="D11" s="52">
        <v>8000.0</v>
      </c>
      <c r="E11" s="52">
        <v>5000.0</v>
      </c>
      <c r="F11" s="52">
        <v>12000.0</v>
      </c>
      <c r="G11" s="52">
        <v>6000.0</v>
      </c>
      <c r="H11" s="73">
        <f t="shared" si="1"/>
        <v>31000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0" customHeight="1">
      <c r="A12" s="3"/>
      <c r="B12" s="80" t="s">
        <v>197</v>
      </c>
      <c r="C12" s="22"/>
      <c r="D12" s="81">
        <f t="shared" ref="D12:G12" si="2">D8+D9+D10+D11</f>
        <v>138000</v>
      </c>
      <c r="E12" s="81">
        <f t="shared" si="2"/>
        <v>112000</v>
      </c>
      <c r="F12" s="81">
        <f t="shared" si="2"/>
        <v>155000</v>
      </c>
      <c r="G12" s="81">
        <f t="shared" si="2"/>
        <v>123000</v>
      </c>
      <c r="H12" s="82">
        <f>SUM(H8:H11)</f>
        <v>528000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75" customHeight="1">
      <c r="A14" s="3"/>
      <c r="B14" s="83" t="s">
        <v>198</v>
      </c>
      <c r="C14" s="22"/>
      <c r="D14" s="82">
        <f t="shared" ref="D14:H14" si="3">D12</f>
        <v>138000</v>
      </c>
      <c r="E14" s="82">
        <f t="shared" si="3"/>
        <v>112000</v>
      </c>
      <c r="F14" s="82">
        <f t="shared" si="3"/>
        <v>155000</v>
      </c>
      <c r="G14" s="82">
        <f t="shared" si="3"/>
        <v>123000</v>
      </c>
      <c r="H14" s="84">
        <f t="shared" si="3"/>
        <v>528000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75" customHeight="1">
      <c r="A16" s="3"/>
      <c r="B16" s="77" t="s">
        <v>199</v>
      </c>
      <c r="C16" s="62" t="str">
        <f>IF(Configuracion!D6="Restaurante","Proveedores comidas","Ingredientes / materia prima")</f>
        <v>Ingredientes / materia prima</v>
      </c>
      <c r="D16" s="52">
        <v>42000.0</v>
      </c>
      <c r="E16" s="52">
        <v>38000.0</v>
      </c>
      <c r="F16" s="52">
        <v>45000.0</v>
      </c>
      <c r="G16" s="52">
        <v>41000.0</v>
      </c>
      <c r="H16" s="73">
        <f t="shared" ref="H16:H18" si="4">SUM(D16:G16)</f>
        <v>166000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3"/>
      <c r="B17" s="78"/>
      <c r="C17" s="62" t="str">
        <f>IF(Configuracion!D6="Restaurante","Proveedores bebidas","Packaging y materiales")</f>
        <v>Packaging y materiales</v>
      </c>
      <c r="D17" s="52">
        <v>8000.0</v>
      </c>
      <c r="E17" s="52">
        <v>7500.0</v>
      </c>
      <c r="F17" s="52">
        <v>9000.0</v>
      </c>
      <c r="G17" s="52">
        <v>8500.0</v>
      </c>
      <c r="H17" s="73">
        <f t="shared" si="4"/>
        <v>33000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3"/>
      <c r="B18" s="79"/>
      <c r="C18" s="62" t="s">
        <v>200</v>
      </c>
      <c r="D18" s="52">
        <v>3000.0</v>
      </c>
      <c r="E18" s="52">
        <v>2500.0</v>
      </c>
      <c r="F18" s="52">
        <v>3500.0</v>
      </c>
      <c r="G18" s="52">
        <v>2800.0</v>
      </c>
      <c r="H18" s="73">
        <f t="shared" si="4"/>
        <v>11800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0" customHeight="1">
      <c r="A19" s="3"/>
      <c r="B19" s="80" t="s">
        <v>201</v>
      </c>
      <c r="C19" s="22"/>
      <c r="D19" s="81">
        <f t="shared" ref="D19:G19" si="5">D16+D17+D18</f>
        <v>53000</v>
      </c>
      <c r="E19" s="81">
        <f t="shared" si="5"/>
        <v>48000</v>
      </c>
      <c r="F19" s="81">
        <f t="shared" si="5"/>
        <v>57500</v>
      </c>
      <c r="G19" s="81">
        <f t="shared" si="5"/>
        <v>52300</v>
      </c>
      <c r="H19" s="82">
        <f>SUM(H16:H18)</f>
        <v>210800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75" customHeight="1">
      <c r="A21" s="3"/>
      <c r="B21" s="77" t="s">
        <v>202</v>
      </c>
      <c r="C21" s="62" t="str">
        <f>IF(Configuracion!D6="Restaurante","Sueldos empleados","Colaboradores / ayuda")</f>
        <v>Colaboradores / ayuda</v>
      </c>
      <c r="D21" s="52">
        <v>20000.0</v>
      </c>
      <c r="E21" s="52">
        <v>20000.0</v>
      </c>
      <c r="F21" s="52">
        <v>20000.0</v>
      </c>
      <c r="G21" s="52">
        <v>20000.0</v>
      </c>
      <c r="H21" s="73">
        <f t="shared" ref="H21:H23" si="6">SUM(D21:G21)</f>
        <v>80000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75" customHeight="1">
      <c r="A22" s="3"/>
      <c r="B22" s="78"/>
      <c r="C22" s="62" t="s">
        <v>203</v>
      </c>
      <c r="D22" s="52">
        <v>20000.0</v>
      </c>
      <c r="E22" s="52">
        <v>20000.0</v>
      </c>
      <c r="F22" s="52">
        <v>20000.0</v>
      </c>
      <c r="G22" s="52">
        <v>20000.0</v>
      </c>
      <c r="H22" s="73">
        <f t="shared" si="6"/>
        <v>80000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3"/>
      <c r="B23" s="79"/>
      <c r="C23" s="62" t="s">
        <v>204</v>
      </c>
      <c r="D23" s="52">
        <v>0.0</v>
      </c>
      <c r="E23" s="52">
        <v>0.0</v>
      </c>
      <c r="F23" s="52">
        <v>0.0</v>
      </c>
      <c r="G23" s="52">
        <v>0.0</v>
      </c>
      <c r="H23" s="73">
        <f t="shared" si="6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3"/>
      <c r="B24" s="80" t="s">
        <v>205</v>
      </c>
      <c r="C24" s="22"/>
      <c r="D24" s="81">
        <f t="shared" ref="D24:G24" si="7">D21+D22+D23</f>
        <v>40000</v>
      </c>
      <c r="E24" s="81">
        <f t="shared" si="7"/>
        <v>40000</v>
      </c>
      <c r="F24" s="81">
        <f t="shared" si="7"/>
        <v>40000</v>
      </c>
      <c r="G24" s="81">
        <f t="shared" si="7"/>
        <v>40000</v>
      </c>
      <c r="H24" s="82">
        <f>SUM(H21:H23)</f>
        <v>160000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75" customHeight="1">
      <c r="A26" s="3"/>
      <c r="B26" s="77" t="s">
        <v>206</v>
      </c>
      <c r="C26" s="62" t="s">
        <v>207</v>
      </c>
      <c r="D26" s="52">
        <v>0.0</v>
      </c>
      <c r="E26" s="52">
        <v>0.0</v>
      </c>
      <c r="F26" s="52">
        <v>0.0</v>
      </c>
      <c r="G26" s="52">
        <v>0.0</v>
      </c>
      <c r="H26" s="73">
        <f t="shared" ref="H26:H31" si="8">SUM(D26:G26)</f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75" customHeight="1">
      <c r="A27" s="3"/>
      <c r="B27" s="78"/>
      <c r="C27" s="62" t="s">
        <v>208</v>
      </c>
      <c r="D27" s="52">
        <v>8000.0</v>
      </c>
      <c r="E27" s="52">
        <v>0.0</v>
      </c>
      <c r="F27" s="52">
        <v>0.0</v>
      </c>
      <c r="G27" s="52">
        <v>0.0</v>
      </c>
      <c r="H27" s="73">
        <f t="shared" si="8"/>
        <v>8000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75" customHeight="1">
      <c r="A28" s="3"/>
      <c r="B28" s="78"/>
      <c r="C28" s="62" t="s">
        <v>209</v>
      </c>
      <c r="D28" s="52">
        <v>4000.0</v>
      </c>
      <c r="E28" s="52">
        <v>0.0</v>
      </c>
      <c r="F28" s="52">
        <v>0.0</v>
      </c>
      <c r="G28" s="52">
        <v>0.0</v>
      </c>
      <c r="H28" s="73">
        <f t="shared" si="8"/>
        <v>4000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75" customHeight="1">
      <c r="A29" s="3"/>
      <c r="B29" s="78"/>
      <c r="C29" s="62" t="str">
        <f>IF(Configuracion!D6="Restaurante","Contador / asesoría","Plataformas / suscripciones")</f>
        <v>Plataformas / suscripciones</v>
      </c>
      <c r="D29" s="52">
        <v>0.0</v>
      </c>
      <c r="E29" s="52">
        <v>0.0</v>
      </c>
      <c r="F29" s="52">
        <v>0.0</v>
      </c>
      <c r="G29" s="52">
        <v>4500.0</v>
      </c>
      <c r="H29" s="73">
        <f t="shared" si="8"/>
        <v>4500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75" customHeight="1">
      <c r="A30" s="3"/>
      <c r="B30" s="78"/>
      <c r="C30" s="62" t="s">
        <v>210</v>
      </c>
      <c r="D30" s="52">
        <v>5000.0</v>
      </c>
      <c r="E30" s="52">
        <v>0.0</v>
      </c>
      <c r="F30" s="52">
        <v>0.0</v>
      </c>
      <c r="G30" s="52">
        <v>0.0</v>
      </c>
      <c r="H30" s="73">
        <f t="shared" si="8"/>
        <v>5000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75" customHeight="1">
      <c r="A31" s="3"/>
      <c r="B31" s="79"/>
      <c r="C31" s="62" t="s">
        <v>211</v>
      </c>
      <c r="D31" s="52">
        <v>0.0</v>
      </c>
      <c r="E31" s="52">
        <v>0.0</v>
      </c>
      <c r="F31" s="52">
        <v>0.0</v>
      </c>
      <c r="G31" s="52">
        <v>0.0</v>
      </c>
      <c r="H31" s="73">
        <f t="shared" si="8"/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0" customHeight="1">
      <c r="A32" s="3"/>
      <c r="B32" s="80" t="s">
        <v>212</v>
      </c>
      <c r="C32" s="22"/>
      <c r="D32" s="81">
        <f t="shared" ref="D32:G32" si="9">D26+D27+D28+D29+D30+D31</f>
        <v>17000</v>
      </c>
      <c r="E32" s="81">
        <f t="shared" si="9"/>
        <v>0</v>
      </c>
      <c r="F32" s="81">
        <f t="shared" si="9"/>
        <v>0</v>
      </c>
      <c r="G32" s="81">
        <f t="shared" si="9"/>
        <v>4500</v>
      </c>
      <c r="H32" s="82">
        <f>SUM(H26:H31)</f>
        <v>21500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77" t="s">
        <v>213</v>
      </c>
      <c r="C34" s="62" t="s">
        <v>214</v>
      </c>
      <c r="D34" s="52">
        <v>8000.0</v>
      </c>
      <c r="E34" s="52">
        <v>6000.0</v>
      </c>
      <c r="F34" s="52">
        <v>9000.0</v>
      </c>
      <c r="G34" s="52">
        <v>7500.0</v>
      </c>
      <c r="H34" s="73">
        <f t="shared" ref="H34:H37" si="10">SUM(D34:G34)</f>
        <v>30500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78"/>
      <c r="C35" s="62" t="s">
        <v>215</v>
      </c>
      <c r="D35" s="52">
        <v>2000.0</v>
      </c>
      <c r="E35" s="52">
        <v>1500.0</v>
      </c>
      <c r="F35" s="52">
        <v>3000.0</v>
      </c>
      <c r="G35" s="52">
        <v>1000.0</v>
      </c>
      <c r="H35" s="73">
        <f t="shared" si="10"/>
        <v>7500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78"/>
      <c r="C36" s="62" t="s">
        <v>216</v>
      </c>
      <c r="D36" s="52">
        <v>3500.0</v>
      </c>
      <c r="E36" s="52">
        <v>3500.0</v>
      </c>
      <c r="F36" s="52">
        <v>3500.0</v>
      </c>
      <c r="G36" s="52">
        <v>3500.0</v>
      </c>
      <c r="H36" s="73">
        <f t="shared" si="10"/>
        <v>14000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79"/>
      <c r="C37" s="62" t="s">
        <v>217</v>
      </c>
      <c r="D37" s="52">
        <v>1000.0</v>
      </c>
      <c r="E37" s="52">
        <v>800.0</v>
      </c>
      <c r="F37" s="52">
        <v>1200.0</v>
      </c>
      <c r="G37" s="52">
        <v>900.0</v>
      </c>
      <c r="H37" s="73">
        <f t="shared" si="10"/>
        <v>3900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4.0" customHeight="1">
      <c r="A38" s="3"/>
      <c r="B38" s="80" t="s">
        <v>218</v>
      </c>
      <c r="C38" s="22"/>
      <c r="D38" s="81">
        <f t="shared" ref="D38:G38" si="11">D34+D35+D36+D37</f>
        <v>14500</v>
      </c>
      <c r="E38" s="81">
        <f t="shared" si="11"/>
        <v>11800</v>
      </c>
      <c r="F38" s="81">
        <f t="shared" si="11"/>
        <v>16700</v>
      </c>
      <c r="G38" s="81">
        <f t="shared" si="11"/>
        <v>12900</v>
      </c>
      <c r="H38" s="82">
        <f>SUM(H34:H37)</f>
        <v>55900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7.75" customHeight="1">
      <c r="A40" s="3"/>
      <c r="B40" s="85" t="s">
        <v>219</v>
      </c>
      <c r="C40" s="22"/>
      <c r="D40" s="86">
        <f t="shared" ref="D40:H40" si="12">D19+D24+D32+D38</f>
        <v>124500</v>
      </c>
      <c r="E40" s="86">
        <f t="shared" si="12"/>
        <v>99800</v>
      </c>
      <c r="F40" s="86">
        <f t="shared" si="12"/>
        <v>114200</v>
      </c>
      <c r="G40" s="86">
        <f t="shared" si="12"/>
        <v>109700</v>
      </c>
      <c r="H40" s="87">
        <f t="shared" si="12"/>
        <v>448200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1.5" customHeight="1">
      <c r="A42" s="3"/>
      <c r="B42" s="88" t="s">
        <v>220</v>
      </c>
      <c r="C42" s="22"/>
      <c r="D42" s="82">
        <f t="shared" ref="D42:H42" si="13">D14-D40</f>
        <v>13500</v>
      </c>
      <c r="E42" s="82">
        <f t="shared" si="13"/>
        <v>12200</v>
      </c>
      <c r="F42" s="82">
        <f t="shared" si="13"/>
        <v>40800</v>
      </c>
      <c r="G42" s="82">
        <f t="shared" si="13"/>
        <v>13300</v>
      </c>
      <c r="H42" s="75">
        <f t="shared" si="13"/>
        <v>79800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7.75" customHeight="1">
      <c r="A44" s="3"/>
      <c r="B44" s="89" t="str">
        <f>IF(H42=0,"Completa el registro para ver el resultado.",IF(H42&gt;0,"✅ MES POSITIVO — Ganaste $"&amp;TEXT(H42,"#,##0.00")&amp;" este mes.","❌ MES NEGATIVO — Perdiste $"&amp;TEXT(ABS(H42),"#,##0.00")&amp;" — Revisá tus costos."))</f>
        <v>✅ MES POSITIVO — Ganaste $79.800,00 este mes.</v>
      </c>
      <c r="C44" s="21"/>
      <c r="D44" s="21"/>
      <c r="E44" s="21"/>
      <c r="F44" s="21"/>
      <c r="G44" s="21"/>
      <c r="H44" s="2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9">
    <mergeCell ref="A1:H1"/>
    <mergeCell ref="A2:H2"/>
    <mergeCell ref="B4:C4"/>
    <mergeCell ref="E4:F4"/>
    <mergeCell ref="B6:H6"/>
    <mergeCell ref="B12:C12"/>
    <mergeCell ref="B14:C14"/>
    <mergeCell ref="B34:B37"/>
    <mergeCell ref="B38:C38"/>
    <mergeCell ref="B40:C40"/>
    <mergeCell ref="B42:C42"/>
    <mergeCell ref="B44:H44"/>
    <mergeCell ref="B8:B11"/>
    <mergeCell ref="B16:B18"/>
    <mergeCell ref="B19:C19"/>
    <mergeCell ref="B21:B23"/>
    <mergeCell ref="B24:C24"/>
    <mergeCell ref="B26:B31"/>
    <mergeCell ref="B32:C3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16.0"/>
    <col customWidth="1" min="4" max="4" width="18.0"/>
    <col customWidth="1" min="5" max="5" width="4.0"/>
    <col customWidth="1" min="6" max="6" width="26.0"/>
    <col customWidth="1" min="7" max="7" width="18.0"/>
    <col customWidth="1" min="8" max="8" width="16.0"/>
    <col customWidth="1" min="9" max="9" width="18.0"/>
    <col customWidth="1" min="10" max="10" width="16.0"/>
    <col customWidth="1" min="11" max="11" width="2.0"/>
  </cols>
  <sheetData>
    <row r="1" ht="7.5" customHeight="1">
      <c r="A1" s="34" t="s">
        <v>221</v>
      </c>
      <c r="B1" s="12"/>
      <c r="C1" s="12"/>
      <c r="D1" s="12"/>
      <c r="E1" s="12"/>
      <c r="F1" s="12"/>
      <c r="G1" s="12"/>
      <c r="H1" s="1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0" customHeight="1">
      <c r="A2" s="14"/>
      <c r="B2" s="15"/>
      <c r="C2" s="15"/>
      <c r="D2" s="15"/>
      <c r="E2" s="15"/>
      <c r="F2" s="15"/>
      <c r="G2" s="15"/>
      <c r="H2" s="1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17" t="str">
        <f>IF(Configuracion!D6="Restaurante","Adaptado para restaurante — cuánto vender por mes y por día.","Adaptado para emprendimiento — cuántos pedidos necesitas por mes.")</f>
        <v>Adaptado para emprendimiento — cuántos pedidos necesitas por mes.</v>
      </c>
      <c r="B3" s="18"/>
      <c r="C3" s="18"/>
      <c r="D3" s="18"/>
      <c r="E3" s="18"/>
      <c r="F3" s="18"/>
      <c r="G3" s="18"/>
      <c r="H3" s="1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7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0"/>
      <c r="B5" s="20" t="s">
        <v>222</v>
      </c>
      <c r="C5" s="21"/>
      <c r="D5" s="21"/>
      <c r="E5" s="22"/>
      <c r="F5" s="20" t="s">
        <v>223</v>
      </c>
      <c r="G5" s="21"/>
      <c r="H5" s="21"/>
      <c r="I5" s="90"/>
      <c r="J5" s="90"/>
      <c r="K5" s="9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0"/>
      <c r="B6" s="61" t="s">
        <v>189</v>
      </c>
      <c r="C6" s="61" t="s">
        <v>224</v>
      </c>
      <c r="D6" s="92" t="s">
        <v>225</v>
      </c>
      <c r="E6" s="93"/>
      <c r="F6" s="94" t="s">
        <v>226</v>
      </c>
      <c r="G6" s="22"/>
      <c r="H6" s="95">
        <v>0.35</v>
      </c>
      <c r="I6" s="96"/>
      <c r="J6" s="96"/>
      <c r="K6" s="9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0"/>
      <c r="B7" s="62" t="str">
        <f>IF(Configuracion!D6="Restaurante","Alquiler","Alquiler (si aplica)")</f>
        <v>Alquiler (si aplica)</v>
      </c>
      <c r="C7" s="52">
        <v>0.0</v>
      </c>
      <c r="D7" s="97"/>
      <c r="E7" s="22"/>
      <c r="F7" s="94" t="s">
        <v>227</v>
      </c>
      <c r="G7" s="22"/>
      <c r="H7" s="98">
        <v>0.25</v>
      </c>
      <c r="I7" s="99"/>
      <c r="J7" s="99"/>
      <c r="K7" s="30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0"/>
      <c r="B8" s="62" t="str">
        <f>IF(Configuracion!D6="Restaurante","Sueldos empleados","Tu sueldo")</f>
        <v>Tu sueldo</v>
      </c>
      <c r="C8" s="52">
        <v>80000.0</v>
      </c>
      <c r="D8" s="97"/>
      <c r="E8" s="22"/>
      <c r="F8" s="80" t="s">
        <v>228</v>
      </c>
      <c r="G8" s="22"/>
      <c r="H8" s="100">
        <f>IF(AND(H6&gt;0,H7&gt;0),(H6+H7)/2,IF(H6&gt;0,H6,IF(H7&gt;0,H7,"")))</f>
        <v>0.3</v>
      </c>
      <c r="I8" s="30"/>
      <c r="J8" s="30"/>
      <c r="K8" s="30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0" customHeight="1">
      <c r="A9" s="30"/>
      <c r="B9" s="62" t="str">
        <f>IF(Configuracion!D6="Restaurante","Tu sueldo","Luz y gas")</f>
        <v>Luz y gas</v>
      </c>
      <c r="C9" s="52">
        <v>8000.0</v>
      </c>
      <c r="D9" s="97"/>
      <c r="E9" s="22"/>
      <c r="F9" s="30"/>
      <c r="G9" s="30"/>
      <c r="H9" s="30"/>
      <c r="I9" s="30"/>
      <c r="J9" s="30"/>
      <c r="K9" s="30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0"/>
      <c r="B10" s="62" t="str">
        <f>IF(Configuracion!D6="Restaurante","Luz","Internet")</f>
        <v>Internet</v>
      </c>
      <c r="C10" s="52">
        <v>4500.0</v>
      </c>
      <c r="D10" s="97"/>
      <c r="E10" s="22"/>
      <c r="F10" s="94" t="str">
        <f>IF(Configuracion!D6="Restaurante","Ventas / facturación prom. mensual ($):","Facturación promedio mensual ($):")</f>
        <v>Facturación promedio mensual ($):</v>
      </c>
      <c r="G10" s="22"/>
      <c r="H10" s="52">
        <v>520000.0</v>
      </c>
      <c r="I10" s="30"/>
      <c r="J10" s="30"/>
      <c r="K10" s="30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0"/>
      <c r="B11" s="62" t="str">
        <f>IF(Configuracion!D6="Restaurante","Gas","Insumos fijos mensuales")</f>
        <v>Insumos fijos mensuales</v>
      </c>
      <c r="C11" s="52">
        <v>15000.0</v>
      </c>
      <c r="D11" s="97"/>
      <c r="E11" s="22"/>
      <c r="F11" s="94" t="str">
        <f>IF(Configuracion!D6="Restaurante","Cantidad de comensales / ventas por mes:","Cantidad de pedidos por mes:")</f>
        <v>Cantidad de pedidos por mes:</v>
      </c>
      <c r="G11" s="22"/>
      <c r="H11" s="76">
        <v>85.0</v>
      </c>
      <c r="I11" s="30"/>
      <c r="J11" s="30"/>
      <c r="K11" s="30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75" customHeight="1">
      <c r="A12" s="30"/>
      <c r="B12" s="62" t="str">
        <f>IF(Configuracion!D6="Restaurante","Agua","Packaging fijo")</f>
        <v>Packaging fijo</v>
      </c>
      <c r="C12" s="52">
        <v>8000.0</v>
      </c>
      <c r="D12" s="97"/>
      <c r="E12" s="22"/>
      <c r="F12" s="80" t="s">
        <v>229</v>
      </c>
      <c r="G12" s="22"/>
      <c r="H12" s="81">
        <f>IF(AND(H10&gt;0,H11&gt;0),H10/H11,"")</f>
        <v>6117.647059</v>
      </c>
      <c r="I12" s="30"/>
      <c r="J12" s="30"/>
      <c r="K12" s="3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75" customHeight="1">
      <c r="A13" s="30"/>
      <c r="B13" s="62" t="str">
        <f>IF(Configuracion!D6="Restaurante","Internet / teléfono","Marketing")</f>
        <v>Marketing</v>
      </c>
      <c r="C13" s="52">
        <v>12000.0</v>
      </c>
      <c r="D13" s="97"/>
      <c r="E13" s="22"/>
      <c r="F13" s="94" t="s">
        <v>230</v>
      </c>
      <c r="G13" s="22"/>
      <c r="H13" s="52">
        <v>0.0</v>
      </c>
      <c r="I13" s="30"/>
      <c r="J13" s="30"/>
      <c r="K13" s="30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75" customHeight="1">
      <c r="A14" s="30"/>
      <c r="B14" s="62" t="str">
        <f>IF(Configuracion!D6="Restaurante","Seguro","Plataformas/apps")</f>
        <v>Plataformas/apps</v>
      </c>
      <c r="C14" s="52">
        <v>0.0</v>
      </c>
      <c r="D14" s="97"/>
      <c r="E14" s="22"/>
      <c r="F14" s="94" t="str">
        <f>IF(Configuracion!D6="Restaurante","Días de apertura por mes:","Días de venta por mes:")</f>
        <v>Días de venta por mes:</v>
      </c>
      <c r="G14" s="22"/>
      <c r="H14" s="76">
        <v>22.0</v>
      </c>
      <c r="I14" s="30"/>
      <c r="J14" s="30"/>
      <c r="K14" s="30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75" customHeight="1">
      <c r="A15" s="30"/>
      <c r="B15" s="62" t="str">
        <f>IF(Configuracion!D6="Restaurante","Impuestos","Otros")</f>
        <v>Otros</v>
      </c>
      <c r="C15" s="52">
        <v>5000.0</v>
      </c>
      <c r="D15" s="97"/>
      <c r="E15" s="22"/>
      <c r="F15" s="101"/>
      <c r="G15" s="101"/>
      <c r="H15" s="101"/>
      <c r="I15" s="101"/>
      <c r="J15" s="101"/>
      <c r="K15" s="30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75" customHeight="1">
      <c r="A16" s="30"/>
      <c r="B16" s="62" t="str">
        <f>IF(Configuracion!D6="Restaurante","Delivery (abono fijo)","")</f>
        <v/>
      </c>
      <c r="C16" s="52">
        <v>0.0</v>
      </c>
      <c r="D16" s="97"/>
      <c r="E16" s="22"/>
      <c r="F16" s="20" t="s">
        <v>231</v>
      </c>
      <c r="G16" s="21"/>
      <c r="H16" s="21"/>
      <c r="I16" s="90"/>
      <c r="J16" s="90"/>
      <c r="K16" s="9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30"/>
      <c r="B17" s="62" t="str">
        <f>IF(Configuracion!D6="Restaurante","Marketing","")</f>
        <v/>
      </c>
      <c r="C17" s="52">
        <v>0.0</v>
      </c>
      <c r="D17" s="97"/>
      <c r="E17" s="22"/>
      <c r="F17" s="32" t="s">
        <v>232</v>
      </c>
      <c r="G17" s="22"/>
      <c r="H17" s="102">
        <f>IF(AND(H12&gt;0,H8&gt;0),H12*(1-H8)-IF(H13&gt;0,H13,0),"")</f>
        <v>4282.352941</v>
      </c>
      <c r="I17" s="103"/>
      <c r="K17" s="9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30"/>
      <c r="B18" s="62" t="str">
        <f>IF(Configuracion!D6="Restaurante","Contador","")</f>
        <v/>
      </c>
      <c r="C18" s="52">
        <v>0.0</v>
      </c>
      <c r="D18" s="97"/>
      <c r="E18" s="22"/>
      <c r="F18" s="32" t="s">
        <v>233</v>
      </c>
      <c r="G18" s="22"/>
      <c r="H18" s="104">
        <f>IF(AND(H17&lt;&gt;"",H12&gt;0),H17/H12,"")</f>
        <v>0.7</v>
      </c>
      <c r="I18" s="103"/>
      <c r="K18" s="9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75" customHeight="1">
      <c r="A19" s="30"/>
      <c r="B19" s="62" t="str">
        <f>IF(Configuracion!D6="Restaurante","Mantenimiento","")</f>
        <v/>
      </c>
      <c r="C19" s="52">
        <v>0.0</v>
      </c>
      <c r="D19" s="97"/>
      <c r="E19" s="22"/>
      <c r="F19" s="32" t="str">
        <f>IF(Configuracion!D6="Restaurante","Tickets mínimos / mes:","Pedidos mínimos / mes:")</f>
        <v>Pedidos mínimos / mes:</v>
      </c>
      <c r="G19" s="22"/>
      <c r="H19" s="105">
        <f>IF(AND(H17&lt;&gt;"",H17&gt;0,C22&gt;0),CEILING(C22/H17,1),"")</f>
        <v>31</v>
      </c>
      <c r="I19" s="103"/>
      <c r="K19" s="9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75" customHeight="1">
      <c r="A20" s="30"/>
      <c r="B20" s="62" t="str">
        <f>IF(Configuracion!D6="Restaurante","Préstamos","")</f>
        <v/>
      </c>
      <c r="C20" s="52">
        <v>0.0</v>
      </c>
      <c r="D20" s="97"/>
      <c r="E20" s="22"/>
      <c r="F20" s="32" t="s">
        <v>234</v>
      </c>
      <c r="G20" s="22"/>
      <c r="H20" s="102">
        <f>IF(AND(H12&gt;0,H19&lt;&gt;""),H12*H19,"")</f>
        <v>189647.0588</v>
      </c>
      <c r="I20" s="103"/>
      <c r="K20" s="9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5.5" customHeight="1">
      <c r="A21" s="30"/>
      <c r="B21" s="62" t="str">
        <f>IF(Configuracion!D6="Restaurante","Otros","")</f>
        <v/>
      </c>
      <c r="C21" s="52">
        <v>0.0</v>
      </c>
      <c r="D21" s="97"/>
      <c r="E21" s="22"/>
      <c r="F21" s="106" t="str">
        <f>IF(Configuracion!D6="Restaurante","VENTAS NECESARIAS / DÍA:","PEDIDOS NECESARIOS / DÍA:")</f>
        <v>PEDIDOS NECESARIOS / DÍA:</v>
      </c>
      <c r="G21" s="22"/>
      <c r="H21" s="107">
        <f>IF(AND(H19&lt;&gt;"",H14&gt;0),CEILING(H19/H14,1),"")</f>
        <v>2</v>
      </c>
      <c r="I21" s="103"/>
      <c r="K21" s="9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5.5" customHeight="1">
      <c r="A22" s="30"/>
      <c r="B22" s="108" t="s">
        <v>235</v>
      </c>
      <c r="C22" s="109">
        <f>SUM(C7:C21)</f>
        <v>132500</v>
      </c>
      <c r="D22" s="30"/>
      <c r="E22" s="30"/>
      <c r="F22" s="106" t="s">
        <v>236</v>
      </c>
      <c r="G22" s="22"/>
      <c r="H22" s="110">
        <f>IF(AND(H12&gt;0,H21&lt;&gt;""),H12*H21,"")</f>
        <v>12235.29412</v>
      </c>
      <c r="I22" s="103"/>
      <c r="K22" s="9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30"/>
      <c r="B23" s="30"/>
      <c r="C23" s="30"/>
      <c r="D23" s="30"/>
      <c r="E23" s="30"/>
      <c r="F23" s="111" t="str">
        <f>IF(H21="","Completá los datos para calcular el punto de equilibrio.",IF(H21&gt;0,"✅ Calculado — necesitás "&amp;TEXT(H21,"#,##0")&amp;" ventas/día para cubrir tus gastos.","⚠️ Revisá los datos ingresados."))</f>
        <v>✅ Calculado — necesitás 2 ventas/día para cubrir tus gastos.</v>
      </c>
      <c r="G23" s="21"/>
      <c r="H23" s="21"/>
      <c r="I23" s="112"/>
      <c r="J23" s="112"/>
      <c r="K23" s="9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30"/>
      <c r="B24" s="113"/>
      <c r="C24" s="18"/>
      <c r="D24" s="18"/>
      <c r="E24" s="19"/>
      <c r="F24" s="99"/>
      <c r="G24" s="99"/>
      <c r="H24" s="99"/>
      <c r="I24" s="99"/>
      <c r="J24" s="99"/>
      <c r="K24" s="30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75" customHeight="1">
      <c r="A25" s="30"/>
      <c r="B25" s="114"/>
      <c r="C25" s="115"/>
      <c r="D25" s="116"/>
      <c r="E25" s="19"/>
      <c r="F25" s="30"/>
      <c r="G25" s="30"/>
      <c r="H25" s="30"/>
      <c r="I25" s="30"/>
      <c r="J25" s="30"/>
      <c r="K25" s="30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75" customHeight="1">
      <c r="A26" s="30"/>
      <c r="B26" s="114"/>
      <c r="C26" s="117"/>
      <c r="D26" s="116"/>
      <c r="E26" s="19"/>
      <c r="F26" s="30"/>
      <c r="G26" s="30"/>
      <c r="H26" s="30"/>
      <c r="I26" s="30"/>
      <c r="J26" s="30"/>
      <c r="K26" s="30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75" customHeight="1">
      <c r="A27" s="30"/>
      <c r="B27" s="114"/>
      <c r="C27" s="115"/>
      <c r="D27" s="116"/>
      <c r="E27" s="19"/>
      <c r="F27" s="30"/>
      <c r="G27" s="30"/>
      <c r="H27" s="30"/>
      <c r="I27" s="30"/>
      <c r="J27" s="30"/>
      <c r="K27" s="30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75" customHeight="1">
      <c r="A28" s="30"/>
      <c r="B28" s="114"/>
      <c r="C28" s="53"/>
      <c r="D28" s="116"/>
      <c r="E28" s="19"/>
      <c r="F28" s="30"/>
      <c r="G28" s="30"/>
      <c r="H28" s="30"/>
      <c r="I28" s="30"/>
      <c r="J28" s="30"/>
      <c r="K28" s="30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7.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75" customHeight="1">
      <c r="A30" s="30"/>
      <c r="B30" s="113"/>
      <c r="C30" s="18"/>
      <c r="D30" s="18"/>
      <c r="E30" s="19"/>
      <c r="F30" s="30"/>
      <c r="G30" s="30"/>
      <c r="H30" s="30"/>
      <c r="I30" s="30"/>
      <c r="J30" s="30"/>
      <c r="K30" s="30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4.0" customHeight="1">
      <c r="A31" s="30"/>
      <c r="B31" s="114"/>
      <c r="C31" s="115"/>
      <c r="D31" s="116"/>
      <c r="E31" s="19"/>
      <c r="F31" s="30"/>
      <c r="G31" s="30"/>
      <c r="H31" s="30"/>
      <c r="I31" s="30"/>
      <c r="J31" s="30"/>
      <c r="K31" s="30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0" customHeight="1">
      <c r="A32" s="30"/>
      <c r="B32" s="114"/>
      <c r="C32" s="53"/>
      <c r="D32" s="116"/>
      <c r="E32" s="19"/>
      <c r="F32" s="30"/>
      <c r="G32" s="30"/>
      <c r="H32" s="30"/>
      <c r="I32" s="30"/>
      <c r="J32" s="30"/>
      <c r="K32" s="30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0" customHeight="1">
      <c r="A33" s="30"/>
      <c r="B33" s="114"/>
      <c r="C33" s="115"/>
      <c r="D33" s="116"/>
      <c r="E33" s="19"/>
      <c r="F33" s="30"/>
      <c r="G33" s="30"/>
      <c r="H33" s="30"/>
      <c r="I33" s="30"/>
      <c r="J33" s="30"/>
      <c r="K33" s="30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7.75" customHeight="1">
      <c r="A34" s="30"/>
      <c r="B34" s="114"/>
      <c r="C34" s="53"/>
      <c r="D34" s="116"/>
      <c r="E34" s="19"/>
      <c r="F34" s="30"/>
      <c r="G34" s="30"/>
      <c r="H34" s="30"/>
      <c r="I34" s="30"/>
      <c r="J34" s="30"/>
      <c r="K34" s="30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7.75" customHeight="1">
      <c r="A35" s="30"/>
      <c r="B35" s="114"/>
      <c r="C35" s="115"/>
      <c r="D35" s="116"/>
      <c r="E35" s="19"/>
      <c r="F35" s="30"/>
      <c r="G35" s="30"/>
      <c r="H35" s="30"/>
      <c r="I35" s="30"/>
      <c r="J35" s="30"/>
      <c r="K35" s="30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3">
    <mergeCell ref="A1:H2"/>
    <mergeCell ref="A3:H3"/>
    <mergeCell ref="B5:E5"/>
    <mergeCell ref="F5:H5"/>
    <mergeCell ref="D6:E6"/>
    <mergeCell ref="F6:G6"/>
    <mergeCell ref="F7:G7"/>
    <mergeCell ref="D7:E7"/>
    <mergeCell ref="D8:E8"/>
    <mergeCell ref="F8:G8"/>
    <mergeCell ref="D9:E9"/>
    <mergeCell ref="D10:E10"/>
    <mergeCell ref="F10:G10"/>
    <mergeCell ref="F11:G11"/>
    <mergeCell ref="D11:E11"/>
    <mergeCell ref="D12:E12"/>
    <mergeCell ref="D13:E13"/>
    <mergeCell ref="D14:E14"/>
    <mergeCell ref="D15:E15"/>
    <mergeCell ref="D16:E16"/>
    <mergeCell ref="D17:E17"/>
    <mergeCell ref="I18:J18"/>
    <mergeCell ref="I19:J19"/>
    <mergeCell ref="I20:J20"/>
    <mergeCell ref="I21:J21"/>
    <mergeCell ref="I22:J22"/>
    <mergeCell ref="F12:G12"/>
    <mergeCell ref="F13:G13"/>
    <mergeCell ref="F14:G14"/>
    <mergeCell ref="F16:H16"/>
    <mergeCell ref="F17:G17"/>
    <mergeCell ref="I17:J17"/>
    <mergeCell ref="F18:G18"/>
    <mergeCell ref="D18:E18"/>
    <mergeCell ref="D19:E19"/>
    <mergeCell ref="F19:G19"/>
    <mergeCell ref="D20:E20"/>
    <mergeCell ref="F20:G20"/>
    <mergeCell ref="D21:E21"/>
    <mergeCell ref="F21:G21"/>
    <mergeCell ref="B30:E30"/>
    <mergeCell ref="D31:E31"/>
    <mergeCell ref="D32:E32"/>
    <mergeCell ref="D33:E33"/>
    <mergeCell ref="D34:E34"/>
    <mergeCell ref="D35:E35"/>
    <mergeCell ref="F22:G22"/>
    <mergeCell ref="F23:H23"/>
    <mergeCell ref="B24:E24"/>
    <mergeCell ref="D25:E25"/>
    <mergeCell ref="D26:E26"/>
    <mergeCell ref="D27:E27"/>
    <mergeCell ref="D28:E28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10" width="20.29"/>
    <col customWidth="1" min="11" max="11" width="2.0"/>
  </cols>
  <sheetData>
    <row r="1" ht="7.5" customHeight="1">
      <c r="A1" s="34" t="s">
        <v>237</v>
      </c>
      <c r="B1" s="12"/>
      <c r="C1" s="12"/>
      <c r="D1" s="12"/>
      <c r="E1" s="12"/>
      <c r="F1" s="12"/>
      <c r="G1" s="12"/>
      <c r="H1" s="12"/>
      <c r="I1" s="12"/>
      <c r="J1" s="1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0" customHeight="1">
      <c r="A2" s="14"/>
      <c r="B2" s="15"/>
      <c r="C2" s="15"/>
      <c r="D2" s="15"/>
      <c r="E2" s="15"/>
      <c r="F2" s="15"/>
      <c r="G2" s="15"/>
      <c r="H2" s="15"/>
      <c r="I2" s="15"/>
      <c r="J2" s="1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17" t="s">
        <v>238</v>
      </c>
      <c r="B3" s="18"/>
      <c r="C3" s="18"/>
      <c r="D3" s="18"/>
      <c r="E3" s="18"/>
      <c r="F3" s="18"/>
      <c r="G3" s="18"/>
      <c r="H3" s="18"/>
      <c r="I3" s="18"/>
      <c r="J3" s="19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7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.5" customHeight="1">
      <c r="A5" s="30"/>
      <c r="B5" s="118"/>
      <c r="C5" s="58"/>
      <c r="D5" s="58"/>
      <c r="E5" s="58"/>
      <c r="F5" s="58"/>
      <c r="G5" s="58"/>
      <c r="H5" s="58"/>
      <c r="I5" s="58"/>
      <c r="J5" s="59"/>
      <c r="K5" s="30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0"/>
      <c r="B6" s="20" t="s">
        <v>239</v>
      </c>
      <c r="C6" s="21"/>
      <c r="D6" s="21"/>
      <c r="E6" s="21"/>
      <c r="F6" s="21"/>
      <c r="G6" s="21"/>
      <c r="H6" s="21"/>
      <c r="I6" s="21"/>
      <c r="J6" s="22"/>
      <c r="K6" s="30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0"/>
      <c r="B7" s="26" t="s">
        <v>240</v>
      </c>
      <c r="C7" s="21"/>
      <c r="D7" s="21"/>
      <c r="E7" s="22"/>
      <c r="F7" s="119">
        <f>Configuracion!D11</f>
        <v>0.21</v>
      </c>
      <c r="G7" s="30"/>
      <c r="H7" s="30"/>
      <c r="I7" s="30"/>
      <c r="J7" s="30"/>
      <c r="K7" s="30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0"/>
      <c r="B8" s="26" t="s">
        <v>241</v>
      </c>
      <c r="C8" s="21"/>
      <c r="D8" s="21"/>
      <c r="E8" s="22"/>
      <c r="F8" s="119">
        <f>Configuracion!D9</f>
        <v>0.65</v>
      </c>
      <c r="G8" s="30"/>
      <c r="H8" s="30"/>
      <c r="I8" s="30"/>
      <c r="J8" s="30"/>
      <c r="K8" s="30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7.5" customHeight="1">
      <c r="A9" s="30"/>
      <c r="B9" s="118"/>
      <c r="C9" s="58"/>
      <c r="D9" s="58"/>
      <c r="E9" s="59"/>
      <c r="F9" s="117"/>
      <c r="G9" s="30"/>
      <c r="H9" s="30"/>
      <c r="I9" s="30"/>
      <c r="J9" s="30"/>
      <c r="K9" s="30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0"/>
      <c r="B10" s="20" t="s">
        <v>242</v>
      </c>
      <c r="C10" s="21"/>
      <c r="D10" s="21"/>
      <c r="E10" s="22"/>
      <c r="F10" s="3"/>
      <c r="G10" s="3"/>
      <c r="H10" s="3"/>
      <c r="I10" s="3"/>
      <c r="J10" s="3"/>
      <c r="K10" s="30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6.0" customHeight="1">
      <c r="A11" s="30"/>
      <c r="B11" s="61" t="s">
        <v>243</v>
      </c>
      <c r="C11" s="61" t="s">
        <v>244</v>
      </c>
      <c r="D11" s="61" t="s">
        <v>245</v>
      </c>
      <c r="E11" s="61" t="s">
        <v>246</v>
      </c>
      <c r="F11" s="61" t="s">
        <v>247</v>
      </c>
      <c r="G11" s="61" t="s">
        <v>248</v>
      </c>
      <c r="H11" s="61" t="s">
        <v>249</v>
      </c>
      <c r="I11" s="120" t="s">
        <v>250</v>
      </c>
      <c r="J11" s="121"/>
      <c r="K11" s="30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75" customHeight="1">
      <c r="A12" s="30"/>
      <c r="B12" s="62" t="str">
        <f>'Receta 01'!E5</f>
        <v>Tacos al pastor</v>
      </c>
      <c r="C12" s="52">
        <v>1750.0</v>
      </c>
      <c r="D12" s="52">
        <v>23140.0</v>
      </c>
      <c r="E12" s="122">
        <f t="shared" ref="E12:E31" si="1">IF(D12&gt;0,D12*(1+$F$7),"")</f>
        <v>27999.4</v>
      </c>
      <c r="F12" s="119">
        <f t="shared" ref="F12:F31" si="2">IF(AND(C12&gt;0,D12&gt;0),C12/D12,"")</f>
        <v>0.07562662057</v>
      </c>
      <c r="G12" s="123">
        <f t="shared" ref="G12:G31" si="3">IF(AND(C12&gt;0,D12&gt;0),(D12-C12)/D12,"")</f>
        <v>0.9243733794</v>
      </c>
      <c r="H12" s="122">
        <f t="shared" ref="H12:H31" si="4">IF(AND(C12&gt;0,D12&gt;0),D12-C12,"")</f>
        <v>21390</v>
      </c>
      <c r="I12" s="63" t="str">
        <f t="shared" ref="I12:I31" si="5">IF(G12="","—",IF(G12&gt;=$F$8,"🟢 OK",IF(G12&gt;=$F$8-0.1,"🟡 Ajustar","🔴 Revisar")))</f>
        <v>🟢 OK</v>
      </c>
      <c r="J12" s="30"/>
      <c r="K12" s="3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75" customHeight="1">
      <c r="A13" s="30"/>
      <c r="B13" s="62" t="str">
        <f>'Receta 02'!E5</f>
        <v>Alfajor de maicena</v>
      </c>
      <c r="C13" s="52">
        <v>155.0</v>
      </c>
      <c r="D13" s="52">
        <v>1488.0</v>
      </c>
      <c r="E13" s="122">
        <f t="shared" si="1"/>
        <v>1800.48</v>
      </c>
      <c r="F13" s="119">
        <f t="shared" si="2"/>
        <v>0.1041666667</v>
      </c>
      <c r="G13" s="123">
        <f t="shared" si="3"/>
        <v>0.8958333333</v>
      </c>
      <c r="H13" s="122">
        <f t="shared" si="4"/>
        <v>1333</v>
      </c>
      <c r="I13" s="63" t="str">
        <f t="shared" si="5"/>
        <v>🟢 OK</v>
      </c>
      <c r="J13" s="48"/>
      <c r="K13" s="30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75" customHeight="1">
      <c r="A14" s="30"/>
      <c r="B14" s="62" t="str">
        <f>'Receta 03'!E5</f>
        <v>Cheesecake NY</v>
      </c>
      <c r="C14" s="52">
        <v>650.0</v>
      </c>
      <c r="D14" s="52">
        <v>6198.0</v>
      </c>
      <c r="E14" s="122">
        <f t="shared" si="1"/>
        <v>7499.58</v>
      </c>
      <c r="F14" s="119">
        <f t="shared" si="2"/>
        <v>0.1048725395</v>
      </c>
      <c r="G14" s="123">
        <f t="shared" si="3"/>
        <v>0.8951274605</v>
      </c>
      <c r="H14" s="122">
        <f t="shared" si="4"/>
        <v>5548</v>
      </c>
      <c r="I14" s="124" t="str">
        <f t="shared" si="5"/>
        <v>🟢 OK</v>
      </c>
      <c r="J14" s="125"/>
      <c r="K14" s="30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75" customHeight="1">
      <c r="A15" s="30"/>
      <c r="B15" s="62" t="str">
        <f>'Receta 04'!E5</f>
        <v>Medialuna de manteca</v>
      </c>
      <c r="C15" s="52">
        <v>95.0</v>
      </c>
      <c r="D15" s="52">
        <v>744.0</v>
      </c>
      <c r="E15" s="122">
        <f t="shared" si="1"/>
        <v>900.24</v>
      </c>
      <c r="F15" s="119">
        <f t="shared" si="2"/>
        <v>0.127688172</v>
      </c>
      <c r="G15" s="123">
        <f t="shared" si="3"/>
        <v>0.872311828</v>
      </c>
      <c r="H15" s="122">
        <f t="shared" si="4"/>
        <v>649</v>
      </c>
      <c r="I15" s="124" t="str">
        <f t="shared" si="5"/>
        <v>🟢 OK</v>
      </c>
      <c r="J15" s="125"/>
      <c r="K15" s="30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75" customHeight="1">
      <c r="A16" s="30"/>
      <c r="B16" s="62" t="str">
        <f>'Receta 05'!E5</f>
        <v>Brownie de chocolate</v>
      </c>
      <c r="C16" s="52">
        <v>110.0</v>
      </c>
      <c r="D16" s="52">
        <v>992.0</v>
      </c>
      <c r="E16" s="122">
        <f t="shared" si="1"/>
        <v>1200.32</v>
      </c>
      <c r="F16" s="119">
        <f t="shared" si="2"/>
        <v>0.1108870968</v>
      </c>
      <c r="G16" s="123">
        <f t="shared" si="3"/>
        <v>0.8891129032</v>
      </c>
      <c r="H16" s="122">
        <f t="shared" si="4"/>
        <v>882</v>
      </c>
      <c r="I16" s="124" t="str">
        <f t="shared" si="5"/>
        <v>🟢 OK</v>
      </c>
      <c r="J16" s="125"/>
      <c r="K16" s="30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30"/>
      <c r="B17" s="62" t="str">
        <f>'Receta 06'!E5</f>
        <v>Muffin de vainilla con limón</v>
      </c>
      <c r="C17" s="52">
        <v>85.0</v>
      </c>
      <c r="D17" s="52">
        <v>785.0</v>
      </c>
      <c r="E17" s="122">
        <f t="shared" si="1"/>
        <v>949.85</v>
      </c>
      <c r="F17" s="119">
        <f t="shared" si="2"/>
        <v>0.1082802548</v>
      </c>
      <c r="G17" s="123">
        <f t="shared" si="3"/>
        <v>0.8917197452</v>
      </c>
      <c r="H17" s="122">
        <f t="shared" si="4"/>
        <v>700</v>
      </c>
      <c r="I17" s="124" t="str">
        <f t="shared" si="5"/>
        <v>🟢 OK</v>
      </c>
      <c r="J17" s="125"/>
      <c r="K17" s="30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30"/>
      <c r="B18" s="62" t="str">
        <f>'Receta 07'!E5</f>
        <v>Porción de tarta de ricota</v>
      </c>
      <c r="C18" s="52">
        <v>320.0</v>
      </c>
      <c r="D18" s="52">
        <v>2893.0</v>
      </c>
      <c r="E18" s="122">
        <f t="shared" si="1"/>
        <v>3500.53</v>
      </c>
      <c r="F18" s="119">
        <f t="shared" si="2"/>
        <v>0.1106118216</v>
      </c>
      <c r="G18" s="123">
        <f t="shared" si="3"/>
        <v>0.8893881784</v>
      </c>
      <c r="H18" s="122">
        <f t="shared" si="4"/>
        <v>2573</v>
      </c>
      <c r="I18" s="124" t="str">
        <f t="shared" si="5"/>
        <v>🟢 OK</v>
      </c>
      <c r="J18" s="125"/>
      <c r="K18" s="30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75" customHeight="1">
      <c r="A19" s="30"/>
      <c r="B19" s="62" t="str">
        <f>'Receta 08'!E5</f>
        <v>Cookie de chocolate y nueces</v>
      </c>
      <c r="C19" s="52">
        <v>65.0</v>
      </c>
      <c r="D19" s="52">
        <v>579.0</v>
      </c>
      <c r="E19" s="122">
        <f t="shared" si="1"/>
        <v>700.59</v>
      </c>
      <c r="F19" s="119">
        <f t="shared" si="2"/>
        <v>0.1122625216</v>
      </c>
      <c r="G19" s="123">
        <f t="shared" si="3"/>
        <v>0.8877374784</v>
      </c>
      <c r="H19" s="122">
        <f t="shared" si="4"/>
        <v>514</v>
      </c>
      <c r="I19" s="124" t="str">
        <f t="shared" si="5"/>
        <v>🟢 OK</v>
      </c>
      <c r="J19" s="125"/>
      <c r="K19" s="30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75" customHeight="1">
      <c r="A20" s="30"/>
      <c r="B20" s="62" t="str">
        <f>'Receta 09'!E5</f>
        <v>Pionono relleno de dulce de leche</v>
      </c>
      <c r="C20" s="52">
        <v>1850.0</v>
      </c>
      <c r="D20" s="52">
        <v>18182.0</v>
      </c>
      <c r="E20" s="122">
        <f t="shared" si="1"/>
        <v>22000.22</v>
      </c>
      <c r="F20" s="119">
        <f t="shared" si="2"/>
        <v>0.1017489825</v>
      </c>
      <c r="G20" s="123">
        <f t="shared" si="3"/>
        <v>0.8982510175</v>
      </c>
      <c r="H20" s="122">
        <f t="shared" si="4"/>
        <v>16332</v>
      </c>
      <c r="I20" s="124" t="str">
        <f t="shared" si="5"/>
        <v>🟢 OK</v>
      </c>
      <c r="J20" s="125"/>
      <c r="K20" s="30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75" customHeight="1">
      <c r="A21" s="30"/>
      <c r="B21" s="62" t="str">
        <f>'Receta 10'!E5</f>
        <v>Budín de naranja (por porción)</v>
      </c>
      <c r="C21" s="52">
        <v>145.0</v>
      </c>
      <c r="D21" s="52">
        <v>1322.0</v>
      </c>
      <c r="E21" s="122">
        <f t="shared" si="1"/>
        <v>1599.62</v>
      </c>
      <c r="F21" s="119">
        <f t="shared" si="2"/>
        <v>0.1096822995</v>
      </c>
      <c r="G21" s="123">
        <f t="shared" si="3"/>
        <v>0.8903177005</v>
      </c>
      <c r="H21" s="122">
        <f t="shared" si="4"/>
        <v>1177</v>
      </c>
      <c r="I21" s="124" t="str">
        <f t="shared" si="5"/>
        <v>🟢 OK</v>
      </c>
      <c r="J21" s="125"/>
      <c r="K21" s="30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75" customHeight="1">
      <c r="A22" s="30"/>
      <c r="B22" s="62" t="str">
        <f>'Receta 11'!E5</f>
        <v>Torta helada de dulce de leche (por porción)</v>
      </c>
      <c r="C22" s="52">
        <v>520.0</v>
      </c>
      <c r="D22" s="52">
        <v>5372.0</v>
      </c>
      <c r="E22" s="122">
        <f t="shared" si="1"/>
        <v>6500.12</v>
      </c>
      <c r="F22" s="119">
        <f t="shared" si="2"/>
        <v>0.09679821296</v>
      </c>
      <c r="G22" s="123">
        <f t="shared" si="3"/>
        <v>0.903201787</v>
      </c>
      <c r="H22" s="122">
        <f t="shared" si="4"/>
        <v>4852</v>
      </c>
      <c r="I22" s="124" t="str">
        <f t="shared" si="5"/>
        <v>🟢 OK</v>
      </c>
      <c r="J22" s="125"/>
      <c r="K22" s="30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30"/>
      <c r="B23" s="62" t="str">
        <f>'Receta 12'!E5</f>
        <v>Factura de dulce de leche</v>
      </c>
      <c r="C23" s="52">
        <v>130.0</v>
      </c>
      <c r="D23" s="52">
        <v>1157.0</v>
      </c>
      <c r="E23" s="122">
        <f t="shared" si="1"/>
        <v>1399.97</v>
      </c>
      <c r="F23" s="119">
        <f t="shared" si="2"/>
        <v>0.1123595506</v>
      </c>
      <c r="G23" s="123">
        <f t="shared" si="3"/>
        <v>0.8876404494</v>
      </c>
      <c r="H23" s="122">
        <f t="shared" si="4"/>
        <v>1027</v>
      </c>
      <c r="I23" s="124" t="str">
        <f t="shared" si="5"/>
        <v>🟢 OK</v>
      </c>
      <c r="J23" s="125"/>
      <c r="K23" s="30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30"/>
      <c r="B24" s="62" t="str">
        <f>'Receta 13'!E5</f>
        <v>Tostada francesa con canela</v>
      </c>
      <c r="C24" s="52">
        <v>185.0</v>
      </c>
      <c r="D24" s="52">
        <v>1653.0</v>
      </c>
      <c r="E24" s="122">
        <f t="shared" si="1"/>
        <v>2000.13</v>
      </c>
      <c r="F24" s="119">
        <f t="shared" si="2"/>
        <v>0.1119177253</v>
      </c>
      <c r="G24" s="123">
        <f t="shared" si="3"/>
        <v>0.8880822747</v>
      </c>
      <c r="H24" s="122">
        <f t="shared" si="4"/>
        <v>1468</v>
      </c>
      <c r="I24" s="124" t="str">
        <f t="shared" si="5"/>
        <v>🟢 OK</v>
      </c>
      <c r="J24" s="125"/>
      <c r="K24" s="30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75" customHeight="1">
      <c r="A25" s="30"/>
      <c r="B25" s="62" t="str">
        <f>'Receta 14'!E5</f>
        <v>Porción de bizcochuelo vainilla</v>
      </c>
      <c r="C25" s="52">
        <v>380.0</v>
      </c>
      <c r="D25" s="52">
        <v>3471.0</v>
      </c>
      <c r="E25" s="122">
        <f t="shared" si="1"/>
        <v>4199.91</v>
      </c>
      <c r="F25" s="119">
        <f t="shared" si="2"/>
        <v>0.1094785364</v>
      </c>
      <c r="G25" s="123">
        <f t="shared" si="3"/>
        <v>0.8905214636</v>
      </c>
      <c r="H25" s="122">
        <f t="shared" si="4"/>
        <v>3091</v>
      </c>
      <c r="I25" s="124" t="str">
        <f t="shared" si="5"/>
        <v>🟢 OK</v>
      </c>
      <c r="J25" s="125"/>
      <c r="K25" s="30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75" customHeight="1">
      <c r="A26" s="30"/>
      <c r="B26" s="62" t="str">
        <f>'Receta 15'!E5</f>
        <v>Merengue individual</v>
      </c>
      <c r="C26" s="52">
        <v>35.0</v>
      </c>
      <c r="D26" s="52">
        <v>331.0</v>
      </c>
      <c r="E26" s="122">
        <f t="shared" si="1"/>
        <v>400.51</v>
      </c>
      <c r="F26" s="119">
        <f t="shared" si="2"/>
        <v>0.1057401813</v>
      </c>
      <c r="G26" s="123">
        <f t="shared" si="3"/>
        <v>0.8942598187</v>
      </c>
      <c r="H26" s="122">
        <f t="shared" si="4"/>
        <v>296</v>
      </c>
      <c r="I26" s="124" t="str">
        <f t="shared" si="5"/>
        <v>🟢 OK</v>
      </c>
      <c r="J26" s="125"/>
      <c r="K26" s="30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75" customHeight="1">
      <c r="A27" s="30"/>
      <c r="B27" s="62" t="str">
        <f>'Receta 16'!E5</f>
        <v>Palmerita de canela</v>
      </c>
      <c r="C27" s="52">
        <v>38.0</v>
      </c>
      <c r="D27" s="52">
        <v>372.0</v>
      </c>
      <c r="E27" s="122">
        <f t="shared" si="1"/>
        <v>450.12</v>
      </c>
      <c r="F27" s="119">
        <f t="shared" si="2"/>
        <v>0.1021505376</v>
      </c>
      <c r="G27" s="123">
        <f t="shared" si="3"/>
        <v>0.8978494624</v>
      </c>
      <c r="H27" s="122">
        <f t="shared" si="4"/>
        <v>334</v>
      </c>
      <c r="I27" s="124" t="str">
        <f t="shared" si="5"/>
        <v>🟢 OK</v>
      </c>
      <c r="J27" s="125"/>
      <c r="K27" s="30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75" customHeight="1">
      <c r="A28" s="30"/>
      <c r="B28" s="62" t="str">
        <f>'Receta 17'!E5</f>
        <v>Prepizza individual</v>
      </c>
      <c r="C28" s="52">
        <v>980.0</v>
      </c>
      <c r="D28" s="52">
        <v>7851.0</v>
      </c>
      <c r="E28" s="122">
        <f t="shared" si="1"/>
        <v>9499.71</v>
      </c>
      <c r="F28" s="119">
        <f t="shared" si="2"/>
        <v>0.1248248631</v>
      </c>
      <c r="G28" s="123">
        <f t="shared" si="3"/>
        <v>0.8751751369</v>
      </c>
      <c r="H28" s="122">
        <f t="shared" si="4"/>
        <v>6871</v>
      </c>
      <c r="I28" s="124" t="str">
        <f t="shared" si="5"/>
        <v>🟢 OK</v>
      </c>
      <c r="J28" s="125"/>
      <c r="K28" s="30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75" customHeight="1">
      <c r="A29" s="30"/>
      <c r="B29" s="62" t="str">
        <f>'Receta 18'!E5</f>
        <v>Empanada frita de carne</v>
      </c>
      <c r="C29" s="52">
        <v>120.0</v>
      </c>
      <c r="D29" s="52">
        <v>1074.0</v>
      </c>
      <c r="E29" s="122">
        <f t="shared" si="1"/>
        <v>1299.54</v>
      </c>
      <c r="F29" s="119">
        <f t="shared" si="2"/>
        <v>0.1117318436</v>
      </c>
      <c r="G29" s="123">
        <f t="shared" si="3"/>
        <v>0.8882681564</v>
      </c>
      <c r="H29" s="122">
        <f t="shared" si="4"/>
        <v>954</v>
      </c>
      <c r="I29" s="124" t="str">
        <f t="shared" si="5"/>
        <v>🟢 OK</v>
      </c>
      <c r="J29" s="125"/>
      <c r="K29" s="30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75" customHeight="1">
      <c r="A30" s="30"/>
      <c r="B30" s="62" t="str">
        <f>'Receta 19'!E5</f>
        <v>Porción de banana bread con nueces</v>
      </c>
      <c r="C30" s="52">
        <v>175.0</v>
      </c>
      <c r="D30" s="52">
        <v>1570.0</v>
      </c>
      <c r="E30" s="122">
        <f t="shared" si="1"/>
        <v>1899.7</v>
      </c>
      <c r="F30" s="119">
        <f t="shared" si="2"/>
        <v>0.1114649682</v>
      </c>
      <c r="G30" s="123">
        <f t="shared" si="3"/>
        <v>0.8885350318</v>
      </c>
      <c r="H30" s="122">
        <f t="shared" si="4"/>
        <v>1395</v>
      </c>
      <c r="I30" s="124" t="str">
        <f t="shared" si="5"/>
        <v>🟢 OK</v>
      </c>
      <c r="J30" s="125"/>
      <c r="K30" s="30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75" customHeight="1">
      <c r="A31" s="30"/>
      <c r="B31" s="62" t="str">
        <f>'Receta 20'!E5</f>
        <v>Flan casero con dulce de leche</v>
      </c>
      <c r="C31" s="52">
        <v>195.0</v>
      </c>
      <c r="D31" s="52">
        <v>1736.0</v>
      </c>
      <c r="E31" s="122">
        <f t="shared" si="1"/>
        <v>2100.56</v>
      </c>
      <c r="F31" s="119">
        <f t="shared" si="2"/>
        <v>0.1123271889</v>
      </c>
      <c r="G31" s="123">
        <f t="shared" si="3"/>
        <v>0.8876728111</v>
      </c>
      <c r="H31" s="122">
        <f t="shared" si="4"/>
        <v>1541</v>
      </c>
      <c r="I31" s="124" t="str">
        <f t="shared" si="5"/>
        <v>🟢 OK</v>
      </c>
      <c r="J31" s="125"/>
      <c r="K31" s="30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75" customHeight="1">
      <c r="A32" s="30"/>
      <c r="B32" s="114"/>
      <c r="C32" s="125"/>
      <c r="D32" s="115"/>
      <c r="E32" s="115"/>
      <c r="F32" s="117"/>
      <c r="G32" s="117"/>
      <c r="H32" s="117"/>
      <c r="I32" s="117"/>
      <c r="J32" s="125"/>
      <c r="K32" s="30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75" customHeight="1">
      <c r="A33" s="30"/>
      <c r="B33" s="114"/>
      <c r="C33" s="125"/>
      <c r="D33" s="115"/>
      <c r="E33" s="115"/>
      <c r="F33" s="117"/>
      <c r="G33" s="117"/>
      <c r="H33" s="117"/>
      <c r="I33" s="117"/>
      <c r="J33" s="125"/>
      <c r="K33" s="30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A1:J2"/>
    <mergeCell ref="A3:J3"/>
    <mergeCell ref="B5:J5"/>
    <mergeCell ref="B6:J6"/>
    <mergeCell ref="B7:E7"/>
    <mergeCell ref="B8:E8"/>
    <mergeCell ref="B9:E9"/>
    <mergeCell ref="B10:E10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0"/>
    <col customWidth="1" min="2" max="2" width="26.0"/>
    <col customWidth="1" min="3" max="3" width="14.0"/>
    <col customWidth="1" min="4" max="6" width="12.0"/>
    <col customWidth="1" min="7" max="7" width="10.0"/>
    <col customWidth="1" min="8" max="8" width="14.0"/>
    <col customWidth="1" min="9" max="9" width="17.0"/>
  </cols>
  <sheetData>
    <row r="1" ht="42.0" customHeight="1">
      <c r="A1" s="35"/>
      <c r="B1" s="55" t="s">
        <v>251</v>
      </c>
      <c r="C1" s="18"/>
      <c r="D1" s="18"/>
      <c r="E1" s="18"/>
      <c r="F1" s="18"/>
      <c r="G1" s="18"/>
      <c r="H1" s="18"/>
      <c r="I1" s="19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5"/>
      <c r="B2" s="17" t="s">
        <v>252</v>
      </c>
      <c r="C2" s="18"/>
      <c r="D2" s="18"/>
      <c r="E2" s="18"/>
      <c r="F2" s="18"/>
      <c r="G2" s="18"/>
      <c r="H2" s="18"/>
      <c r="I2" s="1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1.5" customHeight="1">
      <c r="A3" s="3"/>
      <c r="B3" s="126" t="s">
        <v>253</v>
      </c>
      <c r="C3" s="59"/>
      <c r="D3" s="127" t="s">
        <v>254</v>
      </c>
      <c r="E3" s="58"/>
      <c r="F3" s="59"/>
      <c r="G3" s="128" t="s">
        <v>255</v>
      </c>
      <c r="H3" s="58"/>
      <c r="I3" s="5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6.0" customHeight="1">
      <c r="A4" s="3"/>
      <c r="B4" s="129">
        <f>COUNTA(C7:C26)</f>
        <v>20</v>
      </c>
      <c r="C4" s="22"/>
      <c r="D4" s="130">
        <f>IFERROR(AVERAGEIF(F7:F26,"&gt;"&amp;0),"—")</f>
        <v>0.08942688671</v>
      </c>
      <c r="E4" s="21"/>
      <c r="F4" s="22"/>
      <c r="G4" s="131">
        <f>COUNTIF(I7:I26,"*Revisar*")</f>
        <v>1</v>
      </c>
      <c r="H4" s="21"/>
      <c r="I4" s="2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0" t="s">
        <v>256</v>
      </c>
      <c r="C6" s="21"/>
      <c r="D6" s="21"/>
      <c r="E6" s="21"/>
      <c r="F6" s="21"/>
      <c r="G6" s="21"/>
      <c r="H6" s="21"/>
      <c r="I6" s="2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1.5" customHeight="1">
      <c r="A7" s="3"/>
      <c r="B7" s="61" t="s">
        <v>257</v>
      </c>
      <c r="C7" s="61" t="s">
        <v>69</v>
      </c>
      <c r="D7" s="61" t="s">
        <v>258</v>
      </c>
      <c r="E7" s="61" t="s">
        <v>259</v>
      </c>
      <c r="F7" s="61" t="s">
        <v>260</v>
      </c>
      <c r="G7" s="61" t="s">
        <v>261</v>
      </c>
      <c r="H7" s="61" t="s">
        <v>262</v>
      </c>
      <c r="I7" s="61" t="s">
        <v>263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49" t="str">
        <f>'Receta 01'!E5</f>
        <v>Tacos al pastor</v>
      </c>
      <c r="C8" s="132" t="s">
        <v>264</v>
      </c>
      <c r="D8" s="52">
        <v>1750.0</v>
      </c>
      <c r="E8" s="52">
        <v>28000.0</v>
      </c>
      <c r="F8" s="119">
        <f t="shared" ref="F8:F27" si="1">IF(AND(D8&gt;0,E8&gt;0),D8/E8,"")</f>
        <v>0.0625</v>
      </c>
      <c r="G8" s="123">
        <f t="shared" ref="G8:G27" si="2">IF(AND(D8&gt;0,E8&gt;0),(E8-D8)/E8,"")</f>
        <v>0.9375</v>
      </c>
      <c r="H8" s="133">
        <f>'Receta 01'!E10</f>
        <v>46113</v>
      </c>
      <c r="I8" s="63" t="str">
        <f t="shared" ref="I8:I27" si="3">IF(D8=0,"⚪ Sin costear",IF(H8="","⚪ Sin fecha",IF((TODAY()-H8)&gt;90,"🔴 Revisar","🟢 Al día")))</f>
        <v>🟢 Al día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49" t="str">
        <f>'Receta 02'!E5</f>
        <v>Alfajor de maicena</v>
      </c>
      <c r="C9" s="132" t="s">
        <v>265</v>
      </c>
      <c r="D9" s="52">
        <v>155.0</v>
      </c>
      <c r="E9" s="52">
        <v>1800.0</v>
      </c>
      <c r="F9" s="119">
        <f t="shared" si="1"/>
        <v>0.08611111111</v>
      </c>
      <c r="G9" s="123">
        <f t="shared" si="2"/>
        <v>0.9138888889</v>
      </c>
      <c r="H9" s="133">
        <f>'Receta 02'!E10</f>
        <v>46109</v>
      </c>
      <c r="I9" s="63" t="str">
        <f t="shared" si="3"/>
        <v>🟢 Al día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49" t="str">
        <f>'Receta 03'!E5</f>
        <v>Cheesecake NY</v>
      </c>
      <c r="C10" s="132" t="s">
        <v>266</v>
      </c>
      <c r="D10" s="52">
        <v>650.0</v>
      </c>
      <c r="E10" s="52">
        <v>7500.0</v>
      </c>
      <c r="F10" s="119">
        <f t="shared" si="1"/>
        <v>0.08666666667</v>
      </c>
      <c r="G10" s="123">
        <f t="shared" si="2"/>
        <v>0.9133333333</v>
      </c>
      <c r="H10" s="133">
        <f>'Receta 03'!E10</f>
        <v>46117</v>
      </c>
      <c r="I10" s="63" t="str">
        <f t="shared" si="3"/>
        <v>🟢 Al día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49" t="str">
        <f>'Receta 04'!E5</f>
        <v>Medialuna de manteca</v>
      </c>
      <c r="C11" s="132" t="s">
        <v>267</v>
      </c>
      <c r="D11" s="52">
        <v>95.0</v>
      </c>
      <c r="E11" s="52">
        <v>900.0</v>
      </c>
      <c r="F11" s="119">
        <f t="shared" si="1"/>
        <v>0.1055555556</v>
      </c>
      <c r="G11" s="123">
        <f t="shared" si="2"/>
        <v>0.8944444444</v>
      </c>
      <c r="H11" s="133">
        <f>'Receta 04'!E10</f>
        <v>46101</v>
      </c>
      <c r="I11" s="63" t="str">
        <f t="shared" si="3"/>
        <v>🟢 Al día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75" customHeight="1">
      <c r="A12" s="3"/>
      <c r="B12" s="49" t="str">
        <f>'Receta 05'!E5</f>
        <v>Brownie de chocolate</v>
      </c>
      <c r="C12" s="132" t="s">
        <v>268</v>
      </c>
      <c r="D12" s="52">
        <v>110.0</v>
      </c>
      <c r="E12" s="52">
        <v>1200.0</v>
      </c>
      <c r="F12" s="119">
        <f t="shared" si="1"/>
        <v>0.09166666667</v>
      </c>
      <c r="G12" s="123">
        <f t="shared" si="2"/>
        <v>0.9083333333</v>
      </c>
      <c r="H12" s="133">
        <f>'Receta 05'!E10</f>
        <v>46122</v>
      </c>
      <c r="I12" s="63" t="str">
        <f t="shared" si="3"/>
        <v>🟢 Al día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75" customHeight="1">
      <c r="A13" s="3"/>
      <c r="B13" s="49" t="str">
        <f>'Receta 06'!E5</f>
        <v>Muffin de vainilla con limón</v>
      </c>
      <c r="C13" s="132" t="s">
        <v>269</v>
      </c>
      <c r="D13" s="52">
        <v>85.0</v>
      </c>
      <c r="E13" s="52">
        <v>950.0</v>
      </c>
      <c r="F13" s="119">
        <f t="shared" si="1"/>
        <v>0.08947368421</v>
      </c>
      <c r="G13" s="123">
        <f t="shared" si="2"/>
        <v>0.9105263158</v>
      </c>
      <c r="H13" s="133">
        <f>'Receta 06'!E10</f>
        <v>46096</v>
      </c>
      <c r="I13" s="63" t="str">
        <f t="shared" si="3"/>
        <v>🟢 Al día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75" customHeight="1">
      <c r="A14" s="3"/>
      <c r="B14" s="49" t="str">
        <f>'Receta 07'!E5</f>
        <v>Porción de tarta de ricota</v>
      </c>
      <c r="C14" s="132" t="s">
        <v>270</v>
      </c>
      <c r="D14" s="52">
        <v>320.0</v>
      </c>
      <c r="E14" s="52">
        <v>3500.0</v>
      </c>
      <c r="F14" s="119">
        <f t="shared" si="1"/>
        <v>0.09142857143</v>
      </c>
      <c r="G14" s="123">
        <f t="shared" si="2"/>
        <v>0.9085714286</v>
      </c>
      <c r="H14" s="133">
        <f>'Receta 07'!E10</f>
        <v>46114</v>
      </c>
      <c r="I14" s="63" t="str">
        <f t="shared" si="3"/>
        <v>🟢 Al día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75" customHeight="1">
      <c r="A15" s="3"/>
      <c r="B15" s="49" t="str">
        <f>'Receta 08'!E5</f>
        <v>Cookie de chocolate y nueces</v>
      </c>
      <c r="C15" s="132" t="s">
        <v>271</v>
      </c>
      <c r="D15" s="52">
        <v>65.0</v>
      </c>
      <c r="E15" s="52">
        <v>700.0</v>
      </c>
      <c r="F15" s="119">
        <f t="shared" si="1"/>
        <v>0.09285714286</v>
      </c>
      <c r="G15" s="123">
        <f t="shared" si="2"/>
        <v>0.9071428571</v>
      </c>
      <c r="H15" s="133">
        <f>'Receta 08'!E10</f>
        <v>46120</v>
      </c>
      <c r="I15" s="63" t="str">
        <f t="shared" si="3"/>
        <v>🟢 Al día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75" customHeight="1">
      <c r="A16" s="3"/>
      <c r="B16" s="49" t="str">
        <f>'Receta 09'!E5</f>
        <v>Pionono relleno de dulce de leche</v>
      </c>
      <c r="C16" s="132" t="s">
        <v>272</v>
      </c>
      <c r="D16" s="52">
        <v>1850.0</v>
      </c>
      <c r="E16" s="52">
        <v>22000.0</v>
      </c>
      <c r="F16" s="119">
        <f t="shared" si="1"/>
        <v>0.08409090909</v>
      </c>
      <c r="G16" s="123">
        <f t="shared" si="2"/>
        <v>0.9159090909</v>
      </c>
      <c r="H16" s="133">
        <f>'Receta 09'!E10</f>
        <v>46078</v>
      </c>
      <c r="I16" s="63" t="str">
        <f t="shared" si="3"/>
        <v>🟢 Al día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3"/>
      <c r="B17" s="49" t="str">
        <f>'Receta 10'!E5</f>
        <v>Budín de naranja (por porción)</v>
      </c>
      <c r="C17" s="132" t="s">
        <v>273</v>
      </c>
      <c r="D17" s="52">
        <v>145.0</v>
      </c>
      <c r="E17" s="52">
        <v>1600.0</v>
      </c>
      <c r="F17" s="119">
        <f t="shared" si="1"/>
        <v>0.090625</v>
      </c>
      <c r="G17" s="123">
        <f t="shared" si="2"/>
        <v>0.909375</v>
      </c>
      <c r="H17" s="133">
        <f>'Receta 10'!E10</f>
        <v>46111</v>
      </c>
      <c r="I17" s="63" t="str">
        <f t="shared" si="3"/>
        <v>🟢 Al día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3"/>
      <c r="B18" s="49" t="str">
        <f>'Receta 11'!E5</f>
        <v>Torta helada de dulce de leche (por porción)</v>
      </c>
      <c r="C18" s="132" t="s">
        <v>274</v>
      </c>
      <c r="D18" s="52">
        <v>520.0</v>
      </c>
      <c r="E18" s="52">
        <v>6500.0</v>
      </c>
      <c r="F18" s="119">
        <f t="shared" si="1"/>
        <v>0.08</v>
      </c>
      <c r="G18" s="123">
        <f t="shared" si="2"/>
        <v>0.92</v>
      </c>
      <c r="H18" s="133">
        <f>'Receta 11'!E10</f>
        <v>46124</v>
      </c>
      <c r="I18" s="63" t="str">
        <f t="shared" si="3"/>
        <v>🟢 Al día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75" customHeight="1">
      <c r="A19" s="3"/>
      <c r="B19" s="49" t="str">
        <f>'Receta 12'!E5</f>
        <v>Factura de dulce de leche</v>
      </c>
      <c r="C19" s="132" t="s">
        <v>267</v>
      </c>
      <c r="D19" s="52">
        <v>130.0</v>
      </c>
      <c r="E19" s="52">
        <v>1400.0</v>
      </c>
      <c r="F19" s="119">
        <f t="shared" si="1"/>
        <v>0.09285714286</v>
      </c>
      <c r="G19" s="123">
        <f t="shared" si="2"/>
        <v>0.9071428571</v>
      </c>
      <c r="H19" s="133">
        <f>'Receta 12'!E10</f>
        <v>46103</v>
      </c>
      <c r="I19" s="63" t="str">
        <f t="shared" si="3"/>
        <v>🟢 Al día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75" customHeight="1">
      <c r="A20" s="3"/>
      <c r="B20" s="49" t="str">
        <f>'Receta 13'!E5</f>
        <v>Tostada francesa con canela</v>
      </c>
      <c r="C20" s="132" t="s">
        <v>275</v>
      </c>
      <c r="D20" s="52">
        <v>0.0</v>
      </c>
      <c r="E20" s="52">
        <v>0.0</v>
      </c>
      <c r="F20" s="119" t="str">
        <f t="shared" si="1"/>
        <v/>
      </c>
      <c r="G20" s="123" t="str">
        <f t="shared" si="2"/>
        <v/>
      </c>
      <c r="H20" s="133">
        <f>'Receta 13'!E10</f>
        <v>45731</v>
      </c>
      <c r="I20" s="63" t="str">
        <f t="shared" si="3"/>
        <v>⚪ Sin costear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75" customHeight="1">
      <c r="A21" s="3"/>
      <c r="B21" s="49" t="str">
        <f>'Receta 14'!E5</f>
        <v>Porción de bizcochuelo vainilla</v>
      </c>
      <c r="C21" s="132" t="s">
        <v>276</v>
      </c>
      <c r="D21" s="52">
        <v>0.0</v>
      </c>
      <c r="E21" s="52">
        <v>0.0</v>
      </c>
      <c r="F21" s="119" t="str">
        <f t="shared" si="1"/>
        <v/>
      </c>
      <c r="G21" s="123" t="str">
        <f t="shared" si="2"/>
        <v/>
      </c>
      <c r="H21" s="133">
        <f>'Receta 14'!E10</f>
        <v>45736</v>
      </c>
      <c r="I21" s="63" t="str">
        <f t="shared" si="3"/>
        <v>⚪ Sin costear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75" customHeight="1">
      <c r="A22" s="3"/>
      <c r="B22" s="49" t="str">
        <f>'Receta 15'!E5</f>
        <v>Merengue individual</v>
      </c>
      <c r="C22" s="132" t="s">
        <v>277</v>
      </c>
      <c r="D22" s="52">
        <v>0.0</v>
      </c>
      <c r="E22" s="52">
        <v>0.0</v>
      </c>
      <c r="F22" s="119" t="str">
        <f t="shared" si="1"/>
        <v/>
      </c>
      <c r="G22" s="123" t="str">
        <f t="shared" si="2"/>
        <v/>
      </c>
      <c r="H22" s="133">
        <f>'Receta 15'!E10</f>
        <v>45716</v>
      </c>
      <c r="I22" s="63" t="str">
        <f t="shared" si="3"/>
        <v>⚪ Sin costear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3"/>
      <c r="B23" s="49" t="str">
        <f>'Receta 16'!E5</f>
        <v>Palmerita de canela</v>
      </c>
      <c r="C23" s="132" t="s">
        <v>271</v>
      </c>
      <c r="D23" s="52">
        <v>0.0</v>
      </c>
      <c r="E23" s="52">
        <v>0.0</v>
      </c>
      <c r="F23" s="119" t="str">
        <f t="shared" si="1"/>
        <v/>
      </c>
      <c r="G23" s="123" t="str">
        <f t="shared" si="2"/>
        <v/>
      </c>
      <c r="H23" s="133">
        <f>'Receta 16'!E10</f>
        <v>45726</v>
      </c>
      <c r="I23" s="63" t="str">
        <f t="shared" si="3"/>
        <v>⚪ Sin costear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3"/>
      <c r="B24" s="49" t="str">
        <f>'Receta 17'!E5</f>
        <v>Prepizza individual</v>
      </c>
      <c r="C24" s="132" t="s">
        <v>278</v>
      </c>
      <c r="D24" s="52">
        <v>980.0</v>
      </c>
      <c r="E24" s="52">
        <v>9500.0</v>
      </c>
      <c r="F24" s="119">
        <f t="shared" si="1"/>
        <v>0.1031578947</v>
      </c>
      <c r="G24" s="123">
        <f t="shared" si="2"/>
        <v>0.8968421053</v>
      </c>
      <c r="H24" s="133">
        <f>'Receta 17'!E10</f>
        <v>46117</v>
      </c>
      <c r="I24" s="63" t="str">
        <f t="shared" si="3"/>
        <v>🟢 Al día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75" customHeight="1">
      <c r="A25" s="3"/>
      <c r="B25" s="49" t="str">
        <f>'Receta 18'!E5</f>
        <v>Empanada frita de carne</v>
      </c>
      <c r="C25" s="132" t="s">
        <v>279</v>
      </c>
      <c r="D25" s="52">
        <v>120.0</v>
      </c>
      <c r="E25" s="52">
        <v>1300.0</v>
      </c>
      <c r="F25" s="119">
        <f t="shared" si="1"/>
        <v>0.09230769231</v>
      </c>
      <c r="G25" s="123">
        <f t="shared" si="2"/>
        <v>0.9076923077</v>
      </c>
      <c r="H25" s="133">
        <f>'Receta 18'!E10</f>
        <v>46120</v>
      </c>
      <c r="I25" s="63" t="str">
        <f t="shared" si="3"/>
        <v>🟢 Al día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75" customHeight="1">
      <c r="A26" s="3"/>
      <c r="B26" s="49" t="str">
        <f>'Receta 19'!E5</f>
        <v>Porción de banana bread con nueces</v>
      </c>
      <c r="C26" s="132" t="s">
        <v>273</v>
      </c>
      <c r="D26" s="52">
        <v>175.0</v>
      </c>
      <c r="E26" s="52">
        <v>1900.0</v>
      </c>
      <c r="F26" s="119">
        <f t="shared" si="1"/>
        <v>0.09210526316</v>
      </c>
      <c r="G26" s="123">
        <f t="shared" si="2"/>
        <v>0.9078947368</v>
      </c>
      <c r="H26" s="133">
        <f>'Receta 19'!E10</f>
        <v>45744</v>
      </c>
      <c r="I26" s="63" t="str">
        <f t="shared" si="3"/>
        <v>🔴 Revisar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75" customHeight="1">
      <c r="A27" s="3"/>
      <c r="B27" s="49" t="str">
        <f>'Receta 20'!E5</f>
        <v>Flan casero con dulce de leche</v>
      </c>
      <c r="C27" s="132" t="s">
        <v>280</v>
      </c>
      <c r="D27" s="52">
        <v>195.0</v>
      </c>
      <c r="E27" s="52">
        <v>2100.0</v>
      </c>
      <c r="F27" s="119">
        <f t="shared" si="1"/>
        <v>0.09285714286</v>
      </c>
      <c r="G27" s="123">
        <f t="shared" si="2"/>
        <v>0.9071428571</v>
      </c>
      <c r="H27" s="133">
        <f>'Receta 20'!E10</f>
        <v>45750</v>
      </c>
      <c r="I27" s="63" t="str">
        <f t="shared" si="3"/>
        <v>🔴 Revisar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G4:I4"/>
    <mergeCell ref="B6:I6"/>
    <mergeCell ref="B1:I1"/>
    <mergeCell ref="B2:I2"/>
    <mergeCell ref="B3:C3"/>
    <mergeCell ref="D3:F3"/>
    <mergeCell ref="G3:I3"/>
    <mergeCell ref="B4:C4"/>
    <mergeCell ref="D4:F4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0"/>
    <col customWidth="1" min="2" max="2" width="4.14"/>
    <col customWidth="1" min="3" max="3" width="26.0"/>
    <col customWidth="1" min="4" max="4" width="18.86"/>
    <col customWidth="1" min="5" max="5" width="23.0"/>
    <col customWidth="1" min="6" max="6" width="20.71"/>
    <col customWidth="1" min="7" max="7" width="13.43"/>
    <col customWidth="1" min="8" max="9" width="2.0"/>
  </cols>
  <sheetData>
    <row r="1" ht="32.25" customHeight="1">
      <c r="A1" s="134"/>
      <c r="B1" s="135"/>
      <c r="C1" s="136" t="s">
        <v>281</v>
      </c>
      <c r="D1" s="21"/>
      <c r="E1" s="21"/>
      <c r="F1" s="137"/>
      <c r="G1" s="138"/>
      <c r="H1" s="138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.5" customHeight="1">
      <c r="A2" s="134"/>
      <c r="B2" s="139"/>
      <c r="C2" s="134"/>
      <c r="D2" s="134"/>
      <c r="E2" s="134"/>
      <c r="F2" s="134"/>
      <c r="G2" s="134"/>
      <c r="H2" s="13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1.25" customHeight="1">
      <c r="A3" s="134"/>
      <c r="B3" s="139"/>
      <c r="C3" s="140"/>
      <c r="D3" s="140"/>
      <c r="E3" s="140"/>
      <c r="F3" s="140"/>
      <c r="G3" s="140"/>
      <c r="H3" s="14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.5" customHeight="1">
      <c r="A4" s="13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5.5" customHeight="1">
      <c r="A5" s="141" t="s">
        <v>282</v>
      </c>
      <c r="B5" s="3"/>
      <c r="C5" s="142" t="s">
        <v>283</v>
      </c>
      <c r="D5" s="21"/>
      <c r="E5" s="21"/>
      <c r="F5" s="22"/>
      <c r="G5" s="3"/>
      <c r="H5" s="3"/>
      <c r="I5" s="30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143" t="s">
        <v>284</v>
      </c>
      <c r="B6" s="3"/>
      <c r="C6" s="144" t="s">
        <v>285</v>
      </c>
      <c r="D6" s="145" t="s">
        <v>286</v>
      </c>
      <c r="E6" s="21"/>
      <c r="F6" s="22"/>
      <c r="G6" s="30"/>
      <c r="H6" s="30"/>
      <c r="I6" s="30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143" t="s">
        <v>287</v>
      </c>
      <c r="B7" s="3"/>
      <c r="C7" s="146" t="s">
        <v>288</v>
      </c>
      <c r="D7" s="51">
        <v>1000.0</v>
      </c>
      <c r="E7" s="147" t="s">
        <v>289</v>
      </c>
      <c r="F7" s="148">
        <v>820.0</v>
      </c>
      <c r="G7" s="101"/>
      <c r="H7" s="101"/>
      <c r="I7" s="3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143" t="s">
        <v>290</v>
      </c>
      <c r="B8" s="3"/>
      <c r="C8" s="149" t="s">
        <v>291</v>
      </c>
      <c r="D8" s="150">
        <v>0.05</v>
      </c>
      <c r="E8" s="151"/>
      <c r="I8" s="9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143" t="s">
        <v>292</v>
      </c>
      <c r="B9" s="3"/>
      <c r="C9" s="3"/>
      <c r="D9" s="3"/>
      <c r="E9" s="3"/>
      <c r="F9" s="99"/>
      <c r="G9" s="99"/>
      <c r="H9" s="99"/>
      <c r="I9" s="30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75" customHeight="1">
      <c r="A10" s="143" t="s">
        <v>293</v>
      </c>
      <c r="B10" s="3"/>
      <c r="C10" s="61" t="s">
        <v>294</v>
      </c>
      <c r="D10" s="61" t="s">
        <v>295</v>
      </c>
      <c r="E10" s="61" t="s">
        <v>163</v>
      </c>
      <c r="F10" s="61" t="s">
        <v>296</v>
      </c>
      <c r="G10" s="30"/>
      <c r="H10" s="30"/>
      <c r="I10" s="3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143" t="s">
        <v>297</v>
      </c>
      <c r="B11" s="3"/>
      <c r="C11" s="49" t="s">
        <v>98</v>
      </c>
      <c r="D11" s="152">
        <v>800.0</v>
      </c>
      <c r="E11" s="50" t="s">
        <v>298</v>
      </c>
      <c r="F11" s="153">
        <f t="array" ref="F11">IF(OR(C11="",D11=""),"",D11*IFERROR(INDEX('Base de Datos'!$H$9:$H$68/'Base de Datos'!$F$9:$F$68*(1+IF('Base de Datos'!$I$9:$I$68="",0,'Base de Datos'!$I$9:$I$68)),MATCH(C11,'Base de Datos'!$B$9:$B$68,0)),0))</f>
        <v>1020000</v>
      </c>
      <c r="G11" s="30"/>
      <c r="H11" s="30"/>
      <c r="I11" s="3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143" t="s">
        <v>299</v>
      </c>
      <c r="B12" s="3"/>
      <c r="C12" s="49" t="s">
        <v>82</v>
      </c>
      <c r="D12" s="152">
        <v>250.0</v>
      </c>
      <c r="E12" s="50" t="s">
        <v>300</v>
      </c>
      <c r="F12" s="153">
        <f t="array" ref="F12">IF(OR(C12="",D12=""),"",D12*IFERROR(INDEX('Base de Datos'!$H$9:$H$68/'Base de Datos'!$F$9:$F$68*(1+IF('Base de Datos'!$I$9:$I$68="",0,'Base de Datos'!$I$9:$I$68)),MATCH(C12,'Base de Datos'!$B$9:$B$68,0)),0))</f>
        <v>63700</v>
      </c>
      <c r="G12" s="30"/>
      <c r="H12" s="30"/>
      <c r="I12" s="3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143" t="s">
        <v>301</v>
      </c>
      <c r="B13" s="3"/>
      <c r="C13" s="49" t="s">
        <v>86</v>
      </c>
      <c r="D13" s="152">
        <v>20.0</v>
      </c>
      <c r="E13" s="50" t="s">
        <v>300</v>
      </c>
      <c r="F13" s="153">
        <f t="array" ref="F13">IF(OR(C13="",D13=""),"",D13*IFERROR(INDEX('Base de Datos'!$H$9:$H$68/'Base de Datos'!$F$9:$F$68*(1+IF('Base de Datos'!$I$9:$I$68="",0,'Base de Datos'!$I$9:$I$68)),MATCH(C13,'Base de Datos'!$B$9:$B$68,0)),0))</f>
        <v>57200</v>
      </c>
      <c r="G13" s="30"/>
      <c r="H13" s="30"/>
      <c r="I13" s="3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143" t="s">
        <v>302</v>
      </c>
      <c r="B14" s="3"/>
      <c r="C14" s="49"/>
      <c r="D14" s="152"/>
      <c r="E14" s="50"/>
      <c r="F14" s="153" t="str">
        <f t="array" ref="F14">IF(OR(C14="",D14=""),"",D14*IFERROR(INDEX('Base de Datos'!$H$9:$H$68/'Base de Datos'!$F$9:$F$68*(1+IF('Base de Datos'!$I$9:$I$68="",0,'Base de Datos'!$I$9:$I$68)),MATCH(C14,'Base de Datos'!$B$9:$B$68,0)),0))</f>
        <v/>
      </c>
      <c r="G14" s="30"/>
      <c r="H14" s="30"/>
      <c r="I14" s="3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143" t="s">
        <v>303</v>
      </c>
      <c r="B15" s="3"/>
      <c r="C15" s="49"/>
      <c r="D15" s="152"/>
      <c r="E15" s="50"/>
      <c r="F15" s="153" t="str">
        <f t="array" ref="F15">IF(OR(C15="",D15=""),"",D15*IFERROR(INDEX('Base de Datos'!$H$9:$H$68/'Base de Datos'!$F$9:$F$68*(1+IF('Base de Datos'!$I$9:$I$68="",0,'Base de Datos'!$I$9:$I$68)),MATCH(C15,'Base de Datos'!$B$9:$B$68,0)),0))</f>
        <v/>
      </c>
      <c r="G15" s="30"/>
      <c r="H15" s="30"/>
      <c r="I15" s="3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143" t="s">
        <v>304</v>
      </c>
      <c r="B16" s="3"/>
      <c r="C16" s="49"/>
      <c r="D16" s="152"/>
      <c r="E16" s="50"/>
      <c r="F16" s="153" t="str">
        <f t="array" ref="F16">IF(OR(C16="",D16=""),"",D16*IFERROR(INDEX('Base de Datos'!$H$9:$H$68/'Base de Datos'!$F$9:$F$68*(1+IF('Base de Datos'!$I$9:$I$68="",0,'Base de Datos'!$I$9:$I$68)),MATCH(C16,'Base de Datos'!$B$9:$B$68,0)),0))</f>
        <v/>
      </c>
      <c r="G16" s="30"/>
      <c r="H16" s="30"/>
      <c r="I16" s="30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143" t="s">
        <v>305</v>
      </c>
      <c r="B17" s="3"/>
      <c r="C17" s="49"/>
      <c r="D17" s="152"/>
      <c r="E17" s="50"/>
      <c r="F17" s="153" t="str">
        <f t="array" ref="F17">IF(OR(C17="",D17=""),"",D17*IFERROR(INDEX('Base de Datos'!$H$9:$H$68/'Base de Datos'!$F$9:$F$68*(1+IF('Base de Datos'!$I$9:$I$68="",0,'Base de Datos'!$I$9:$I$68)),MATCH(C17,'Base de Datos'!$B$9:$B$68,0)),0))</f>
        <v/>
      </c>
      <c r="G17" s="30"/>
      <c r="H17" s="30"/>
      <c r="I17" s="30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143" t="s">
        <v>306</v>
      </c>
      <c r="B18" s="3"/>
      <c r="C18" s="49"/>
      <c r="D18" s="152"/>
      <c r="E18" s="50"/>
      <c r="F18" s="153" t="str">
        <f t="array" ref="F18">IF(OR(C18="",D18=""),"",D18*IFERROR(INDEX('Base de Datos'!$H$9:$H$68/'Base de Datos'!$F$9:$F$68*(1+IF('Base de Datos'!$I$9:$I$68="",0,'Base de Datos'!$I$9:$I$68)),MATCH(C18,'Base de Datos'!$B$9:$B$68,0)),0))</f>
        <v/>
      </c>
      <c r="G18" s="30"/>
      <c r="H18" s="30"/>
      <c r="I18" s="30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143" t="s">
        <v>307</v>
      </c>
      <c r="B19" s="3"/>
      <c r="C19" s="49"/>
      <c r="D19" s="152"/>
      <c r="E19" s="50"/>
      <c r="F19" s="153" t="str">
        <f t="array" ref="F19">IF(OR(C19="",D19=""),"",D19*IFERROR(INDEX('Base de Datos'!$H$9:$H$68/'Base de Datos'!$F$9:$F$68*(1+IF('Base de Datos'!$I$9:$I$68="",0,'Base de Datos'!$I$9:$I$68)),MATCH(C19,'Base de Datos'!$B$9:$B$68,0)),0))</f>
        <v/>
      </c>
      <c r="G19" s="30"/>
      <c r="H19" s="30"/>
      <c r="I19" s="3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143" t="s">
        <v>308</v>
      </c>
      <c r="B20" s="3"/>
      <c r="C20" s="49"/>
      <c r="D20" s="152"/>
      <c r="E20" s="50"/>
      <c r="F20" s="153" t="str">
        <f t="array" ref="F20">IF(OR(C20="",D20=""),"",D20*IFERROR(INDEX('Base de Datos'!$H$9:$H$68/'Base de Datos'!$F$9:$F$68*(1+IF('Base de Datos'!$I$9:$I$68="",0,'Base de Datos'!$I$9:$I$68)),MATCH(C20,'Base de Datos'!$B$9:$B$68,0)),0))</f>
        <v/>
      </c>
      <c r="G20" s="30"/>
      <c r="H20" s="30"/>
      <c r="I20" s="3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49"/>
      <c r="D21" s="152"/>
      <c r="E21" s="50"/>
      <c r="F21" s="153" t="str">
        <f t="array" ref="F21">IF(OR(C21="",D21=""),"",D21*IFERROR(INDEX('Base de Datos'!$H$9:$H$68/'Base de Datos'!$F$9:$F$68*(1+IF('Base de Datos'!$I$9:$I$68="",0,'Base de Datos'!$I$9:$I$68)),MATCH(C21,'Base de Datos'!$B$9:$B$68,0)),0))</f>
        <v/>
      </c>
      <c r="G21" s="30"/>
      <c r="H21" s="30"/>
      <c r="I21" s="3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49"/>
      <c r="D22" s="152"/>
      <c r="E22" s="50"/>
      <c r="F22" s="153" t="str">
        <f t="array" ref="F22">IF(OR(C22="",D22=""),"",D22*IFERROR(INDEX('Base de Datos'!$H$9:$H$68/'Base de Datos'!$F$9:$F$68*(1+IF('Base de Datos'!$I$9:$I$68="",0,'Base de Datos'!$I$9:$I$68)),MATCH(C22,'Base de Datos'!$B$9:$B$68,0)),0))</f>
        <v/>
      </c>
      <c r="G22" s="30"/>
      <c r="H22" s="30"/>
      <c r="I22" s="3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6.0" customHeight="1">
      <c r="A23" s="3"/>
      <c r="B23" s="3"/>
      <c r="C23" s="3"/>
      <c r="D23" s="3"/>
      <c r="E23" s="3"/>
      <c r="F23" s="30"/>
      <c r="G23" s="30"/>
      <c r="H23" s="30"/>
      <c r="I23" s="3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3"/>
      <c r="B24" s="3"/>
      <c r="C24" s="154" t="s">
        <v>231</v>
      </c>
      <c r="D24" s="3"/>
      <c r="E24" s="3"/>
      <c r="F24" s="155"/>
      <c r="G24" s="156"/>
      <c r="H24" s="157"/>
      <c r="I24" s="3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146" t="s">
        <v>309</v>
      </c>
      <c r="D25" s="158">
        <f>SUM(F11:F22)</f>
        <v>1140900</v>
      </c>
      <c r="E25" s="21"/>
      <c r="F25" s="22"/>
      <c r="G25" s="30"/>
      <c r="H25" s="30"/>
      <c r="I25" s="3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146" t="s">
        <v>310</v>
      </c>
      <c r="D26" s="158">
        <f>D25*D8</f>
        <v>57045</v>
      </c>
      <c r="E26" s="21"/>
      <c r="F26" s="22"/>
      <c r="G26" s="30"/>
      <c r="H26" s="30"/>
      <c r="I26" s="3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159" t="s">
        <v>311</v>
      </c>
      <c r="D27" s="160">
        <f>D25+D26</f>
        <v>1197945</v>
      </c>
      <c r="E27" s="21"/>
      <c r="F27" s="22"/>
      <c r="G27" s="30"/>
      <c r="H27" s="30"/>
      <c r="I27" s="3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146" t="s">
        <v>312</v>
      </c>
      <c r="D28" s="161">
        <f>D8</f>
        <v>0.05</v>
      </c>
      <c r="E28" s="21"/>
      <c r="F28" s="22"/>
      <c r="G28" s="30"/>
      <c r="H28" s="30"/>
      <c r="I28" s="3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146" t="s">
        <v>313</v>
      </c>
      <c r="D29" s="162">
        <f>F7</f>
        <v>820</v>
      </c>
      <c r="E29" s="21"/>
      <c r="F29" s="22"/>
      <c r="G29" s="30"/>
      <c r="H29" s="30"/>
      <c r="I29" s="3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7.75" customHeight="1">
      <c r="A30" s="3"/>
      <c r="B30" s="3"/>
      <c r="C30" s="83" t="s">
        <v>314</v>
      </c>
      <c r="D30" s="22"/>
      <c r="E30" s="3"/>
      <c r="F30" s="163">
        <f>IF(AND(D27&gt;0,F7&gt;0),D27/F7,"")</f>
        <v>1460.908537</v>
      </c>
      <c r="G30" s="3"/>
      <c r="H30" s="3"/>
      <c r="I30" s="3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1" t="s">
        <v>315</v>
      </c>
      <c r="D31" s="18"/>
      <c r="E31" s="18"/>
      <c r="F31" s="18"/>
      <c r="G31" s="18"/>
      <c r="H31" s="19"/>
      <c r="I31" s="3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164"/>
      <c r="B32" s="18"/>
      <c r="C32" s="18"/>
      <c r="D32" s="18"/>
      <c r="E32" s="18"/>
      <c r="F32" s="18"/>
      <c r="G32" s="18"/>
      <c r="H32" s="18"/>
      <c r="I32" s="1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5.5" customHeight="1">
      <c r="A33" s="165" t="s">
        <v>316</v>
      </c>
      <c r="B33" s="3"/>
      <c r="C33" s="142" t="s">
        <v>317</v>
      </c>
      <c r="D33" s="21"/>
      <c r="E33" s="21"/>
      <c r="F33" s="22"/>
      <c r="G33" s="3"/>
      <c r="H33" s="3"/>
      <c r="I33" s="3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0" customHeight="1">
      <c r="A34" s="3"/>
      <c r="B34" s="3"/>
      <c r="C34" s="144" t="s">
        <v>285</v>
      </c>
      <c r="D34" s="145" t="s">
        <v>318</v>
      </c>
      <c r="E34" s="21"/>
      <c r="F34" s="22"/>
      <c r="G34" s="30"/>
      <c r="H34" s="30"/>
      <c r="I34" s="3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3"/>
      <c r="C35" s="146" t="s">
        <v>288</v>
      </c>
      <c r="D35" s="51">
        <v>600.0</v>
      </c>
      <c r="E35" s="147" t="s">
        <v>289</v>
      </c>
      <c r="F35" s="148">
        <v>550.0</v>
      </c>
      <c r="G35" s="101"/>
      <c r="H35" s="101"/>
      <c r="I35" s="3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149" t="s">
        <v>291</v>
      </c>
      <c r="D36" s="150">
        <v>0.04</v>
      </c>
      <c r="E36" s="151"/>
      <c r="I36" s="9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6.0" customHeight="1">
      <c r="A37" s="3"/>
      <c r="B37" s="3"/>
      <c r="C37" s="3"/>
      <c r="D37" s="3"/>
      <c r="E37" s="3"/>
      <c r="F37" s="99"/>
      <c r="G37" s="99"/>
      <c r="H37" s="99"/>
      <c r="I37" s="3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6.0" customHeight="1">
      <c r="A38" s="3"/>
      <c r="B38" s="3"/>
      <c r="C38" s="61" t="s">
        <v>294</v>
      </c>
      <c r="D38" s="61" t="s">
        <v>295</v>
      </c>
      <c r="E38" s="61" t="s">
        <v>163</v>
      </c>
      <c r="F38" s="61" t="s">
        <v>296</v>
      </c>
      <c r="G38" s="30"/>
      <c r="H38" s="30"/>
      <c r="I38" s="3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49" t="s">
        <v>98</v>
      </c>
      <c r="D39" s="152">
        <v>500.0</v>
      </c>
      <c r="E39" s="50" t="s">
        <v>298</v>
      </c>
      <c r="F39" s="153">
        <f t="array" ref="F39">IF(OR(C39="",D39=""),"",D39*IFERROR(INDEX('Base de Datos'!$H$9:$H$68/'Base de Datos'!$F$9:$F$68*(1+IF('Base de Datos'!$I$9:$I$68="",0,'Base de Datos'!$I$9:$I$68)),MATCH(C39,'Base de Datos'!$B$9:$B$68,0)),0))</f>
        <v>637500</v>
      </c>
      <c r="G39" s="30"/>
      <c r="H39" s="30"/>
      <c r="I39" s="3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49" t="s">
        <v>82</v>
      </c>
      <c r="D40" s="152">
        <v>120.0</v>
      </c>
      <c r="E40" s="50" t="s">
        <v>300</v>
      </c>
      <c r="F40" s="153">
        <f t="array" ref="F40">IF(OR(C40="",D40=""),"",D40*IFERROR(INDEX('Base de Datos'!$H$9:$H$68/'Base de Datos'!$F$9:$F$68*(1+IF('Base de Datos'!$I$9:$I$68="",0,'Base de Datos'!$I$9:$I$68)),MATCH(C40,'Base de Datos'!$B$9:$B$68,0)),0))</f>
        <v>30576</v>
      </c>
      <c r="G40" s="30"/>
      <c r="H40" s="30"/>
      <c r="I40" s="3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49" t="s">
        <v>94</v>
      </c>
      <c r="D41" s="152">
        <v>3.0</v>
      </c>
      <c r="E41" s="50" t="s">
        <v>97</v>
      </c>
      <c r="F41" s="153">
        <f t="array" ref="F41">IF(OR(C41="",D41=""),"",D41*IFERROR(INDEX('Base de Datos'!$H$9:$H$68/'Base de Datos'!$F$9:$F$68*(1+IF('Base de Datos'!$I$9:$I$68="",0,'Base de Datos'!$I$9:$I$68)),MATCH(C41,'Base de Datos'!$B$9:$B$68,0)),0))</f>
        <v>1200</v>
      </c>
      <c r="G41" s="30"/>
      <c r="H41" s="30"/>
      <c r="I41" s="30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49" t="s">
        <v>86</v>
      </c>
      <c r="D42" s="152">
        <v>30.0</v>
      </c>
      <c r="E42" s="50" t="s">
        <v>300</v>
      </c>
      <c r="F42" s="153">
        <f t="array" ref="F42">IF(OR(C42="",D42=""),"",D42*IFERROR(INDEX('Base de Datos'!$H$9:$H$68/'Base de Datos'!$F$9:$F$68*(1+IF('Base de Datos'!$I$9:$I$68="",0,'Base de Datos'!$I$9:$I$68)),MATCH(C42,'Base de Datos'!$B$9:$B$68,0)),0))</f>
        <v>85800</v>
      </c>
      <c r="G42" s="30"/>
      <c r="H42" s="30"/>
      <c r="I42" s="30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49" t="s">
        <v>77</v>
      </c>
      <c r="D43" s="152">
        <v>40.0</v>
      </c>
      <c r="E43" s="50" t="s">
        <v>300</v>
      </c>
      <c r="F43" s="153">
        <f t="array" ref="F43">IF(OR(C43="",D43=""),"",D43*IFERROR(INDEX('Base de Datos'!$H$9:$H$68/'Base de Datos'!$F$9:$F$68*(1+IF('Base de Datos'!$I$9:$I$68="",0,'Base de Datos'!$I$9:$I$68)),MATCH(C43,'Base de Datos'!$B$9:$B$68,0)),0))</f>
        <v>6720</v>
      </c>
      <c r="G43" s="30"/>
      <c r="H43" s="30"/>
      <c r="I43" s="3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49"/>
      <c r="D44" s="152"/>
      <c r="E44" s="50"/>
      <c r="F44" s="153" t="str">
        <f t="array" ref="F44">IF(OR(C44="",D44=""),"",D44*IFERROR(INDEX('Base de Datos'!$H$9:$H$68/'Base de Datos'!$F$9:$F$68*(1+IF('Base de Datos'!$I$9:$I$68="",0,'Base de Datos'!$I$9:$I$68)),MATCH(C44,'Base de Datos'!$B$9:$B$68,0)),0))</f>
        <v/>
      </c>
      <c r="G44" s="30"/>
      <c r="H44" s="30"/>
      <c r="I44" s="30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49"/>
      <c r="D45" s="152"/>
      <c r="E45" s="50"/>
      <c r="F45" s="153" t="str">
        <f t="array" ref="F45">IF(OR(C45="",D45=""),"",D45*IFERROR(INDEX('Base de Datos'!$H$9:$H$68/'Base de Datos'!$F$9:$F$68*(1+IF('Base de Datos'!$I$9:$I$68="",0,'Base de Datos'!$I$9:$I$68)),MATCH(C45,'Base de Datos'!$B$9:$B$68,0)),0))</f>
        <v/>
      </c>
      <c r="G45" s="30"/>
      <c r="H45" s="30"/>
      <c r="I45" s="30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49"/>
      <c r="D46" s="152"/>
      <c r="E46" s="50"/>
      <c r="F46" s="153" t="str">
        <f t="array" ref="F46">IF(OR(C46="",D46=""),"",D46*IFERROR(INDEX('Base de Datos'!$H$9:$H$68/'Base de Datos'!$F$9:$F$68*(1+IF('Base de Datos'!$I$9:$I$68="",0,'Base de Datos'!$I$9:$I$68)),MATCH(C46,'Base de Datos'!$B$9:$B$68,0)),0))</f>
        <v/>
      </c>
      <c r="G46" s="30"/>
      <c r="H46" s="30"/>
      <c r="I46" s="30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49"/>
      <c r="D47" s="152"/>
      <c r="E47" s="50"/>
      <c r="F47" s="153" t="str">
        <f t="array" ref="F47">IF(OR(C47="",D47=""),"",D47*IFERROR(INDEX('Base de Datos'!$H$9:$H$68/'Base de Datos'!$F$9:$F$68*(1+IF('Base de Datos'!$I$9:$I$68="",0,'Base de Datos'!$I$9:$I$68)),MATCH(C47,'Base de Datos'!$B$9:$B$68,0)),0))</f>
        <v/>
      </c>
      <c r="G47" s="30"/>
      <c r="H47" s="30"/>
      <c r="I47" s="30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49"/>
      <c r="D48" s="152"/>
      <c r="E48" s="50"/>
      <c r="F48" s="153" t="str">
        <f t="array" ref="F48">IF(OR(C48="",D48=""),"",D48*IFERROR(INDEX('Base de Datos'!$H$9:$H$68/'Base de Datos'!$F$9:$F$68*(1+IF('Base de Datos'!$I$9:$I$68="",0,'Base de Datos'!$I$9:$I$68)),MATCH(C48,'Base de Datos'!$B$9:$B$68,0)),0))</f>
        <v/>
      </c>
      <c r="G48" s="30"/>
      <c r="H48" s="30"/>
      <c r="I48" s="30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49"/>
      <c r="D49" s="152"/>
      <c r="E49" s="50"/>
      <c r="F49" s="153" t="str">
        <f t="array" ref="F49">IF(OR(C49="",D49=""),"",D49*IFERROR(INDEX('Base de Datos'!$H$9:$H$68/'Base de Datos'!$F$9:$F$68*(1+IF('Base de Datos'!$I$9:$I$68="",0,'Base de Datos'!$I$9:$I$68)),MATCH(C49,'Base de Datos'!$B$9:$B$68,0)),0))</f>
        <v/>
      </c>
      <c r="G49" s="30"/>
      <c r="H49" s="30"/>
      <c r="I49" s="30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49"/>
      <c r="D50" s="152"/>
      <c r="E50" s="50"/>
      <c r="F50" s="153" t="str">
        <f t="array" ref="F50">IF(OR(C50="",D50=""),"",D50*IFERROR(INDEX('Base de Datos'!$H$9:$H$68/'Base de Datos'!$F$9:$F$68*(1+IF('Base de Datos'!$I$9:$I$68="",0,'Base de Datos'!$I$9:$I$68)),MATCH(C50,'Base de Datos'!$B$9:$B$68,0)),0))</f>
        <v/>
      </c>
      <c r="G50" s="30"/>
      <c r="H50" s="30"/>
      <c r="I50" s="30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6.0" customHeight="1">
      <c r="A51" s="3"/>
      <c r="B51" s="3"/>
      <c r="C51" s="3"/>
      <c r="D51" s="3"/>
      <c r="E51" s="3"/>
      <c r="F51" s="30"/>
      <c r="G51" s="30"/>
      <c r="H51" s="30"/>
      <c r="I51" s="30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3"/>
      <c r="C52" s="154" t="s">
        <v>231</v>
      </c>
      <c r="D52" s="3"/>
      <c r="E52" s="3"/>
      <c r="F52" s="155"/>
      <c r="G52" s="156"/>
      <c r="H52" s="157"/>
      <c r="I52" s="30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146" t="s">
        <v>309</v>
      </c>
      <c r="D53" s="158">
        <f>SUM(F39:F50)</f>
        <v>761796</v>
      </c>
      <c r="E53" s="21"/>
      <c r="F53" s="22"/>
      <c r="G53" s="30"/>
      <c r="H53" s="30"/>
      <c r="I53" s="30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146" t="s">
        <v>310</v>
      </c>
      <c r="D54" s="158">
        <f>D53*D36</f>
        <v>30471.84</v>
      </c>
      <c r="E54" s="21"/>
      <c r="F54" s="22"/>
      <c r="G54" s="30"/>
      <c r="H54" s="30"/>
      <c r="I54" s="30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159" t="s">
        <v>311</v>
      </c>
      <c r="D55" s="160">
        <f>D53+D54</f>
        <v>792267.84</v>
      </c>
      <c r="E55" s="21"/>
      <c r="F55" s="22"/>
      <c r="G55" s="30"/>
      <c r="H55" s="30"/>
      <c r="I55" s="30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146" t="s">
        <v>312</v>
      </c>
      <c r="D56" s="161">
        <f>D36</f>
        <v>0.04</v>
      </c>
      <c r="E56" s="21"/>
      <c r="F56" s="22"/>
      <c r="G56" s="30"/>
      <c r="H56" s="30"/>
      <c r="I56" s="30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146" t="s">
        <v>313</v>
      </c>
      <c r="D57" s="162">
        <f>F35</f>
        <v>550</v>
      </c>
      <c r="E57" s="21"/>
      <c r="F57" s="22"/>
      <c r="G57" s="30"/>
      <c r="H57" s="30"/>
      <c r="I57" s="30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7.75" customHeight="1">
      <c r="A58" s="3"/>
      <c r="B58" s="3"/>
      <c r="C58" s="83" t="s">
        <v>314</v>
      </c>
      <c r="D58" s="22"/>
      <c r="E58" s="3"/>
      <c r="F58" s="163">
        <f>IF(AND(D55&gt;0,F35&gt;0),D55/F35,"")</f>
        <v>1440.486982</v>
      </c>
      <c r="G58" s="3"/>
      <c r="H58" s="3"/>
      <c r="I58" s="30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1" t="s">
        <v>315</v>
      </c>
      <c r="D59" s="18"/>
      <c r="E59" s="18"/>
      <c r="F59" s="18"/>
      <c r="G59" s="18"/>
      <c r="H59" s="19"/>
      <c r="I59" s="30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1.0" customHeight="1">
      <c r="A60" s="164"/>
      <c r="B60" s="18"/>
      <c r="C60" s="18"/>
      <c r="D60" s="18"/>
      <c r="E60" s="18"/>
      <c r="F60" s="18"/>
      <c r="G60" s="18"/>
      <c r="H60" s="18"/>
      <c r="I60" s="1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5.5" customHeight="1">
      <c r="A61" s="165" t="s">
        <v>319</v>
      </c>
      <c r="B61" s="3"/>
      <c r="C61" s="142" t="s">
        <v>320</v>
      </c>
      <c r="D61" s="21"/>
      <c r="E61" s="21"/>
      <c r="F61" s="22"/>
      <c r="G61" s="3"/>
      <c r="H61" s="3"/>
      <c r="I61" s="30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4.0" customHeight="1">
      <c r="A62" s="3"/>
      <c r="B62" s="3"/>
      <c r="C62" s="144" t="s">
        <v>285</v>
      </c>
      <c r="D62" s="145" t="s">
        <v>321</v>
      </c>
      <c r="E62" s="21"/>
      <c r="F62" s="22"/>
      <c r="G62" s="30"/>
      <c r="H62" s="30"/>
      <c r="I62" s="30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1.75" customHeight="1">
      <c r="A63" s="3"/>
      <c r="B63" s="3"/>
      <c r="C63" s="146" t="s">
        <v>288</v>
      </c>
      <c r="D63" s="51">
        <v>800.0</v>
      </c>
      <c r="E63" s="147" t="s">
        <v>289</v>
      </c>
      <c r="F63" s="148">
        <v>650.0</v>
      </c>
      <c r="G63" s="101"/>
      <c r="H63" s="101"/>
      <c r="I63" s="30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3"/>
      <c r="C64" s="149" t="s">
        <v>291</v>
      </c>
      <c r="D64" s="150">
        <v>0.03</v>
      </c>
      <c r="E64" s="151"/>
      <c r="I64" s="9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6.0" customHeight="1">
      <c r="A65" s="3"/>
      <c r="B65" s="3"/>
      <c r="C65" s="3"/>
      <c r="D65" s="3"/>
      <c r="E65" s="3"/>
      <c r="F65" s="99"/>
      <c r="G65" s="99"/>
      <c r="H65" s="99"/>
      <c r="I65" s="30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6.0" customHeight="1">
      <c r="A66" s="3"/>
      <c r="B66" s="3"/>
      <c r="C66" s="61" t="s">
        <v>294</v>
      </c>
      <c r="D66" s="61" t="s">
        <v>295</v>
      </c>
      <c r="E66" s="61" t="s">
        <v>163</v>
      </c>
      <c r="F66" s="61" t="s">
        <v>296</v>
      </c>
      <c r="G66" s="30"/>
      <c r="H66" s="30"/>
      <c r="I66" s="30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3"/>
      <c r="C67" s="49" t="s">
        <v>139</v>
      </c>
      <c r="D67" s="152">
        <v>600.0</v>
      </c>
      <c r="E67" s="50" t="s">
        <v>300</v>
      </c>
      <c r="F67" s="153">
        <f t="array" ref="F67">IF(OR(C67="",D67=""),"",D67*IFERROR(INDEX('Base de Datos'!$H$9:$H$68/'Base de Datos'!$F$9:$F$68*(1+IF('Base de Datos'!$I$9:$I$68="",0,'Base de Datos'!$I$9:$I$68)),MATCH(C67,'Base de Datos'!$B$9:$B$68,0)),0))</f>
        <v>684000</v>
      </c>
      <c r="G67" s="30"/>
      <c r="H67" s="30"/>
      <c r="I67" s="3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3"/>
      <c r="C68" s="49" t="s">
        <v>142</v>
      </c>
      <c r="D68" s="152">
        <v>100.0</v>
      </c>
      <c r="E68" s="50" t="s">
        <v>300</v>
      </c>
      <c r="F68" s="153">
        <f t="array" ref="F68">IF(OR(C68="",D68=""),"",D68*IFERROR(INDEX('Base de Datos'!$H$9:$H$68/'Base de Datos'!$F$9:$F$68*(1+IF('Base de Datos'!$I$9:$I$68="",0,'Base de Datos'!$I$9:$I$68)),MATCH(C68,'Base de Datos'!$B$9:$B$68,0)),0))</f>
        <v>52800</v>
      </c>
      <c r="G68" s="30"/>
      <c r="H68" s="30"/>
      <c r="I68" s="30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3"/>
      <c r="B69" s="3"/>
      <c r="C69" s="49" t="s">
        <v>89</v>
      </c>
      <c r="D69" s="152">
        <v>30.0</v>
      </c>
      <c r="E69" s="50" t="s">
        <v>298</v>
      </c>
      <c r="F69" s="153">
        <f t="array" ref="F69">IF(OR(C69="",D69=""),"",D69*IFERROR(INDEX('Base de Datos'!$H$9:$H$68/'Base de Datos'!$F$9:$F$68*(1+IF('Base de Datos'!$I$9:$I$68="",0,'Base de Datos'!$I$9:$I$68)),MATCH(C69,'Base de Datos'!$B$9:$B$68,0)),0))</f>
        <v>25080</v>
      </c>
      <c r="G69" s="30"/>
      <c r="H69" s="30"/>
      <c r="I69" s="3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3"/>
      <c r="B70" s="3"/>
      <c r="C70" s="49" t="s">
        <v>106</v>
      </c>
      <c r="D70" s="152">
        <v>5.0</v>
      </c>
      <c r="E70" s="50" t="s">
        <v>300</v>
      </c>
      <c r="F70" s="153">
        <f t="array" ref="F70">IF(OR(C70="",D70=""),"",D70*IFERROR(INDEX('Base de Datos'!$H$9:$H$68/'Base de Datos'!$F$9:$F$68*(1+IF('Base de Datos'!$I$9:$I$68="",0,'Base de Datos'!$I$9:$I$68)),MATCH(C70,'Base de Datos'!$B$9:$B$68,0)),0))</f>
        <v>2205</v>
      </c>
      <c r="G70" s="30"/>
      <c r="H70" s="30"/>
      <c r="I70" s="30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3"/>
      <c r="B71" s="3"/>
      <c r="C71" s="49"/>
      <c r="D71" s="152"/>
      <c r="E71" s="50"/>
      <c r="F71" s="153" t="str">
        <f t="array" ref="F71">IF(OR(C71="",D71=""),"",D71*IFERROR(INDEX('Base de Datos'!$H$9:$H$68/'Base de Datos'!$F$9:$F$68*(1+IF('Base de Datos'!$I$9:$I$68="",0,'Base de Datos'!$I$9:$I$68)),MATCH(C71,'Base de Datos'!$B$9:$B$68,0)),0))</f>
        <v/>
      </c>
      <c r="G71" s="30"/>
      <c r="H71" s="30"/>
      <c r="I71" s="30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3"/>
      <c r="B72" s="3"/>
      <c r="C72" s="49"/>
      <c r="D72" s="152"/>
      <c r="E72" s="50"/>
      <c r="F72" s="153" t="str">
        <f t="array" ref="F72">IF(OR(C72="",D72=""),"",D72*IFERROR(INDEX('Base de Datos'!$H$9:$H$68/'Base de Datos'!$F$9:$F$68*(1+IF('Base de Datos'!$I$9:$I$68="",0,'Base de Datos'!$I$9:$I$68)),MATCH(C72,'Base de Datos'!$B$9:$B$68,0)),0))</f>
        <v/>
      </c>
      <c r="G72" s="30"/>
      <c r="H72" s="30"/>
      <c r="I72" s="30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3"/>
      <c r="B73" s="3"/>
      <c r="C73" s="49"/>
      <c r="D73" s="152"/>
      <c r="E73" s="50"/>
      <c r="F73" s="153" t="str">
        <f t="array" ref="F73">IF(OR(C73="",D73=""),"",D73*IFERROR(INDEX('Base de Datos'!$H$9:$H$68/'Base de Datos'!$F$9:$F$68*(1+IF('Base de Datos'!$I$9:$I$68="",0,'Base de Datos'!$I$9:$I$68)),MATCH(C73,'Base de Datos'!$B$9:$B$68,0)),0))</f>
        <v/>
      </c>
      <c r="G73" s="30"/>
      <c r="H73" s="30"/>
      <c r="I73" s="30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3"/>
      <c r="B74" s="3"/>
      <c r="C74" s="49"/>
      <c r="D74" s="152"/>
      <c r="E74" s="50"/>
      <c r="F74" s="153" t="str">
        <f t="array" ref="F74">IF(OR(C74="",D74=""),"",D74*IFERROR(INDEX('Base de Datos'!$H$9:$H$68/'Base de Datos'!$F$9:$F$68*(1+IF('Base de Datos'!$I$9:$I$68="",0,'Base de Datos'!$I$9:$I$68)),MATCH(C74,'Base de Datos'!$B$9:$B$68,0)),0))</f>
        <v/>
      </c>
      <c r="G74" s="30"/>
      <c r="H74" s="30"/>
      <c r="I74" s="30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3"/>
      <c r="B75" s="3"/>
      <c r="C75" s="49"/>
      <c r="D75" s="152"/>
      <c r="E75" s="50"/>
      <c r="F75" s="153" t="str">
        <f t="array" ref="F75">IF(OR(C75="",D75=""),"",D75*IFERROR(INDEX('Base de Datos'!$H$9:$H$68/'Base de Datos'!$F$9:$F$68*(1+IF('Base de Datos'!$I$9:$I$68="",0,'Base de Datos'!$I$9:$I$68)),MATCH(C75,'Base de Datos'!$B$9:$B$68,0)),0))</f>
        <v/>
      </c>
      <c r="G75" s="30"/>
      <c r="H75" s="30"/>
      <c r="I75" s="30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3"/>
      <c r="B76" s="3"/>
      <c r="C76" s="49"/>
      <c r="D76" s="152"/>
      <c r="E76" s="50"/>
      <c r="F76" s="153" t="str">
        <f t="array" ref="F76">IF(OR(C76="",D76=""),"",D76*IFERROR(INDEX('Base de Datos'!$H$9:$H$68/'Base de Datos'!$F$9:$F$68*(1+IF('Base de Datos'!$I$9:$I$68="",0,'Base de Datos'!$I$9:$I$68)),MATCH(C76,'Base de Datos'!$B$9:$B$68,0)),0))</f>
        <v/>
      </c>
      <c r="G76" s="30"/>
      <c r="H76" s="30"/>
      <c r="I76" s="30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3"/>
      <c r="C77" s="49"/>
      <c r="D77" s="152"/>
      <c r="E77" s="50"/>
      <c r="F77" s="153" t="str">
        <f t="array" ref="F77">IF(OR(C77="",D77=""),"",D77*IFERROR(INDEX('Base de Datos'!$H$9:$H$68/'Base de Datos'!$F$9:$F$68*(1+IF('Base de Datos'!$I$9:$I$68="",0,'Base de Datos'!$I$9:$I$68)),MATCH(C77,'Base de Datos'!$B$9:$B$68,0)),0))</f>
        <v/>
      </c>
      <c r="G77" s="30"/>
      <c r="H77" s="30"/>
      <c r="I77" s="30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3"/>
      <c r="C78" s="49"/>
      <c r="D78" s="152"/>
      <c r="E78" s="50"/>
      <c r="F78" s="153" t="str">
        <f t="array" ref="F78">IF(OR(C78="",D78=""),"",D78*IFERROR(INDEX('Base de Datos'!$H$9:$H$68/'Base de Datos'!$F$9:$F$68*(1+IF('Base de Datos'!$I$9:$I$68="",0,'Base de Datos'!$I$9:$I$68)),MATCH(C78,'Base de Datos'!$B$9:$B$68,0)),0))</f>
        <v/>
      </c>
      <c r="G78" s="30"/>
      <c r="H78" s="30"/>
      <c r="I78" s="30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6.0" customHeight="1">
      <c r="A79" s="3"/>
      <c r="B79" s="3"/>
      <c r="C79" s="3"/>
      <c r="D79" s="3"/>
      <c r="E79" s="3"/>
      <c r="F79" s="30"/>
      <c r="G79" s="30"/>
      <c r="H79" s="30"/>
      <c r="I79" s="30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1.75" customHeight="1">
      <c r="A80" s="3"/>
      <c r="B80" s="3"/>
      <c r="C80" s="154" t="s">
        <v>231</v>
      </c>
      <c r="D80" s="3"/>
      <c r="E80" s="3"/>
      <c r="F80" s="155"/>
      <c r="G80" s="156"/>
      <c r="H80" s="157"/>
      <c r="I80" s="30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146" t="s">
        <v>309</v>
      </c>
      <c r="D81" s="158">
        <f>SUM(F67:F78)</f>
        <v>764085</v>
      </c>
      <c r="E81" s="21"/>
      <c r="F81" s="22"/>
      <c r="G81" s="30"/>
      <c r="H81" s="30"/>
      <c r="I81" s="30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146" t="s">
        <v>310</v>
      </c>
      <c r="D82" s="158">
        <f>D81*D64</f>
        <v>22922.55</v>
      </c>
      <c r="E82" s="21"/>
      <c r="F82" s="22"/>
      <c r="G82" s="30"/>
      <c r="H82" s="30"/>
      <c r="I82" s="30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159" t="s">
        <v>311</v>
      </c>
      <c r="D83" s="160">
        <f>D81+D82</f>
        <v>787007.55</v>
      </c>
      <c r="E83" s="21"/>
      <c r="F83" s="22"/>
      <c r="G83" s="30"/>
      <c r="H83" s="30"/>
      <c r="I83" s="30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146" t="s">
        <v>312</v>
      </c>
      <c r="D84" s="161">
        <f>D64</f>
        <v>0.03</v>
      </c>
      <c r="E84" s="21"/>
      <c r="F84" s="22"/>
      <c r="G84" s="30"/>
      <c r="H84" s="30"/>
      <c r="I84" s="30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146" t="s">
        <v>313</v>
      </c>
      <c r="D85" s="162">
        <f>F63</f>
        <v>650</v>
      </c>
      <c r="E85" s="21"/>
      <c r="F85" s="22"/>
      <c r="G85" s="30"/>
      <c r="H85" s="30"/>
      <c r="I85" s="30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7.75" customHeight="1">
      <c r="A86" s="3"/>
      <c r="B86" s="3"/>
      <c r="C86" s="83" t="s">
        <v>314</v>
      </c>
      <c r="D86" s="22"/>
      <c r="E86" s="3"/>
      <c r="F86" s="163">
        <f>IF(AND(D83&gt;0,F63&gt;0),D83/F63,"")</f>
        <v>1210.780846</v>
      </c>
      <c r="G86" s="3"/>
      <c r="H86" s="3"/>
      <c r="I86" s="30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1" t="s">
        <v>315</v>
      </c>
      <c r="D87" s="18"/>
      <c r="E87" s="18"/>
      <c r="F87" s="18"/>
      <c r="G87" s="18"/>
      <c r="H87" s="19"/>
      <c r="I87" s="30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1.75" customHeight="1">
      <c r="A88" s="164"/>
      <c r="B88" s="18"/>
      <c r="C88" s="18"/>
      <c r="D88" s="18"/>
      <c r="E88" s="18"/>
      <c r="F88" s="18"/>
      <c r="G88" s="18"/>
      <c r="H88" s="18"/>
      <c r="I88" s="19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5.5" customHeight="1">
      <c r="A89" s="165" t="s">
        <v>322</v>
      </c>
      <c r="B89" s="3"/>
      <c r="C89" s="142" t="s">
        <v>323</v>
      </c>
      <c r="D89" s="21"/>
      <c r="E89" s="21"/>
      <c r="F89" s="22"/>
      <c r="G89" s="3"/>
      <c r="H89" s="3"/>
      <c r="I89" s="30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4.0" customHeight="1">
      <c r="A90" s="3"/>
      <c r="B90" s="3"/>
      <c r="C90" s="144" t="s">
        <v>285</v>
      </c>
      <c r="D90" s="145" t="s">
        <v>324</v>
      </c>
      <c r="E90" s="21"/>
      <c r="F90" s="22"/>
      <c r="G90" s="30"/>
      <c r="H90" s="30"/>
      <c r="I90" s="30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1.75" customHeight="1">
      <c r="A91" s="3"/>
      <c r="B91" s="3"/>
      <c r="C91" s="146" t="s">
        <v>288</v>
      </c>
      <c r="D91" s="51">
        <v>500.0</v>
      </c>
      <c r="E91" s="147" t="s">
        <v>289</v>
      </c>
      <c r="F91" s="148">
        <v>480.0</v>
      </c>
      <c r="G91" s="101"/>
      <c r="H91" s="101"/>
      <c r="I91" s="30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3"/>
      <c r="B92" s="3"/>
      <c r="C92" s="149" t="s">
        <v>291</v>
      </c>
      <c r="D92" s="150">
        <v>0.03</v>
      </c>
      <c r="E92" s="151"/>
      <c r="I92" s="9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6.0" customHeight="1">
      <c r="A93" s="3"/>
      <c r="B93" s="3"/>
      <c r="C93" s="3"/>
      <c r="D93" s="3"/>
      <c r="E93" s="3"/>
      <c r="F93" s="99"/>
      <c r="G93" s="99"/>
      <c r="H93" s="99"/>
      <c r="I93" s="30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6.0" customHeight="1">
      <c r="A94" s="3"/>
      <c r="B94" s="3"/>
      <c r="C94" s="61" t="s">
        <v>294</v>
      </c>
      <c r="D94" s="61" t="s">
        <v>295</v>
      </c>
      <c r="E94" s="61" t="s">
        <v>163</v>
      </c>
      <c r="F94" s="61" t="s">
        <v>296</v>
      </c>
      <c r="G94" s="30"/>
      <c r="H94" s="30"/>
      <c r="I94" s="30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3"/>
      <c r="B95" s="3"/>
      <c r="C95" s="49" t="s">
        <v>77</v>
      </c>
      <c r="D95" s="152">
        <v>400.0</v>
      </c>
      <c r="E95" s="50" t="s">
        <v>300</v>
      </c>
      <c r="F95" s="153">
        <f t="array" ref="F95">IF(OR(C95="",D95=""),"",D95*IFERROR(INDEX('Base de Datos'!$H$9:$H$68/'Base de Datos'!$F$9:$F$68*(1+IF('Base de Datos'!$I$9:$I$68="",0,'Base de Datos'!$I$9:$I$68)),MATCH(C95,'Base de Datos'!$B$9:$B$68,0)),0))</f>
        <v>67200</v>
      </c>
      <c r="G95" s="30"/>
      <c r="H95" s="30"/>
      <c r="I95" s="30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"/>
      <c r="B96" s="3"/>
      <c r="C96" s="49" t="s">
        <v>86</v>
      </c>
      <c r="D96" s="152">
        <v>80.0</v>
      </c>
      <c r="E96" s="50" t="s">
        <v>300</v>
      </c>
      <c r="F96" s="153">
        <f t="array" ref="F96">IF(OR(C96="",D96=""),"",D96*IFERROR(INDEX('Base de Datos'!$H$9:$H$68/'Base de Datos'!$F$9:$F$68*(1+IF('Base de Datos'!$I$9:$I$68="",0,'Base de Datos'!$I$9:$I$68)),MATCH(C96,'Base de Datos'!$B$9:$B$68,0)),0))</f>
        <v>228800</v>
      </c>
      <c r="G96" s="30"/>
      <c r="H96" s="30"/>
      <c r="I96" s="30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3"/>
      <c r="B97" s="3"/>
      <c r="C97" s="49" t="s">
        <v>106</v>
      </c>
      <c r="D97" s="152">
        <v>5.0</v>
      </c>
      <c r="E97" s="50" t="s">
        <v>300</v>
      </c>
      <c r="F97" s="153">
        <f t="array" ref="F97">IF(OR(C97="",D97=""),"",D97*IFERROR(INDEX('Base de Datos'!$H$9:$H$68/'Base de Datos'!$F$9:$F$68*(1+IF('Base de Datos'!$I$9:$I$68="",0,'Base de Datos'!$I$9:$I$68)),MATCH(C97,'Base de Datos'!$B$9:$B$68,0)),0))</f>
        <v>2205</v>
      </c>
      <c r="G97" s="30"/>
      <c r="H97" s="30"/>
      <c r="I97" s="30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49" t="s">
        <v>94</v>
      </c>
      <c r="D98" s="152">
        <v>1.0</v>
      </c>
      <c r="E98" s="50" t="s">
        <v>97</v>
      </c>
      <c r="F98" s="153">
        <f t="array" ref="F98">IF(OR(C98="",D98=""),"",D98*IFERROR(INDEX('Base de Datos'!$H$9:$H$68/'Base de Datos'!$F$9:$F$68*(1+IF('Base de Datos'!$I$9:$I$68="",0,'Base de Datos'!$I$9:$I$68)),MATCH(C98,'Base de Datos'!$B$9:$B$68,0)),0))</f>
        <v>400</v>
      </c>
      <c r="G98" s="30"/>
      <c r="H98" s="30"/>
      <c r="I98" s="30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3"/>
      <c r="C99" s="49" t="s">
        <v>98</v>
      </c>
      <c r="D99" s="152">
        <v>60.0</v>
      </c>
      <c r="E99" s="50" t="s">
        <v>298</v>
      </c>
      <c r="F99" s="153">
        <f t="array" ref="F99">IF(OR(C99="",D99=""),"",D99*IFERROR(INDEX('Base de Datos'!$H$9:$H$68/'Base de Datos'!$F$9:$F$68*(1+IF('Base de Datos'!$I$9:$I$68="",0,'Base de Datos'!$I$9:$I$68)),MATCH(C99,'Base de Datos'!$B$9:$B$68,0)),0))</f>
        <v>76500</v>
      </c>
      <c r="G99" s="30"/>
      <c r="H99" s="30"/>
      <c r="I99" s="30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3"/>
      <c r="B100" s="3"/>
      <c r="C100" s="49"/>
      <c r="D100" s="152"/>
      <c r="E100" s="50"/>
      <c r="F100" s="153" t="str">
        <f t="array" ref="F100">IF(OR(C100="",D100=""),"",D100*IFERROR(INDEX('Base de Datos'!$H$9:$H$68/'Base de Datos'!$F$9:$F$68*(1+IF('Base de Datos'!$I$9:$I$68="",0,'Base de Datos'!$I$9:$I$68)),MATCH(C100,'Base de Datos'!$B$9:$B$68,0)),0))</f>
        <v/>
      </c>
      <c r="G100" s="30"/>
      <c r="H100" s="30"/>
      <c r="I100" s="30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3"/>
      <c r="C101" s="49"/>
      <c r="D101" s="152"/>
      <c r="E101" s="50"/>
      <c r="F101" s="153" t="str">
        <f t="array" ref="F101">IF(OR(C101="",D101=""),"",D101*IFERROR(INDEX('Base de Datos'!$H$9:$H$68/'Base de Datos'!$F$9:$F$68*(1+IF('Base de Datos'!$I$9:$I$68="",0,'Base de Datos'!$I$9:$I$68)),MATCH(C101,'Base de Datos'!$B$9:$B$68,0)),0))</f>
        <v/>
      </c>
      <c r="G101" s="30"/>
      <c r="H101" s="30"/>
      <c r="I101" s="30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3"/>
      <c r="B102" s="3"/>
      <c r="C102" s="49"/>
      <c r="D102" s="152"/>
      <c r="E102" s="50"/>
      <c r="F102" s="153" t="str">
        <f t="array" ref="F102">IF(OR(C102="",D102=""),"",D102*IFERROR(INDEX('Base de Datos'!$H$9:$H$68/'Base de Datos'!$F$9:$F$68*(1+IF('Base de Datos'!$I$9:$I$68="",0,'Base de Datos'!$I$9:$I$68)),MATCH(C102,'Base de Datos'!$B$9:$B$68,0)),0))</f>
        <v/>
      </c>
      <c r="G102" s="30"/>
      <c r="H102" s="30"/>
      <c r="I102" s="30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"/>
      <c r="B103" s="3"/>
      <c r="C103" s="49"/>
      <c r="D103" s="152"/>
      <c r="E103" s="50"/>
      <c r="F103" s="153" t="str">
        <f t="array" ref="F103">IF(OR(C103="",D103=""),"",D103*IFERROR(INDEX('Base de Datos'!$H$9:$H$68/'Base de Datos'!$F$9:$F$68*(1+IF('Base de Datos'!$I$9:$I$68="",0,'Base de Datos'!$I$9:$I$68)),MATCH(C103,'Base de Datos'!$B$9:$B$68,0)),0))</f>
        <v/>
      </c>
      <c r="G103" s="30"/>
      <c r="H103" s="30"/>
      <c r="I103" s="30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3"/>
      <c r="B104" s="3"/>
      <c r="C104" s="49"/>
      <c r="D104" s="152"/>
      <c r="E104" s="50"/>
      <c r="F104" s="153" t="str">
        <f t="array" ref="F104">IF(OR(C104="",D104=""),"",D104*IFERROR(INDEX('Base de Datos'!$H$9:$H$68/'Base de Datos'!$F$9:$F$68*(1+IF('Base de Datos'!$I$9:$I$68="",0,'Base de Datos'!$I$9:$I$68)),MATCH(C104,'Base de Datos'!$B$9:$B$68,0)),0))</f>
        <v/>
      </c>
      <c r="G104" s="30"/>
      <c r="H104" s="30"/>
      <c r="I104" s="30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49"/>
      <c r="D105" s="152"/>
      <c r="E105" s="50"/>
      <c r="F105" s="153" t="str">
        <f t="array" ref="F105">IF(OR(C105="",D105=""),"",D105*IFERROR(INDEX('Base de Datos'!$H$9:$H$68/'Base de Datos'!$F$9:$F$68*(1+IF('Base de Datos'!$I$9:$I$68="",0,'Base de Datos'!$I$9:$I$68)),MATCH(C105,'Base de Datos'!$B$9:$B$68,0)),0))</f>
        <v/>
      </c>
      <c r="G105" s="30"/>
      <c r="H105" s="30"/>
      <c r="I105" s="30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"/>
      <c r="B106" s="3"/>
      <c r="C106" s="49"/>
      <c r="D106" s="152"/>
      <c r="E106" s="50"/>
      <c r="F106" s="153" t="str">
        <f t="array" ref="F106">IF(OR(C106="",D106=""),"",D106*IFERROR(INDEX('Base de Datos'!$H$9:$H$68/'Base de Datos'!$F$9:$F$68*(1+IF('Base de Datos'!$I$9:$I$68="",0,'Base de Datos'!$I$9:$I$68)),MATCH(C106,'Base de Datos'!$B$9:$B$68,0)),0))</f>
        <v/>
      </c>
      <c r="G106" s="30"/>
      <c r="H106" s="30"/>
      <c r="I106" s="30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6.0" customHeight="1">
      <c r="A107" s="3"/>
      <c r="B107" s="3"/>
      <c r="C107" s="3"/>
      <c r="D107" s="3"/>
      <c r="E107" s="3"/>
      <c r="F107" s="30"/>
      <c r="G107" s="30"/>
      <c r="H107" s="30"/>
      <c r="I107" s="30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1.75" customHeight="1">
      <c r="A108" s="3"/>
      <c r="B108" s="3"/>
      <c r="C108" s="154" t="s">
        <v>231</v>
      </c>
      <c r="D108" s="3"/>
      <c r="E108" s="3"/>
      <c r="F108" s="166"/>
      <c r="G108" s="156"/>
      <c r="H108" s="157"/>
      <c r="I108" s="30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146" t="s">
        <v>309</v>
      </c>
      <c r="D109" s="158">
        <f>SUM(F95:F106)</f>
        <v>375105</v>
      </c>
      <c r="E109" s="21"/>
      <c r="F109" s="22"/>
      <c r="G109" s="30"/>
      <c r="H109" s="30"/>
      <c r="I109" s="30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146" t="s">
        <v>310</v>
      </c>
      <c r="D110" s="158">
        <f>D109*D92</f>
        <v>11253.15</v>
      </c>
      <c r="E110" s="21"/>
      <c r="F110" s="22"/>
      <c r="G110" s="30"/>
      <c r="H110" s="30"/>
      <c r="I110" s="30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159" t="s">
        <v>311</v>
      </c>
      <c r="D111" s="160">
        <f>D109+D110</f>
        <v>386358.15</v>
      </c>
      <c r="E111" s="21"/>
      <c r="F111" s="22"/>
      <c r="G111" s="30"/>
      <c r="H111" s="30"/>
      <c r="I111" s="30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146" t="s">
        <v>312</v>
      </c>
      <c r="D112" s="161">
        <f>D92</f>
        <v>0.03</v>
      </c>
      <c r="E112" s="21"/>
      <c r="F112" s="22"/>
      <c r="G112" s="30"/>
      <c r="H112" s="30"/>
      <c r="I112" s="30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146" t="s">
        <v>313</v>
      </c>
      <c r="D113" s="162">
        <f>F91</f>
        <v>480</v>
      </c>
      <c r="E113" s="21"/>
      <c r="F113" s="22"/>
      <c r="G113" s="30"/>
      <c r="H113" s="30"/>
      <c r="I113" s="30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7.75" customHeight="1">
      <c r="A114" s="3"/>
      <c r="B114" s="3"/>
      <c r="C114" s="83" t="s">
        <v>314</v>
      </c>
      <c r="D114" s="22"/>
      <c r="E114" s="3"/>
      <c r="F114" s="163">
        <f>IF(AND(D111&gt;0,F91&gt;0),D111/F91,"")</f>
        <v>804.9128125</v>
      </c>
      <c r="G114" s="3"/>
      <c r="H114" s="3"/>
      <c r="I114" s="30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1" t="s">
        <v>315</v>
      </c>
      <c r="D115" s="18"/>
      <c r="E115" s="18"/>
      <c r="F115" s="18"/>
      <c r="G115" s="18"/>
      <c r="H115" s="19"/>
      <c r="I115" s="30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164"/>
      <c r="B116" s="18"/>
      <c r="C116" s="18"/>
      <c r="D116" s="18"/>
      <c r="E116" s="18"/>
      <c r="F116" s="18"/>
      <c r="G116" s="18"/>
      <c r="H116" s="18"/>
      <c r="I116" s="19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5.5" customHeight="1">
      <c r="A117" s="165" t="s">
        <v>325</v>
      </c>
      <c r="B117" s="3"/>
      <c r="C117" s="142" t="s">
        <v>326</v>
      </c>
      <c r="D117" s="21"/>
      <c r="E117" s="21"/>
      <c r="F117" s="22"/>
      <c r="G117" s="3"/>
      <c r="H117" s="3"/>
      <c r="I117" s="30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4.0" customHeight="1">
      <c r="A118" s="3"/>
      <c r="B118" s="3"/>
      <c r="C118" s="144" t="s">
        <v>285</v>
      </c>
      <c r="D118" s="145" t="s">
        <v>327</v>
      </c>
      <c r="E118" s="21"/>
      <c r="F118" s="22"/>
      <c r="G118" s="30"/>
      <c r="H118" s="30"/>
      <c r="I118" s="30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1.75" customHeight="1">
      <c r="A119" s="3"/>
      <c r="B119" s="3"/>
      <c r="C119" s="146" t="s">
        <v>288</v>
      </c>
      <c r="D119" s="51">
        <v>400.0</v>
      </c>
      <c r="E119" s="147" t="s">
        <v>289</v>
      </c>
      <c r="F119" s="148">
        <v>380.0</v>
      </c>
      <c r="G119" s="101"/>
      <c r="H119" s="101"/>
      <c r="I119" s="30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3"/>
      <c r="B120" s="3"/>
      <c r="C120" s="149" t="s">
        <v>291</v>
      </c>
      <c r="D120" s="150">
        <v>0.04</v>
      </c>
      <c r="E120" s="151"/>
      <c r="I120" s="9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6.0" customHeight="1">
      <c r="A121" s="3"/>
      <c r="B121" s="3"/>
      <c r="C121" s="3"/>
      <c r="D121" s="3"/>
      <c r="E121" s="3"/>
      <c r="F121" s="99"/>
      <c r="G121" s="99"/>
      <c r="H121" s="99"/>
      <c r="I121" s="30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6.0" customHeight="1">
      <c r="A122" s="3"/>
      <c r="B122" s="3"/>
      <c r="C122" s="61" t="s">
        <v>294</v>
      </c>
      <c r="D122" s="61" t="s">
        <v>295</v>
      </c>
      <c r="E122" s="61" t="s">
        <v>163</v>
      </c>
      <c r="F122" s="61" t="s">
        <v>296</v>
      </c>
      <c r="G122" s="30"/>
      <c r="H122" s="30"/>
      <c r="I122" s="30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"/>
      <c r="B123" s="3"/>
      <c r="C123" s="49" t="s">
        <v>100</v>
      </c>
      <c r="D123" s="152">
        <v>200.0</v>
      </c>
      <c r="E123" s="50" t="s">
        <v>298</v>
      </c>
      <c r="F123" s="153">
        <f t="array" ref="F123">IF(OR(C123="",D123=""),"",D123*IFERROR(INDEX('Base de Datos'!$H$9:$H$68/'Base de Datos'!$F$9:$F$68*(1+IF('Base de Datos'!$I$9:$I$68="",0,'Base de Datos'!$I$9:$I$68)),MATCH(C123,'Base de Datos'!$B$9:$B$68,0)),0))</f>
        <v>384000</v>
      </c>
      <c r="G123" s="30"/>
      <c r="H123" s="30"/>
      <c r="I123" s="30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3"/>
      <c r="B124" s="3"/>
      <c r="C124" s="49" t="s">
        <v>125</v>
      </c>
      <c r="D124" s="152">
        <v>60.0</v>
      </c>
      <c r="E124" s="50" t="s">
        <v>300</v>
      </c>
      <c r="F124" s="153">
        <f t="array" ref="F124">IF(OR(C124="",D124=""),"",D124*IFERROR(INDEX('Base de Datos'!$H$9:$H$68/'Base de Datos'!$F$9:$F$68*(1+IF('Base de Datos'!$I$9:$I$68="",0,'Base de Datos'!$I$9:$I$68)),MATCH(C124,'Base de Datos'!$B$9:$B$68,0)),0))</f>
        <v>151200</v>
      </c>
      <c r="G124" s="30"/>
      <c r="H124" s="30"/>
      <c r="I124" s="30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"/>
      <c r="B125" s="3"/>
      <c r="C125" s="49" t="s">
        <v>82</v>
      </c>
      <c r="D125" s="152">
        <v>80.0</v>
      </c>
      <c r="E125" s="50" t="s">
        <v>300</v>
      </c>
      <c r="F125" s="153">
        <f t="array" ref="F125">IF(OR(C125="",D125=""),"",D125*IFERROR(INDEX('Base de Datos'!$H$9:$H$68/'Base de Datos'!$F$9:$F$68*(1+IF('Base de Datos'!$I$9:$I$68="",0,'Base de Datos'!$I$9:$I$68)),MATCH(C125,'Base de Datos'!$B$9:$B$68,0)),0))</f>
        <v>20384</v>
      </c>
      <c r="G125" s="30"/>
      <c r="H125" s="30"/>
      <c r="I125" s="30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3"/>
      <c r="B126" s="3"/>
      <c r="C126" s="49" t="s">
        <v>86</v>
      </c>
      <c r="D126" s="152">
        <v>40.0</v>
      </c>
      <c r="E126" s="50" t="s">
        <v>300</v>
      </c>
      <c r="F126" s="153">
        <f t="array" ref="F126">IF(OR(C126="",D126=""),"",D126*IFERROR(INDEX('Base de Datos'!$H$9:$H$68/'Base de Datos'!$F$9:$F$68*(1+IF('Base de Datos'!$I$9:$I$68="",0,'Base de Datos'!$I$9:$I$68)),MATCH(C126,'Base de Datos'!$B$9:$B$68,0)),0))</f>
        <v>114400</v>
      </c>
      <c r="G126" s="30"/>
      <c r="H126" s="30"/>
      <c r="I126" s="30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"/>
      <c r="B127" s="3"/>
      <c r="C127" s="49"/>
      <c r="D127" s="152"/>
      <c r="E127" s="50"/>
      <c r="F127" s="153" t="str">
        <f t="array" ref="F127">IF(OR(C127="",D127=""),"",D127*IFERROR(INDEX('Base de Datos'!$H$9:$H$68/'Base de Datos'!$F$9:$F$68*(1+IF('Base de Datos'!$I$9:$I$68="",0,'Base de Datos'!$I$9:$I$68)),MATCH(C127,'Base de Datos'!$B$9:$B$68,0)),0))</f>
        <v/>
      </c>
      <c r="G127" s="30"/>
      <c r="H127" s="30"/>
      <c r="I127" s="30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3"/>
      <c r="B128" s="3"/>
      <c r="C128" s="49"/>
      <c r="D128" s="152"/>
      <c r="E128" s="50"/>
      <c r="F128" s="153" t="str">
        <f t="array" ref="F128">IF(OR(C128="",D128=""),"",D128*IFERROR(INDEX('Base de Datos'!$H$9:$H$68/'Base de Datos'!$F$9:$F$68*(1+IF('Base de Datos'!$I$9:$I$68="",0,'Base de Datos'!$I$9:$I$68)),MATCH(C128,'Base de Datos'!$B$9:$B$68,0)),0))</f>
        <v/>
      </c>
      <c r="G128" s="30"/>
      <c r="H128" s="30"/>
      <c r="I128" s="30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3"/>
      <c r="B129" s="3"/>
      <c r="C129" s="49"/>
      <c r="D129" s="152"/>
      <c r="E129" s="50"/>
      <c r="F129" s="153" t="str">
        <f t="array" ref="F129">IF(OR(C129="",D129=""),"",D129*IFERROR(INDEX('Base de Datos'!$H$9:$H$68/'Base de Datos'!$F$9:$F$68*(1+IF('Base de Datos'!$I$9:$I$68="",0,'Base de Datos'!$I$9:$I$68)),MATCH(C129,'Base de Datos'!$B$9:$B$68,0)),0))</f>
        <v/>
      </c>
      <c r="G129" s="30"/>
      <c r="H129" s="30"/>
      <c r="I129" s="30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"/>
      <c r="B130" s="3"/>
      <c r="C130" s="49"/>
      <c r="D130" s="152"/>
      <c r="E130" s="50"/>
      <c r="F130" s="153" t="str">
        <f t="array" ref="F130">IF(OR(C130="",D130=""),"",D130*IFERROR(INDEX('Base de Datos'!$H$9:$H$68/'Base de Datos'!$F$9:$F$68*(1+IF('Base de Datos'!$I$9:$I$68="",0,'Base de Datos'!$I$9:$I$68)),MATCH(C130,'Base de Datos'!$B$9:$B$68,0)),0))</f>
        <v/>
      </c>
      <c r="G130" s="30"/>
      <c r="H130" s="30"/>
      <c r="I130" s="30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3"/>
      <c r="B131" s="3"/>
      <c r="C131" s="49"/>
      <c r="D131" s="152"/>
      <c r="E131" s="50"/>
      <c r="F131" s="153" t="str">
        <f t="array" ref="F131">IF(OR(C131="",D131=""),"",D131*IFERROR(INDEX('Base de Datos'!$H$9:$H$68/'Base de Datos'!$F$9:$F$68*(1+IF('Base de Datos'!$I$9:$I$68="",0,'Base de Datos'!$I$9:$I$68)),MATCH(C131,'Base de Datos'!$B$9:$B$68,0)),0))</f>
        <v/>
      </c>
      <c r="G131" s="30"/>
      <c r="H131" s="30"/>
      <c r="I131" s="30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3"/>
      <c r="B132" s="3"/>
      <c r="C132" s="49"/>
      <c r="D132" s="152"/>
      <c r="E132" s="50"/>
      <c r="F132" s="153" t="str">
        <f t="array" ref="F132">IF(OR(C132="",D132=""),"",D132*IFERROR(INDEX('Base de Datos'!$H$9:$H$68/'Base de Datos'!$F$9:$F$68*(1+IF('Base de Datos'!$I$9:$I$68="",0,'Base de Datos'!$I$9:$I$68)),MATCH(C132,'Base de Datos'!$B$9:$B$68,0)),0))</f>
        <v/>
      </c>
      <c r="G132" s="30"/>
      <c r="H132" s="30"/>
      <c r="I132" s="30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3"/>
      <c r="B133" s="3"/>
      <c r="C133" s="49"/>
      <c r="D133" s="152"/>
      <c r="E133" s="50"/>
      <c r="F133" s="153" t="str">
        <f t="array" ref="F133">IF(OR(C133="",D133=""),"",D133*IFERROR(INDEX('Base de Datos'!$H$9:$H$68/'Base de Datos'!$F$9:$F$68*(1+IF('Base de Datos'!$I$9:$I$68="",0,'Base de Datos'!$I$9:$I$68)),MATCH(C133,'Base de Datos'!$B$9:$B$68,0)),0))</f>
        <v/>
      </c>
      <c r="G133" s="30"/>
      <c r="H133" s="30"/>
      <c r="I133" s="30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3"/>
      <c r="B134" s="3"/>
      <c r="C134" s="49"/>
      <c r="D134" s="152"/>
      <c r="E134" s="50"/>
      <c r="F134" s="153" t="str">
        <f t="array" ref="F134">IF(OR(C134="",D134=""),"",D134*IFERROR(INDEX('Base de Datos'!$H$9:$H$68/'Base de Datos'!$F$9:$F$68*(1+IF('Base de Datos'!$I$9:$I$68="",0,'Base de Datos'!$I$9:$I$68)),MATCH(C134,'Base de Datos'!$B$9:$B$68,0)),0))</f>
        <v/>
      </c>
      <c r="G134" s="30"/>
      <c r="H134" s="30"/>
      <c r="I134" s="30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6.0" customHeight="1">
      <c r="A135" s="3"/>
      <c r="B135" s="3"/>
      <c r="C135" s="3"/>
      <c r="D135" s="3"/>
      <c r="E135" s="3"/>
      <c r="F135" s="30"/>
      <c r="G135" s="30"/>
      <c r="H135" s="30"/>
      <c r="I135" s="30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1.75" customHeight="1">
      <c r="A136" s="3"/>
      <c r="B136" s="3"/>
      <c r="C136" s="154" t="s">
        <v>231</v>
      </c>
      <c r="D136" s="3"/>
      <c r="E136" s="3"/>
      <c r="F136" s="155"/>
      <c r="G136" s="156"/>
      <c r="H136" s="157"/>
      <c r="I136" s="30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146" t="s">
        <v>309</v>
      </c>
      <c r="D137" s="158">
        <f>SUM(F123:F134)</f>
        <v>669984</v>
      </c>
      <c r="E137" s="21"/>
      <c r="F137" s="22"/>
      <c r="G137" s="30"/>
      <c r="H137" s="30"/>
      <c r="I137" s="3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146" t="s">
        <v>310</v>
      </c>
      <c r="D138" s="158">
        <f>D137*D120</f>
        <v>26799.36</v>
      </c>
      <c r="E138" s="21"/>
      <c r="F138" s="22"/>
      <c r="G138" s="30"/>
      <c r="H138" s="30"/>
      <c r="I138" s="30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159" t="s">
        <v>311</v>
      </c>
      <c r="D139" s="160">
        <f>D137+D138</f>
        <v>696783.36</v>
      </c>
      <c r="E139" s="21"/>
      <c r="F139" s="22"/>
      <c r="G139" s="30"/>
      <c r="H139" s="30"/>
      <c r="I139" s="30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146" t="s">
        <v>312</v>
      </c>
      <c r="D140" s="161">
        <f>D120</f>
        <v>0.04</v>
      </c>
      <c r="E140" s="21"/>
      <c r="F140" s="22"/>
      <c r="G140" s="30"/>
      <c r="H140" s="30"/>
      <c r="I140" s="30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146" t="s">
        <v>313</v>
      </c>
      <c r="D141" s="162">
        <f>F119</f>
        <v>380</v>
      </c>
      <c r="E141" s="21"/>
      <c r="F141" s="22"/>
      <c r="G141" s="30"/>
      <c r="H141" s="30"/>
      <c r="I141" s="30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7.75" customHeight="1">
      <c r="A142" s="3"/>
      <c r="B142" s="3"/>
      <c r="C142" s="83" t="s">
        <v>314</v>
      </c>
      <c r="D142" s="22"/>
      <c r="E142" s="3"/>
      <c r="F142" s="163">
        <f>IF(AND(D139&gt;0,F119&gt;0),D139/F119,"")</f>
        <v>1833.640421</v>
      </c>
      <c r="G142" s="3"/>
      <c r="H142" s="3"/>
      <c r="I142" s="30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1" t="s">
        <v>315</v>
      </c>
      <c r="D143" s="18"/>
      <c r="E143" s="18"/>
      <c r="F143" s="18"/>
      <c r="G143" s="18"/>
      <c r="H143" s="19"/>
      <c r="I143" s="30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1.0" customHeight="1">
      <c r="A144" s="164"/>
      <c r="B144" s="18"/>
      <c r="C144" s="18"/>
      <c r="D144" s="18"/>
      <c r="E144" s="18"/>
      <c r="F144" s="18"/>
      <c r="G144" s="18"/>
      <c r="H144" s="18"/>
      <c r="I144" s="19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5.5" customHeight="1">
      <c r="A145" s="165" t="s">
        <v>328</v>
      </c>
      <c r="B145" s="3"/>
      <c r="C145" s="142" t="s">
        <v>329</v>
      </c>
      <c r="D145" s="21"/>
      <c r="E145" s="21"/>
      <c r="F145" s="22"/>
      <c r="G145" s="3"/>
      <c r="H145" s="3"/>
      <c r="I145" s="30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4.0" customHeight="1">
      <c r="A146" s="3"/>
      <c r="B146" s="3"/>
      <c r="C146" s="144" t="s">
        <v>285</v>
      </c>
      <c r="D146" s="145" t="s">
        <v>330</v>
      </c>
      <c r="E146" s="21"/>
      <c r="F146" s="22"/>
      <c r="G146" s="30"/>
      <c r="H146" s="30"/>
      <c r="I146" s="30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1.75" customHeight="1">
      <c r="A147" s="3"/>
      <c r="B147" s="3"/>
      <c r="C147" s="146" t="s">
        <v>288</v>
      </c>
      <c r="D147" s="51">
        <v>300.0</v>
      </c>
      <c r="E147" s="147" t="s">
        <v>289</v>
      </c>
      <c r="F147" s="148">
        <v>260.0</v>
      </c>
      <c r="G147" s="101"/>
      <c r="H147" s="101"/>
      <c r="I147" s="30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3"/>
      <c r="B148" s="3"/>
      <c r="C148" s="149" t="s">
        <v>291</v>
      </c>
      <c r="D148" s="150">
        <v>0.03</v>
      </c>
      <c r="E148" s="151"/>
      <c r="I148" s="9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6.0" customHeight="1">
      <c r="A149" s="3"/>
      <c r="B149" s="3"/>
      <c r="C149" s="3"/>
      <c r="D149" s="3"/>
      <c r="E149" s="3"/>
      <c r="F149" s="99"/>
      <c r="G149" s="99"/>
      <c r="H149" s="99"/>
      <c r="I149" s="30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6.0" customHeight="1">
      <c r="A150" s="3"/>
      <c r="B150" s="3"/>
      <c r="C150" s="61" t="s">
        <v>294</v>
      </c>
      <c r="D150" s="61" t="s">
        <v>295</v>
      </c>
      <c r="E150" s="61" t="s">
        <v>163</v>
      </c>
      <c r="F150" s="61" t="s">
        <v>296</v>
      </c>
      <c r="G150" s="30"/>
      <c r="H150" s="30"/>
      <c r="I150" s="30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3"/>
      <c r="B151" s="3"/>
      <c r="C151" s="49" t="s">
        <v>82</v>
      </c>
      <c r="D151" s="152">
        <v>200.0</v>
      </c>
      <c r="E151" s="50" t="s">
        <v>300</v>
      </c>
      <c r="F151" s="153">
        <f t="array" ref="F151">IF(OR(C151="",D151=""),"",D151*IFERROR(INDEX('Base de Datos'!$H$9:$H$68/'Base de Datos'!$F$9:$F$68*(1+IF('Base de Datos'!$I$9:$I$68="",0,'Base de Datos'!$I$9:$I$68)),MATCH(C151,'Base de Datos'!$B$9:$B$68,0)),0))</f>
        <v>50960</v>
      </c>
      <c r="G151" s="30"/>
      <c r="H151" s="30"/>
      <c r="I151" s="30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3"/>
      <c r="B152" s="3"/>
      <c r="C152" s="49" t="s">
        <v>98</v>
      </c>
      <c r="D152" s="152">
        <v>100.0</v>
      </c>
      <c r="E152" s="50" t="s">
        <v>298</v>
      </c>
      <c r="F152" s="153">
        <f t="array" ref="F152">IF(OR(C152="",D152=""),"",D152*IFERROR(INDEX('Base de Datos'!$H$9:$H$68/'Base de Datos'!$F$9:$F$68*(1+IF('Base de Datos'!$I$9:$I$68="",0,'Base de Datos'!$I$9:$I$68)),MATCH(C152,'Base de Datos'!$B$9:$B$68,0)),0))</f>
        <v>127500</v>
      </c>
      <c r="G152" s="30"/>
      <c r="H152" s="30"/>
      <c r="I152" s="30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3"/>
      <c r="B153" s="3"/>
      <c r="C153" s="49"/>
      <c r="D153" s="152"/>
      <c r="E153" s="50"/>
      <c r="F153" s="153" t="str">
        <f t="array" ref="F153">IF(OR(C153="",D153=""),"",D153*IFERROR(INDEX('Base de Datos'!$H$9:$H$68/'Base de Datos'!$F$9:$F$68*(1+IF('Base de Datos'!$I$9:$I$68="",0,'Base de Datos'!$I$9:$I$68)),MATCH(C153,'Base de Datos'!$B$9:$B$68,0)),0))</f>
        <v/>
      </c>
      <c r="G153" s="30"/>
      <c r="H153" s="30"/>
      <c r="I153" s="30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3"/>
      <c r="B154" s="3"/>
      <c r="C154" s="49"/>
      <c r="D154" s="152"/>
      <c r="E154" s="50"/>
      <c r="F154" s="153" t="str">
        <f t="array" ref="F154">IF(OR(C154="",D154=""),"",D154*IFERROR(INDEX('Base de Datos'!$H$9:$H$68/'Base de Datos'!$F$9:$F$68*(1+IF('Base de Datos'!$I$9:$I$68="",0,'Base de Datos'!$I$9:$I$68)),MATCH(C154,'Base de Datos'!$B$9:$B$68,0)),0))</f>
        <v/>
      </c>
      <c r="G154" s="30"/>
      <c r="H154" s="30"/>
      <c r="I154" s="30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3"/>
      <c r="B155" s="3"/>
      <c r="C155" s="49"/>
      <c r="D155" s="152"/>
      <c r="E155" s="50"/>
      <c r="F155" s="153" t="str">
        <f t="array" ref="F155">IF(OR(C155="",D155=""),"",D155*IFERROR(INDEX('Base de Datos'!$H$9:$H$68/'Base de Datos'!$F$9:$F$68*(1+IF('Base de Datos'!$I$9:$I$68="",0,'Base de Datos'!$I$9:$I$68)),MATCH(C155,'Base de Datos'!$B$9:$B$68,0)),0))</f>
        <v/>
      </c>
      <c r="G155" s="30"/>
      <c r="H155" s="30"/>
      <c r="I155" s="30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3"/>
      <c r="B156" s="3"/>
      <c r="C156" s="49"/>
      <c r="D156" s="152"/>
      <c r="E156" s="50"/>
      <c r="F156" s="153" t="str">
        <f t="array" ref="F156">IF(OR(C156="",D156=""),"",D156*IFERROR(INDEX('Base de Datos'!$H$9:$H$68/'Base de Datos'!$F$9:$F$68*(1+IF('Base de Datos'!$I$9:$I$68="",0,'Base de Datos'!$I$9:$I$68)),MATCH(C156,'Base de Datos'!$B$9:$B$68,0)),0))</f>
        <v/>
      </c>
      <c r="G156" s="30"/>
      <c r="H156" s="30"/>
      <c r="I156" s="30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3"/>
      <c r="B157" s="3"/>
      <c r="C157" s="49"/>
      <c r="D157" s="152"/>
      <c r="E157" s="50"/>
      <c r="F157" s="153" t="str">
        <f t="array" ref="F157">IF(OR(C157="",D157=""),"",D157*IFERROR(INDEX('Base de Datos'!$H$9:$H$68/'Base de Datos'!$F$9:$F$68*(1+IF('Base de Datos'!$I$9:$I$68="",0,'Base de Datos'!$I$9:$I$68)),MATCH(C157,'Base de Datos'!$B$9:$B$68,0)),0))</f>
        <v/>
      </c>
      <c r="G157" s="30"/>
      <c r="H157" s="30"/>
      <c r="I157" s="30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3"/>
      <c r="B158" s="3"/>
      <c r="C158" s="49"/>
      <c r="D158" s="152"/>
      <c r="E158" s="50"/>
      <c r="F158" s="153" t="str">
        <f t="array" ref="F158">IF(OR(C158="",D158=""),"",D158*IFERROR(INDEX('Base de Datos'!$H$9:$H$68/'Base de Datos'!$F$9:$F$68*(1+IF('Base de Datos'!$I$9:$I$68="",0,'Base de Datos'!$I$9:$I$68)),MATCH(C158,'Base de Datos'!$B$9:$B$68,0)),0))</f>
        <v/>
      </c>
      <c r="G158" s="30"/>
      <c r="H158" s="30"/>
      <c r="I158" s="30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3"/>
      <c r="B159" s="3"/>
      <c r="C159" s="49"/>
      <c r="D159" s="152"/>
      <c r="E159" s="50"/>
      <c r="F159" s="153" t="str">
        <f t="array" ref="F159">IF(OR(C159="",D159=""),"",D159*IFERROR(INDEX('Base de Datos'!$H$9:$H$68/'Base de Datos'!$F$9:$F$68*(1+IF('Base de Datos'!$I$9:$I$68="",0,'Base de Datos'!$I$9:$I$68)),MATCH(C159,'Base de Datos'!$B$9:$B$68,0)),0))</f>
        <v/>
      </c>
      <c r="G159" s="30"/>
      <c r="H159" s="30"/>
      <c r="I159" s="30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3"/>
      <c r="B160" s="3"/>
      <c r="C160" s="49"/>
      <c r="D160" s="152"/>
      <c r="E160" s="50"/>
      <c r="F160" s="153" t="str">
        <f t="array" ref="F160">IF(OR(C160="",D160=""),"",D160*IFERROR(INDEX('Base de Datos'!$H$9:$H$68/'Base de Datos'!$F$9:$F$68*(1+IF('Base de Datos'!$I$9:$I$68="",0,'Base de Datos'!$I$9:$I$68)),MATCH(C160,'Base de Datos'!$B$9:$B$68,0)),0))</f>
        <v/>
      </c>
      <c r="G160" s="30"/>
      <c r="H160" s="30"/>
      <c r="I160" s="30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3"/>
      <c r="B161" s="3"/>
      <c r="C161" s="49"/>
      <c r="D161" s="152"/>
      <c r="E161" s="50"/>
      <c r="F161" s="153" t="str">
        <f t="array" ref="F161">IF(OR(C161="",D161=""),"",D161*IFERROR(INDEX('Base de Datos'!$H$9:$H$68/'Base de Datos'!$F$9:$F$68*(1+IF('Base de Datos'!$I$9:$I$68="",0,'Base de Datos'!$I$9:$I$68)),MATCH(C161,'Base de Datos'!$B$9:$B$68,0)),0))</f>
        <v/>
      </c>
      <c r="G161" s="30"/>
      <c r="H161" s="30"/>
      <c r="I161" s="30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3"/>
      <c r="B162" s="3"/>
      <c r="C162" s="49"/>
      <c r="D162" s="152"/>
      <c r="E162" s="50"/>
      <c r="F162" s="153" t="str">
        <f t="array" ref="F162">IF(OR(C162="",D162=""),"",D162*IFERROR(INDEX('Base de Datos'!$H$9:$H$68/'Base de Datos'!$F$9:$F$68*(1+IF('Base de Datos'!$I$9:$I$68="",0,'Base de Datos'!$I$9:$I$68)),MATCH(C162,'Base de Datos'!$B$9:$B$68,0)),0))</f>
        <v/>
      </c>
      <c r="G162" s="30"/>
      <c r="H162" s="30"/>
      <c r="I162" s="30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6.0" customHeight="1">
      <c r="A163" s="3"/>
      <c r="B163" s="3"/>
      <c r="C163" s="3"/>
      <c r="D163" s="3"/>
      <c r="E163" s="3"/>
      <c r="F163" s="30"/>
      <c r="G163" s="30"/>
      <c r="H163" s="30"/>
      <c r="I163" s="30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1.75" customHeight="1">
      <c r="A164" s="3"/>
      <c r="B164" s="3"/>
      <c r="C164" s="154" t="s">
        <v>231</v>
      </c>
      <c r="D164" s="3"/>
      <c r="E164" s="3"/>
      <c r="F164" s="155"/>
      <c r="G164" s="156"/>
      <c r="H164" s="157"/>
      <c r="I164" s="30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146" t="s">
        <v>309</v>
      </c>
      <c r="D165" s="158">
        <f>SUM(F151:F162)</f>
        <v>178460</v>
      </c>
      <c r="E165" s="21"/>
      <c r="F165" s="22"/>
      <c r="G165" s="30"/>
      <c r="H165" s="30"/>
      <c r="I165" s="30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146" t="s">
        <v>310</v>
      </c>
      <c r="D166" s="158">
        <f>D165*D148</f>
        <v>5353.8</v>
      </c>
      <c r="E166" s="21"/>
      <c r="F166" s="22"/>
      <c r="G166" s="30"/>
      <c r="H166" s="30"/>
      <c r="I166" s="30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159" t="s">
        <v>311</v>
      </c>
      <c r="D167" s="160">
        <f>D165+D166</f>
        <v>183813.8</v>
      </c>
      <c r="E167" s="21"/>
      <c r="F167" s="22"/>
      <c r="G167" s="30"/>
      <c r="H167" s="30"/>
      <c r="I167" s="30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146" t="s">
        <v>312</v>
      </c>
      <c r="D168" s="161">
        <f>D148</f>
        <v>0.03</v>
      </c>
      <c r="E168" s="21"/>
      <c r="F168" s="22"/>
      <c r="G168" s="30"/>
      <c r="H168" s="30"/>
      <c r="I168" s="30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146" t="s">
        <v>313</v>
      </c>
      <c r="D169" s="162">
        <f>F147</f>
        <v>260</v>
      </c>
      <c r="E169" s="21"/>
      <c r="F169" s="22"/>
      <c r="G169" s="30"/>
      <c r="H169" s="30"/>
      <c r="I169" s="30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7.75" customHeight="1">
      <c r="A170" s="3"/>
      <c r="B170" s="3"/>
      <c r="C170" s="83" t="s">
        <v>314</v>
      </c>
      <c r="D170" s="22"/>
      <c r="E170" s="3"/>
      <c r="F170" s="163">
        <f>IF(AND(D167&gt;0,F147&gt;0),D167/F147,"")</f>
        <v>706.9761538</v>
      </c>
      <c r="G170" s="3"/>
      <c r="H170" s="3"/>
      <c r="I170" s="30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1" t="s">
        <v>315</v>
      </c>
      <c r="D171" s="18"/>
      <c r="E171" s="18"/>
      <c r="F171" s="18"/>
      <c r="G171" s="18"/>
      <c r="H171" s="19"/>
      <c r="I171" s="30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1.75" customHeight="1">
      <c r="A172" s="164"/>
      <c r="B172" s="18"/>
      <c r="C172" s="18"/>
      <c r="D172" s="18"/>
      <c r="E172" s="18"/>
      <c r="F172" s="18"/>
      <c r="G172" s="18"/>
      <c r="H172" s="18"/>
      <c r="I172" s="19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5.5" customHeight="1">
      <c r="A173" s="165" t="s">
        <v>331</v>
      </c>
      <c r="B173" s="3"/>
      <c r="C173" s="142" t="s">
        <v>332</v>
      </c>
      <c r="D173" s="21"/>
      <c r="E173" s="21"/>
      <c r="F173" s="22"/>
      <c r="G173" s="3"/>
      <c r="H173" s="3"/>
      <c r="I173" s="30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4.0" customHeight="1">
      <c r="A174" s="3"/>
      <c r="B174" s="3"/>
      <c r="C174" s="144" t="s">
        <v>285</v>
      </c>
      <c r="D174" s="145" t="s">
        <v>333</v>
      </c>
      <c r="E174" s="21"/>
      <c r="F174" s="22"/>
      <c r="G174" s="30"/>
      <c r="H174" s="30"/>
      <c r="I174" s="30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1.75" customHeight="1">
      <c r="A175" s="3"/>
      <c r="B175" s="3"/>
      <c r="C175" s="146" t="s">
        <v>288</v>
      </c>
      <c r="D175" s="51">
        <v>450.0</v>
      </c>
      <c r="E175" s="147" t="s">
        <v>289</v>
      </c>
      <c r="F175" s="148">
        <v>420.0</v>
      </c>
      <c r="G175" s="101"/>
      <c r="H175" s="101"/>
      <c r="I175" s="30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3"/>
      <c r="B176" s="3"/>
      <c r="C176" s="149" t="s">
        <v>291</v>
      </c>
      <c r="D176" s="150">
        <v>0.04</v>
      </c>
      <c r="E176" s="151"/>
      <c r="I176" s="9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6.0" customHeight="1">
      <c r="A177" s="3"/>
      <c r="B177" s="3"/>
      <c r="C177" s="3"/>
      <c r="D177" s="3"/>
      <c r="E177" s="3"/>
      <c r="F177" s="99"/>
      <c r="G177" s="99"/>
      <c r="H177" s="99"/>
      <c r="I177" s="30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36.0" customHeight="1">
      <c r="A178" s="3"/>
      <c r="B178" s="3"/>
      <c r="C178" s="61" t="s">
        <v>294</v>
      </c>
      <c r="D178" s="61" t="s">
        <v>295</v>
      </c>
      <c r="E178" s="61" t="s">
        <v>163</v>
      </c>
      <c r="F178" s="61" t="s">
        <v>296</v>
      </c>
      <c r="G178" s="30"/>
      <c r="H178" s="30"/>
      <c r="I178" s="30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3"/>
      <c r="B179" s="3"/>
      <c r="C179" s="49" t="s">
        <v>77</v>
      </c>
      <c r="D179" s="152">
        <v>250.0</v>
      </c>
      <c r="E179" s="50" t="s">
        <v>300</v>
      </c>
      <c r="F179" s="153">
        <f t="array" ref="F179">IF(OR(C179="",D179=""),"",D179*IFERROR(INDEX('Base de Datos'!$H$9:$H$68/'Base de Datos'!$F$9:$F$68*(1+IF('Base de Datos'!$I$9:$I$68="",0,'Base de Datos'!$I$9:$I$68)),MATCH(C179,'Base de Datos'!$B$9:$B$68,0)),0))</f>
        <v>42000</v>
      </c>
      <c r="G179" s="30"/>
      <c r="H179" s="30"/>
      <c r="I179" s="30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3"/>
      <c r="B180" s="3"/>
      <c r="C180" s="49" t="s">
        <v>86</v>
      </c>
      <c r="D180" s="152">
        <v>120.0</v>
      </c>
      <c r="E180" s="50" t="s">
        <v>300</v>
      </c>
      <c r="F180" s="153">
        <f t="array" ref="F180">IF(OR(C180="",D180=""),"",D180*IFERROR(INDEX('Base de Datos'!$H$9:$H$68/'Base de Datos'!$F$9:$F$68*(1+IF('Base de Datos'!$I$9:$I$68="",0,'Base de Datos'!$I$9:$I$68)),MATCH(C180,'Base de Datos'!$B$9:$B$68,0)),0))</f>
        <v>343200</v>
      </c>
      <c r="G180" s="30"/>
      <c r="H180" s="30"/>
      <c r="I180" s="30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3"/>
      <c r="B181" s="3"/>
      <c r="C181" s="49" t="s">
        <v>82</v>
      </c>
      <c r="D181" s="152">
        <v>80.0</v>
      </c>
      <c r="E181" s="50" t="s">
        <v>300</v>
      </c>
      <c r="F181" s="153">
        <f t="array" ref="F181">IF(OR(C181="",D181=""),"",D181*IFERROR(INDEX('Base de Datos'!$H$9:$H$68/'Base de Datos'!$F$9:$F$68*(1+IF('Base de Datos'!$I$9:$I$68="",0,'Base de Datos'!$I$9:$I$68)),MATCH(C181,'Base de Datos'!$B$9:$B$68,0)),0))</f>
        <v>20384</v>
      </c>
      <c r="G181" s="30"/>
      <c r="H181" s="30"/>
      <c r="I181" s="30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3"/>
      <c r="B182" s="3"/>
      <c r="C182" s="49" t="s">
        <v>94</v>
      </c>
      <c r="D182" s="152">
        <v>1.0</v>
      </c>
      <c r="E182" s="50" t="s">
        <v>97</v>
      </c>
      <c r="F182" s="153">
        <f t="array" ref="F182">IF(OR(C182="",D182=""),"",D182*IFERROR(INDEX('Base de Datos'!$H$9:$H$68/'Base de Datos'!$F$9:$F$68*(1+IF('Base de Datos'!$I$9:$I$68="",0,'Base de Datos'!$I$9:$I$68)),MATCH(C182,'Base de Datos'!$B$9:$B$68,0)),0))</f>
        <v>400</v>
      </c>
      <c r="G182" s="30"/>
      <c r="H182" s="30"/>
      <c r="I182" s="30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3"/>
      <c r="B183" s="3"/>
      <c r="C183" s="49" t="s">
        <v>106</v>
      </c>
      <c r="D183" s="152">
        <v>2.0</v>
      </c>
      <c r="E183" s="50" t="s">
        <v>300</v>
      </c>
      <c r="F183" s="153">
        <f t="array" ref="F183">IF(OR(C183="",D183=""),"",D183*IFERROR(INDEX('Base de Datos'!$H$9:$H$68/'Base de Datos'!$F$9:$F$68*(1+IF('Base de Datos'!$I$9:$I$68="",0,'Base de Datos'!$I$9:$I$68)),MATCH(C183,'Base de Datos'!$B$9:$B$68,0)),0))</f>
        <v>882</v>
      </c>
      <c r="G183" s="30"/>
      <c r="H183" s="30"/>
      <c r="I183" s="30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3"/>
      <c r="B184" s="3"/>
      <c r="C184" s="49"/>
      <c r="D184" s="152"/>
      <c r="E184" s="50"/>
      <c r="F184" s="153" t="str">
        <f t="array" ref="F184">IF(OR(C184="",D184=""),"",D184*IFERROR(INDEX('Base de Datos'!$H$9:$H$68/'Base de Datos'!$F$9:$F$68*(1+IF('Base de Datos'!$I$9:$I$68="",0,'Base de Datos'!$I$9:$I$68)),MATCH(C184,'Base de Datos'!$B$9:$B$68,0)),0))</f>
        <v/>
      </c>
      <c r="G184" s="30"/>
      <c r="H184" s="30"/>
      <c r="I184" s="30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3"/>
      <c r="B185" s="3"/>
      <c r="C185" s="49"/>
      <c r="D185" s="152"/>
      <c r="E185" s="50"/>
      <c r="F185" s="153" t="str">
        <f t="array" ref="F185">IF(OR(C185="",D185=""),"",D185*IFERROR(INDEX('Base de Datos'!$H$9:$H$68/'Base de Datos'!$F$9:$F$68*(1+IF('Base de Datos'!$I$9:$I$68="",0,'Base de Datos'!$I$9:$I$68)),MATCH(C185,'Base de Datos'!$B$9:$B$68,0)),0))</f>
        <v/>
      </c>
      <c r="G185" s="30"/>
      <c r="H185" s="30"/>
      <c r="I185" s="30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3"/>
      <c r="B186" s="3"/>
      <c r="C186" s="49"/>
      <c r="D186" s="152"/>
      <c r="E186" s="50"/>
      <c r="F186" s="153" t="str">
        <f t="array" ref="F186">IF(OR(C186="",D186=""),"",D186*IFERROR(INDEX('Base de Datos'!$H$9:$H$68/'Base de Datos'!$F$9:$F$68*(1+IF('Base de Datos'!$I$9:$I$68="",0,'Base de Datos'!$I$9:$I$68)),MATCH(C186,'Base de Datos'!$B$9:$B$68,0)),0))</f>
        <v/>
      </c>
      <c r="G186" s="30"/>
      <c r="H186" s="30"/>
      <c r="I186" s="30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3"/>
      <c r="B187" s="3"/>
      <c r="C187" s="49"/>
      <c r="D187" s="152"/>
      <c r="E187" s="50"/>
      <c r="F187" s="153" t="str">
        <f t="array" ref="F187">IF(OR(C187="",D187=""),"",D187*IFERROR(INDEX('Base de Datos'!$H$9:$H$68/'Base de Datos'!$F$9:$F$68*(1+IF('Base de Datos'!$I$9:$I$68="",0,'Base de Datos'!$I$9:$I$68)),MATCH(C187,'Base de Datos'!$B$9:$B$68,0)),0))</f>
        <v/>
      </c>
      <c r="G187" s="30"/>
      <c r="H187" s="30"/>
      <c r="I187" s="30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3"/>
      <c r="B188" s="3"/>
      <c r="C188" s="49"/>
      <c r="D188" s="152"/>
      <c r="E188" s="50"/>
      <c r="F188" s="153" t="str">
        <f t="array" ref="F188">IF(OR(C188="",D188=""),"",D188*IFERROR(INDEX('Base de Datos'!$H$9:$H$68/'Base de Datos'!$F$9:$F$68*(1+IF('Base de Datos'!$I$9:$I$68="",0,'Base de Datos'!$I$9:$I$68)),MATCH(C188,'Base de Datos'!$B$9:$B$68,0)),0))</f>
        <v/>
      </c>
      <c r="G188" s="30"/>
      <c r="H188" s="30"/>
      <c r="I188" s="30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3"/>
      <c r="B189" s="3"/>
      <c r="C189" s="49"/>
      <c r="D189" s="152"/>
      <c r="E189" s="50"/>
      <c r="F189" s="153" t="str">
        <f t="array" ref="F189">IF(OR(C189="",D189=""),"",D189*IFERROR(INDEX('Base de Datos'!$H$9:$H$68/'Base de Datos'!$F$9:$F$68*(1+IF('Base de Datos'!$I$9:$I$68="",0,'Base de Datos'!$I$9:$I$68)),MATCH(C189,'Base de Datos'!$B$9:$B$68,0)),0))</f>
        <v/>
      </c>
      <c r="G189" s="30"/>
      <c r="H189" s="30"/>
      <c r="I189" s="30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3"/>
      <c r="B190" s="3"/>
      <c r="C190" s="49"/>
      <c r="D190" s="152"/>
      <c r="E190" s="50"/>
      <c r="F190" s="153" t="str">
        <f t="array" ref="F190">IF(OR(C190="",D190=""),"",D190*IFERROR(INDEX('Base de Datos'!$H$9:$H$68/'Base de Datos'!$F$9:$F$68*(1+IF('Base de Datos'!$I$9:$I$68="",0,'Base de Datos'!$I$9:$I$68)),MATCH(C190,'Base de Datos'!$B$9:$B$68,0)),0))</f>
        <v/>
      </c>
      <c r="G190" s="30"/>
      <c r="H190" s="30"/>
      <c r="I190" s="30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6.0" customHeight="1">
      <c r="A191" s="3"/>
      <c r="B191" s="3"/>
      <c r="C191" s="3"/>
      <c r="D191" s="3"/>
      <c r="E191" s="3"/>
      <c r="F191" s="30"/>
      <c r="G191" s="30"/>
      <c r="H191" s="30"/>
      <c r="I191" s="30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1.75" customHeight="1">
      <c r="A192" s="3"/>
      <c r="B192" s="3"/>
      <c r="C192" s="167" t="s">
        <v>231</v>
      </c>
      <c r="D192" s="21"/>
      <c r="E192" s="21"/>
      <c r="F192" s="22"/>
      <c r="G192" s="3"/>
      <c r="H192" s="3"/>
      <c r="I192" s="30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146" t="s">
        <v>309</v>
      </c>
      <c r="D193" s="158">
        <f>SUM(F179:F190)</f>
        <v>406866</v>
      </c>
      <c r="E193" s="21"/>
      <c r="F193" s="22"/>
      <c r="G193" s="30"/>
      <c r="H193" s="30"/>
      <c r="I193" s="30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146" t="s">
        <v>310</v>
      </c>
      <c r="D194" s="158">
        <f>D193*D176</f>
        <v>16274.64</v>
      </c>
      <c r="E194" s="21"/>
      <c r="F194" s="22"/>
      <c r="G194" s="30"/>
      <c r="H194" s="30"/>
      <c r="I194" s="30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159" t="s">
        <v>311</v>
      </c>
      <c r="D195" s="160">
        <f>D193+D194</f>
        <v>423140.64</v>
      </c>
      <c r="E195" s="21"/>
      <c r="F195" s="22"/>
      <c r="G195" s="30"/>
      <c r="H195" s="30"/>
      <c r="I195" s="30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146" t="s">
        <v>312</v>
      </c>
      <c r="D196" s="161">
        <f>D176</f>
        <v>0.04</v>
      </c>
      <c r="E196" s="21"/>
      <c r="F196" s="22"/>
      <c r="G196" s="30"/>
      <c r="H196" s="30"/>
      <c r="I196" s="30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146" t="s">
        <v>313</v>
      </c>
      <c r="D197" s="162">
        <f>F175</f>
        <v>420</v>
      </c>
      <c r="E197" s="21"/>
      <c r="F197" s="22"/>
      <c r="G197" s="30"/>
      <c r="H197" s="30"/>
      <c r="I197" s="30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7.75" customHeight="1">
      <c r="A198" s="3"/>
      <c r="B198" s="3"/>
      <c r="C198" s="83" t="s">
        <v>314</v>
      </c>
      <c r="D198" s="22"/>
      <c r="E198" s="3"/>
      <c r="F198" s="163">
        <f>IF(AND(D195&gt;0,F175&gt;0),D195/F175,"")</f>
        <v>1007.477714</v>
      </c>
      <c r="G198" s="3"/>
      <c r="H198" s="3"/>
      <c r="I198" s="30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1" t="s">
        <v>315</v>
      </c>
      <c r="D199" s="18"/>
      <c r="E199" s="18"/>
      <c r="F199" s="18"/>
      <c r="G199" s="18"/>
      <c r="H199" s="19"/>
      <c r="I199" s="30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1.0" customHeight="1">
      <c r="A200" s="164"/>
      <c r="B200" s="18"/>
      <c r="C200" s="18"/>
      <c r="D200" s="18"/>
      <c r="E200" s="18"/>
      <c r="F200" s="18"/>
      <c r="G200" s="18"/>
      <c r="H200" s="18"/>
      <c r="I200" s="19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5.5" customHeight="1">
      <c r="A201" s="165" t="s">
        <v>334</v>
      </c>
      <c r="B201" s="3"/>
      <c r="C201" s="142" t="s">
        <v>335</v>
      </c>
      <c r="D201" s="21"/>
      <c r="E201" s="21"/>
      <c r="F201" s="22"/>
      <c r="G201" s="3"/>
      <c r="H201" s="3"/>
      <c r="I201" s="30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4.0" customHeight="1">
      <c r="A202" s="3"/>
      <c r="B202" s="3"/>
      <c r="C202" s="144" t="s">
        <v>285</v>
      </c>
      <c r="D202" s="145" t="s">
        <v>336</v>
      </c>
      <c r="E202" s="21"/>
      <c r="F202" s="22"/>
      <c r="G202" s="30"/>
      <c r="H202" s="30"/>
      <c r="I202" s="30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1.75" customHeight="1">
      <c r="A203" s="3"/>
      <c r="B203" s="3"/>
      <c r="C203" s="146" t="s">
        <v>288</v>
      </c>
      <c r="D203" s="51">
        <v>500.0</v>
      </c>
      <c r="E203" s="147" t="s">
        <v>289</v>
      </c>
      <c r="F203" s="148">
        <v>480.0</v>
      </c>
      <c r="G203" s="101"/>
      <c r="H203" s="101"/>
      <c r="I203" s="30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3"/>
      <c r="B204" s="3"/>
      <c r="C204" s="149" t="s">
        <v>291</v>
      </c>
      <c r="D204" s="150">
        <v>0.03</v>
      </c>
      <c r="E204" s="151"/>
      <c r="I204" s="9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6.0" customHeight="1">
      <c r="A205" s="3"/>
      <c r="B205" s="3"/>
      <c r="C205" s="3"/>
      <c r="D205" s="3"/>
      <c r="E205" s="3"/>
      <c r="F205" s="99"/>
      <c r="G205" s="99"/>
      <c r="H205" s="99"/>
      <c r="I205" s="30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36.0" customHeight="1">
      <c r="A206" s="3"/>
      <c r="B206" s="3"/>
      <c r="C206" s="61" t="s">
        <v>294</v>
      </c>
      <c r="D206" s="61" t="s">
        <v>295</v>
      </c>
      <c r="E206" s="61" t="s">
        <v>163</v>
      </c>
      <c r="F206" s="61" t="s">
        <v>296</v>
      </c>
      <c r="G206" s="30"/>
      <c r="H206" s="30"/>
      <c r="I206" s="30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3"/>
      <c r="B207" s="3"/>
      <c r="C207" s="49" t="s">
        <v>101</v>
      </c>
      <c r="D207" s="152">
        <v>350.0</v>
      </c>
      <c r="E207" s="50" t="s">
        <v>300</v>
      </c>
      <c r="F207" s="153">
        <f t="array" ref="F207">IF(OR(C207="",D207=""),"",D207*IFERROR(INDEX('Base de Datos'!$H$9:$H$68/'Base de Datos'!$F$9:$F$68*(1+IF('Base de Datos'!$I$9:$I$68="",0,'Base de Datos'!$I$9:$I$68)),MATCH(C207,'Base de Datos'!$B$9:$B$68,0)),0))</f>
        <v>2016000</v>
      </c>
      <c r="G207" s="30"/>
      <c r="H207" s="30"/>
      <c r="I207" s="30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3"/>
      <c r="B208" s="3"/>
      <c r="C208" s="49" t="s">
        <v>82</v>
      </c>
      <c r="D208" s="152">
        <v>80.0</v>
      </c>
      <c r="E208" s="50" t="s">
        <v>300</v>
      </c>
      <c r="F208" s="153">
        <f t="array" ref="F208">IF(OR(C208="",D208=""),"",D208*IFERROR(INDEX('Base de Datos'!$H$9:$H$68/'Base de Datos'!$F$9:$F$68*(1+IF('Base de Datos'!$I$9:$I$68="",0,'Base de Datos'!$I$9:$I$68)),MATCH(C208,'Base de Datos'!$B$9:$B$68,0)),0))</f>
        <v>20384</v>
      </c>
      <c r="G208" s="30"/>
      <c r="H208" s="30"/>
      <c r="I208" s="30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3"/>
      <c r="B209" s="3"/>
      <c r="C209" s="49" t="s">
        <v>94</v>
      </c>
      <c r="D209" s="152">
        <v>2.0</v>
      </c>
      <c r="E209" s="50" t="s">
        <v>97</v>
      </c>
      <c r="F209" s="153">
        <f t="array" ref="F209">IF(OR(C209="",D209=""),"",D209*IFERROR(INDEX('Base de Datos'!$H$9:$H$68/'Base de Datos'!$F$9:$F$68*(1+IF('Base de Datos'!$I$9:$I$68="",0,'Base de Datos'!$I$9:$I$68)),MATCH(C209,'Base de Datos'!$B$9:$B$68,0)),0))</f>
        <v>800</v>
      </c>
      <c r="G209" s="30"/>
      <c r="H209" s="30"/>
      <c r="I209" s="30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3"/>
      <c r="B210" s="3"/>
      <c r="C210" s="49" t="s">
        <v>100</v>
      </c>
      <c r="D210" s="152">
        <v>50.0</v>
      </c>
      <c r="E210" s="50" t="s">
        <v>298</v>
      </c>
      <c r="F210" s="153">
        <f t="array" ref="F210">IF(OR(C210="",D210=""),"",D210*IFERROR(INDEX('Base de Datos'!$H$9:$H$68/'Base de Datos'!$F$9:$F$68*(1+IF('Base de Datos'!$I$9:$I$68="",0,'Base de Datos'!$I$9:$I$68)),MATCH(C210,'Base de Datos'!$B$9:$B$68,0)),0))</f>
        <v>96000</v>
      </c>
      <c r="G210" s="30"/>
      <c r="H210" s="30"/>
      <c r="I210" s="30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3"/>
      <c r="B211" s="3"/>
      <c r="C211" s="49"/>
      <c r="D211" s="152"/>
      <c r="E211" s="50"/>
      <c r="F211" s="153" t="str">
        <f t="array" ref="F211">IF(OR(C211="",D211=""),"",D211*IFERROR(INDEX('Base de Datos'!$H$9:$H$68/'Base de Datos'!$F$9:$F$68*(1+IF('Base de Datos'!$I$9:$I$68="",0,'Base de Datos'!$I$9:$I$68)),MATCH(C211,'Base de Datos'!$B$9:$B$68,0)),0))</f>
        <v/>
      </c>
      <c r="G211" s="30"/>
      <c r="H211" s="30"/>
      <c r="I211" s="30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3"/>
      <c r="B212" s="3"/>
      <c r="C212" s="49"/>
      <c r="D212" s="152"/>
      <c r="E212" s="50"/>
      <c r="F212" s="153" t="str">
        <f t="array" ref="F212">IF(OR(C212="",D212=""),"",D212*IFERROR(INDEX('Base de Datos'!$H$9:$H$68/'Base de Datos'!$F$9:$F$68*(1+IF('Base de Datos'!$I$9:$I$68="",0,'Base de Datos'!$I$9:$I$68)),MATCH(C212,'Base de Datos'!$B$9:$B$68,0)),0))</f>
        <v/>
      </c>
      <c r="G212" s="30"/>
      <c r="H212" s="30"/>
      <c r="I212" s="30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3"/>
      <c r="B213" s="3"/>
      <c r="C213" s="49"/>
      <c r="D213" s="152"/>
      <c r="E213" s="50"/>
      <c r="F213" s="153" t="str">
        <f t="array" ref="F213">IF(OR(C213="",D213=""),"",D213*IFERROR(INDEX('Base de Datos'!$H$9:$H$68/'Base de Datos'!$F$9:$F$68*(1+IF('Base de Datos'!$I$9:$I$68="",0,'Base de Datos'!$I$9:$I$68)),MATCH(C213,'Base de Datos'!$B$9:$B$68,0)),0))</f>
        <v/>
      </c>
      <c r="G213" s="30"/>
      <c r="H213" s="30"/>
      <c r="I213" s="30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3"/>
      <c r="B214" s="3"/>
      <c r="C214" s="49"/>
      <c r="D214" s="152"/>
      <c r="E214" s="50"/>
      <c r="F214" s="153" t="str">
        <f t="array" ref="F214">IF(OR(C214="",D214=""),"",D214*IFERROR(INDEX('Base de Datos'!$H$9:$H$68/'Base de Datos'!$F$9:$F$68*(1+IF('Base de Datos'!$I$9:$I$68="",0,'Base de Datos'!$I$9:$I$68)),MATCH(C214,'Base de Datos'!$B$9:$B$68,0)),0))</f>
        <v/>
      </c>
      <c r="G214" s="30"/>
      <c r="H214" s="30"/>
      <c r="I214" s="30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3"/>
      <c r="B215" s="3"/>
      <c r="C215" s="49"/>
      <c r="D215" s="152"/>
      <c r="E215" s="50"/>
      <c r="F215" s="153" t="str">
        <f t="array" ref="F215">IF(OR(C215="",D215=""),"",D215*IFERROR(INDEX('Base de Datos'!$H$9:$H$68/'Base de Datos'!$F$9:$F$68*(1+IF('Base de Datos'!$I$9:$I$68="",0,'Base de Datos'!$I$9:$I$68)),MATCH(C215,'Base de Datos'!$B$9:$B$68,0)),0))</f>
        <v/>
      </c>
      <c r="G215" s="30"/>
      <c r="H215" s="30"/>
      <c r="I215" s="30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3"/>
      <c r="B216" s="3"/>
      <c r="C216" s="49"/>
      <c r="D216" s="152"/>
      <c r="E216" s="50"/>
      <c r="F216" s="153" t="str">
        <f t="array" ref="F216">IF(OR(C216="",D216=""),"",D216*IFERROR(INDEX('Base de Datos'!$H$9:$H$68/'Base de Datos'!$F$9:$F$68*(1+IF('Base de Datos'!$I$9:$I$68="",0,'Base de Datos'!$I$9:$I$68)),MATCH(C216,'Base de Datos'!$B$9:$B$68,0)),0))</f>
        <v/>
      </c>
      <c r="G216" s="30"/>
      <c r="H216" s="30"/>
      <c r="I216" s="30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49"/>
      <c r="D217" s="152"/>
      <c r="E217" s="50"/>
      <c r="F217" s="153" t="str">
        <f t="array" ref="F217">IF(OR(C217="",D217=""),"",D217*IFERROR(INDEX('Base de Datos'!$H$9:$H$68/'Base de Datos'!$F$9:$F$68*(1+IF('Base de Datos'!$I$9:$I$68="",0,'Base de Datos'!$I$9:$I$68)),MATCH(C217,'Base de Datos'!$B$9:$B$68,0)),0))</f>
        <v/>
      </c>
      <c r="G217" s="30"/>
      <c r="H217" s="30"/>
      <c r="I217" s="30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49"/>
      <c r="D218" s="152"/>
      <c r="E218" s="50"/>
      <c r="F218" s="153" t="str">
        <f t="array" ref="F218">IF(OR(C218="",D218=""),"",D218*IFERROR(INDEX('Base de Datos'!$H$9:$H$68/'Base de Datos'!$F$9:$F$68*(1+IF('Base de Datos'!$I$9:$I$68="",0,'Base de Datos'!$I$9:$I$68)),MATCH(C218,'Base de Datos'!$B$9:$B$68,0)),0))</f>
        <v/>
      </c>
      <c r="G218" s="30"/>
      <c r="H218" s="30"/>
      <c r="I218" s="30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6.0" customHeight="1">
      <c r="A219" s="3"/>
      <c r="B219" s="3"/>
      <c r="C219" s="3"/>
      <c r="D219" s="3"/>
      <c r="E219" s="3"/>
      <c r="F219" s="30"/>
      <c r="G219" s="30"/>
      <c r="H219" s="30"/>
      <c r="I219" s="30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1.75" customHeight="1">
      <c r="A220" s="3"/>
      <c r="B220" s="3"/>
      <c r="C220" s="167" t="s">
        <v>231</v>
      </c>
      <c r="D220" s="21"/>
      <c r="E220" s="21"/>
      <c r="F220" s="22"/>
      <c r="G220" s="3"/>
      <c r="H220" s="3"/>
      <c r="I220" s="30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146" t="s">
        <v>309</v>
      </c>
      <c r="D221" s="158">
        <f>SUM(F207:F218)</f>
        <v>2133184</v>
      </c>
      <c r="E221" s="21"/>
      <c r="F221" s="22"/>
      <c r="G221" s="30"/>
      <c r="H221" s="30"/>
      <c r="I221" s="30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146" t="s">
        <v>310</v>
      </c>
      <c r="D222" s="158">
        <f>D221*D204</f>
        <v>63995.52</v>
      </c>
      <c r="E222" s="21"/>
      <c r="F222" s="22"/>
      <c r="G222" s="30"/>
      <c r="H222" s="30"/>
      <c r="I222" s="30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159" t="s">
        <v>311</v>
      </c>
      <c r="D223" s="160">
        <f>D221+D222</f>
        <v>2197179.52</v>
      </c>
      <c r="E223" s="21"/>
      <c r="F223" s="22"/>
      <c r="G223" s="30"/>
      <c r="H223" s="30"/>
      <c r="I223" s="30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146" t="s">
        <v>312</v>
      </c>
      <c r="D224" s="161">
        <f>D204</f>
        <v>0.03</v>
      </c>
      <c r="E224" s="21"/>
      <c r="F224" s="22"/>
      <c r="G224" s="30"/>
      <c r="H224" s="30"/>
      <c r="I224" s="30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146" t="s">
        <v>313</v>
      </c>
      <c r="D225" s="162">
        <f>F203</f>
        <v>480</v>
      </c>
      <c r="E225" s="21"/>
      <c r="F225" s="22"/>
      <c r="G225" s="30"/>
      <c r="H225" s="30"/>
      <c r="I225" s="30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7.75" customHeight="1">
      <c r="A226" s="3"/>
      <c r="B226" s="3"/>
      <c r="C226" s="83" t="s">
        <v>314</v>
      </c>
      <c r="D226" s="22"/>
      <c r="E226" s="3"/>
      <c r="F226" s="163">
        <f>IF(AND(D223&gt;0,F203&gt;0),D223/F203,"")</f>
        <v>4577.457333</v>
      </c>
      <c r="G226" s="3"/>
      <c r="H226" s="3"/>
      <c r="I226" s="30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1" t="s">
        <v>315</v>
      </c>
      <c r="D227" s="18"/>
      <c r="E227" s="18"/>
      <c r="F227" s="18"/>
      <c r="G227" s="18"/>
      <c r="H227" s="19"/>
      <c r="I227" s="30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1.75" customHeight="1">
      <c r="A228" s="164"/>
      <c r="B228" s="18"/>
      <c r="C228" s="18"/>
      <c r="D228" s="18"/>
      <c r="E228" s="18"/>
      <c r="F228" s="18"/>
      <c r="G228" s="18"/>
      <c r="H228" s="18"/>
      <c r="I228" s="19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5.5" customHeight="1">
      <c r="A229" s="165" t="s">
        <v>337</v>
      </c>
      <c r="B229" s="3"/>
      <c r="C229" s="142" t="s">
        <v>338</v>
      </c>
      <c r="D229" s="21"/>
      <c r="E229" s="21"/>
      <c r="F229" s="22"/>
      <c r="G229" s="3"/>
      <c r="H229" s="3"/>
      <c r="I229" s="30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4.0" customHeight="1">
      <c r="A230" s="3"/>
      <c r="B230" s="3"/>
      <c r="C230" s="144" t="s">
        <v>285</v>
      </c>
      <c r="D230" s="145" t="s">
        <v>339</v>
      </c>
      <c r="E230" s="21"/>
      <c r="F230" s="22"/>
      <c r="G230" s="30"/>
      <c r="H230" s="30"/>
      <c r="I230" s="30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1.75" customHeight="1">
      <c r="A231" s="3"/>
      <c r="B231" s="3"/>
      <c r="C231" s="146" t="s">
        <v>288</v>
      </c>
      <c r="D231" s="51">
        <v>600.0</v>
      </c>
      <c r="E231" s="147" t="s">
        <v>289</v>
      </c>
      <c r="F231" s="148">
        <v>450.0</v>
      </c>
      <c r="G231" s="101"/>
      <c r="H231" s="101"/>
      <c r="I231" s="30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149" t="s">
        <v>291</v>
      </c>
      <c r="D232" s="150">
        <v>0.05</v>
      </c>
      <c r="E232" s="151"/>
      <c r="I232" s="9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6.0" customHeight="1">
      <c r="A233" s="3"/>
      <c r="B233" s="3"/>
      <c r="C233" s="3"/>
      <c r="D233" s="3"/>
      <c r="E233" s="3"/>
      <c r="F233" s="99"/>
      <c r="G233" s="99"/>
      <c r="H233" s="99"/>
      <c r="I233" s="30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36.0" customHeight="1">
      <c r="A234" s="3"/>
      <c r="B234" s="3"/>
      <c r="C234" s="61" t="s">
        <v>294</v>
      </c>
      <c r="D234" s="61" t="s">
        <v>295</v>
      </c>
      <c r="E234" s="61" t="s">
        <v>163</v>
      </c>
      <c r="F234" s="61" t="s">
        <v>296</v>
      </c>
      <c r="G234" s="30"/>
      <c r="H234" s="30"/>
      <c r="I234" s="30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49" t="s">
        <v>82</v>
      </c>
      <c r="D235" s="152">
        <v>300.0</v>
      </c>
      <c r="E235" s="50" t="s">
        <v>300</v>
      </c>
      <c r="F235" s="153">
        <f t="array" ref="F235">IF(OR(C235="",D235=""),"",D235*IFERROR(INDEX('Base de Datos'!$H$9:$H$68/'Base de Datos'!$F$9:$F$68*(1+IF('Base de Datos'!$I$9:$I$68="",0,'Base de Datos'!$I$9:$I$68)),MATCH(C235,'Base de Datos'!$B$9:$B$68,0)),0))</f>
        <v>76440</v>
      </c>
      <c r="G235" s="30"/>
      <c r="H235" s="30"/>
      <c r="I235" s="30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49" t="s">
        <v>98</v>
      </c>
      <c r="D236" s="152">
        <v>200.0</v>
      </c>
      <c r="E236" s="50" t="s">
        <v>298</v>
      </c>
      <c r="F236" s="153">
        <f t="array" ref="F236">IF(OR(C236="",D236=""),"",D236*IFERROR(INDEX('Base de Datos'!$H$9:$H$68/'Base de Datos'!$F$9:$F$68*(1+IF('Base de Datos'!$I$9:$I$68="",0,'Base de Datos'!$I$9:$I$68)),MATCH(C236,'Base de Datos'!$B$9:$B$68,0)),0))</f>
        <v>255000</v>
      </c>
      <c r="G236" s="30"/>
      <c r="H236" s="30"/>
      <c r="I236" s="30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49" t="s">
        <v>86</v>
      </c>
      <c r="D237" s="152">
        <v>20.0</v>
      </c>
      <c r="E237" s="50" t="s">
        <v>300</v>
      </c>
      <c r="F237" s="153">
        <f t="array" ref="F237">IF(OR(C237="",D237=""),"",D237*IFERROR(INDEX('Base de Datos'!$H$9:$H$68/'Base de Datos'!$F$9:$F$68*(1+IF('Base de Datos'!$I$9:$I$68="",0,'Base de Datos'!$I$9:$I$68)),MATCH(C237,'Base de Datos'!$B$9:$B$68,0)),0))</f>
        <v>57200</v>
      </c>
      <c r="G237" s="30"/>
      <c r="H237" s="30"/>
      <c r="I237" s="30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49"/>
      <c r="D238" s="152"/>
      <c r="E238" s="50"/>
      <c r="F238" s="153" t="str">
        <f t="array" ref="F238">IF(OR(C238="",D238=""),"",D238*IFERROR(INDEX('Base de Datos'!$H$9:$H$68/'Base de Datos'!$F$9:$F$68*(1+IF('Base de Datos'!$I$9:$I$68="",0,'Base de Datos'!$I$9:$I$68)),MATCH(C238,'Base de Datos'!$B$9:$B$68,0)),0))</f>
        <v/>
      </c>
      <c r="G238" s="30"/>
      <c r="H238" s="30"/>
      <c r="I238" s="30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49"/>
      <c r="D239" s="152"/>
      <c r="E239" s="50"/>
      <c r="F239" s="153" t="str">
        <f t="array" ref="F239">IF(OR(C239="",D239=""),"",D239*IFERROR(INDEX('Base de Datos'!$H$9:$H$68/'Base de Datos'!$F$9:$F$68*(1+IF('Base de Datos'!$I$9:$I$68="",0,'Base de Datos'!$I$9:$I$68)),MATCH(C239,'Base de Datos'!$B$9:$B$68,0)),0))</f>
        <v/>
      </c>
      <c r="G239" s="30"/>
      <c r="H239" s="30"/>
      <c r="I239" s="30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49"/>
      <c r="D240" s="152"/>
      <c r="E240" s="50"/>
      <c r="F240" s="153" t="str">
        <f t="array" ref="F240">IF(OR(C240="",D240=""),"",D240*IFERROR(INDEX('Base de Datos'!$H$9:$H$68/'Base de Datos'!$F$9:$F$68*(1+IF('Base de Datos'!$I$9:$I$68="",0,'Base de Datos'!$I$9:$I$68)),MATCH(C240,'Base de Datos'!$B$9:$B$68,0)),0))</f>
        <v/>
      </c>
      <c r="G240" s="30"/>
      <c r="H240" s="30"/>
      <c r="I240" s="30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49"/>
      <c r="D241" s="152"/>
      <c r="E241" s="50"/>
      <c r="F241" s="153" t="str">
        <f t="array" ref="F241">IF(OR(C241="",D241=""),"",D241*IFERROR(INDEX('Base de Datos'!$H$9:$H$68/'Base de Datos'!$F$9:$F$68*(1+IF('Base de Datos'!$I$9:$I$68="",0,'Base de Datos'!$I$9:$I$68)),MATCH(C241,'Base de Datos'!$B$9:$B$68,0)),0))</f>
        <v/>
      </c>
      <c r="G241" s="30"/>
      <c r="H241" s="30"/>
      <c r="I241" s="30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49"/>
      <c r="D242" s="152"/>
      <c r="E242" s="50"/>
      <c r="F242" s="153" t="str">
        <f t="array" ref="F242">IF(OR(C242="",D242=""),"",D242*IFERROR(INDEX('Base de Datos'!$H$9:$H$68/'Base de Datos'!$F$9:$F$68*(1+IF('Base de Datos'!$I$9:$I$68="",0,'Base de Datos'!$I$9:$I$68)),MATCH(C242,'Base de Datos'!$B$9:$B$68,0)),0))</f>
        <v/>
      </c>
      <c r="G242" s="30"/>
      <c r="H242" s="30"/>
      <c r="I242" s="30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49"/>
      <c r="D243" s="152"/>
      <c r="E243" s="50"/>
      <c r="F243" s="153" t="str">
        <f t="array" ref="F243">IF(OR(C243="",D243=""),"",D243*IFERROR(INDEX('Base de Datos'!$H$9:$H$68/'Base de Datos'!$F$9:$F$68*(1+IF('Base de Datos'!$I$9:$I$68="",0,'Base de Datos'!$I$9:$I$68)),MATCH(C243,'Base de Datos'!$B$9:$B$68,0)),0))</f>
        <v/>
      </c>
      <c r="G243" s="30"/>
      <c r="H243" s="30"/>
      <c r="I243" s="30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49"/>
      <c r="D244" s="152"/>
      <c r="E244" s="50"/>
      <c r="F244" s="153" t="str">
        <f t="array" ref="F244">IF(OR(C244="",D244=""),"",D244*IFERROR(INDEX('Base de Datos'!$H$9:$H$68/'Base de Datos'!$F$9:$F$68*(1+IF('Base de Datos'!$I$9:$I$68="",0,'Base de Datos'!$I$9:$I$68)),MATCH(C244,'Base de Datos'!$B$9:$B$68,0)),0))</f>
        <v/>
      </c>
      <c r="G244" s="30"/>
      <c r="H244" s="30"/>
      <c r="I244" s="30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49"/>
      <c r="D245" s="152"/>
      <c r="E245" s="50"/>
      <c r="F245" s="153" t="str">
        <f t="array" ref="F245">IF(OR(C245="",D245=""),"",D245*IFERROR(INDEX('Base de Datos'!$H$9:$H$68/'Base de Datos'!$F$9:$F$68*(1+IF('Base de Datos'!$I$9:$I$68="",0,'Base de Datos'!$I$9:$I$68)),MATCH(C245,'Base de Datos'!$B$9:$B$68,0)),0))</f>
        <v/>
      </c>
      <c r="G245" s="30"/>
      <c r="H245" s="30"/>
      <c r="I245" s="30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49"/>
      <c r="D246" s="152"/>
      <c r="E246" s="50"/>
      <c r="F246" s="153" t="str">
        <f t="array" ref="F246">IF(OR(C246="",D246=""),"",D246*IFERROR(INDEX('Base de Datos'!$H$9:$H$68/'Base de Datos'!$F$9:$F$68*(1+IF('Base de Datos'!$I$9:$I$68="",0,'Base de Datos'!$I$9:$I$68)),MATCH(C246,'Base de Datos'!$B$9:$B$68,0)),0))</f>
        <v/>
      </c>
      <c r="G246" s="30"/>
      <c r="H246" s="30"/>
      <c r="I246" s="30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6.0" customHeight="1">
      <c r="A247" s="3"/>
      <c r="B247" s="3"/>
      <c r="C247" s="3"/>
      <c r="D247" s="3"/>
      <c r="E247" s="3"/>
      <c r="F247" s="30"/>
      <c r="G247" s="30"/>
      <c r="H247" s="30"/>
      <c r="I247" s="30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1.75" customHeight="1">
      <c r="A248" s="3"/>
      <c r="B248" s="3"/>
      <c r="C248" s="167" t="s">
        <v>231</v>
      </c>
      <c r="D248" s="21"/>
      <c r="E248" s="21"/>
      <c r="F248" s="22"/>
      <c r="G248" s="3"/>
      <c r="H248" s="3"/>
      <c r="I248" s="30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146" t="s">
        <v>309</v>
      </c>
      <c r="D249" s="158">
        <f>SUM(F235:F246)</f>
        <v>388640</v>
      </c>
      <c r="E249" s="21"/>
      <c r="F249" s="22"/>
      <c r="G249" s="30"/>
      <c r="H249" s="30"/>
      <c r="I249" s="30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146" t="s">
        <v>310</v>
      </c>
      <c r="D250" s="158">
        <f>D249*D232</f>
        <v>19432</v>
      </c>
      <c r="E250" s="21"/>
      <c r="F250" s="22"/>
      <c r="G250" s="30"/>
      <c r="H250" s="30"/>
      <c r="I250" s="30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159" t="s">
        <v>311</v>
      </c>
      <c r="D251" s="160">
        <f>D249+D250</f>
        <v>408072</v>
      </c>
      <c r="E251" s="21"/>
      <c r="F251" s="22"/>
      <c r="G251" s="30"/>
      <c r="H251" s="30"/>
      <c r="I251" s="30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146" t="s">
        <v>312</v>
      </c>
      <c r="D252" s="161">
        <f>D232</f>
        <v>0.05</v>
      </c>
      <c r="E252" s="21"/>
      <c r="F252" s="22"/>
      <c r="G252" s="30"/>
      <c r="H252" s="30"/>
      <c r="I252" s="30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146" t="s">
        <v>313</v>
      </c>
      <c r="D253" s="162">
        <f>F231</f>
        <v>450</v>
      </c>
      <c r="E253" s="21"/>
      <c r="F253" s="22"/>
      <c r="G253" s="30"/>
      <c r="H253" s="30"/>
      <c r="I253" s="30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7.75" customHeight="1">
      <c r="A254" s="3"/>
      <c r="B254" s="3"/>
      <c r="C254" s="83" t="s">
        <v>314</v>
      </c>
      <c r="D254" s="22"/>
      <c r="E254" s="3"/>
      <c r="F254" s="163">
        <f>IF(AND(D251&gt;0,F231&gt;0),D251/F231,"")</f>
        <v>906.8266667</v>
      </c>
      <c r="G254" s="3"/>
      <c r="H254" s="3"/>
      <c r="I254" s="30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1" t="s">
        <v>315</v>
      </c>
      <c r="D255" s="18"/>
      <c r="E255" s="18"/>
      <c r="F255" s="18"/>
      <c r="G255" s="18"/>
      <c r="H255" s="19"/>
      <c r="I255" s="30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1.75" customHeight="1">
      <c r="A256" s="164"/>
      <c r="B256" s="18"/>
      <c r="C256" s="18"/>
      <c r="D256" s="18"/>
      <c r="E256" s="18"/>
      <c r="F256" s="18"/>
      <c r="G256" s="18"/>
      <c r="H256" s="18"/>
      <c r="I256" s="19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5.5" customHeight="1">
      <c r="A257" s="165" t="s">
        <v>340</v>
      </c>
      <c r="B257" s="3"/>
      <c r="C257" s="142" t="s">
        <v>341</v>
      </c>
      <c r="D257" s="21"/>
      <c r="E257" s="21"/>
      <c r="F257" s="22"/>
      <c r="G257" s="3"/>
      <c r="H257" s="3"/>
      <c r="I257" s="30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4.0" customHeight="1">
      <c r="A258" s="3"/>
      <c r="B258" s="3"/>
      <c r="C258" s="144" t="s">
        <v>285</v>
      </c>
      <c r="D258" s="145"/>
      <c r="E258" s="21"/>
      <c r="F258" s="22"/>
      <c r="G258" s="30"/>
      <c r="H258" s="30"/>
      <c r="I258" s="30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1.75" customHeight="1">
      <c r="A259" s="3"/>
      <c r="B259" s="3"/>
      <c r="C259" s="146" t="s">
        <v>288</v>
      </c>
      <c r="D259" s="51"/>
      <c r="E259" s="147" t="s">
        <v>289</v>
      </c>
      <c r="F259" s="148"/>
      <c r="G259" s="101"/>
      <c r="H259" s="101"/>
      <c r="I259" s="30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149" t="s">
        <v>291</v>
      </c>
      <c r="D260" s="150">
        <v>0.04</v>
      </c>
      <c r="E260" s="151"/>
      <c r="I260" s="9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6.0" customHeight="1">
      <c r="A261" s="3"/>
      <c r="B261" s="3"/>
      <c r="C261" s="3"/>
      <c r="D261" s="3"/>
      <c r="E261" s="3"/>
      <c r="F261" s="99"/>
      <c r="G261" s="99"/>
      <c r="H261" s="99"/>
      <c r="I261" s="30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36.0" customHeight="1">
      <c r="A262" s="3"/>
      <c r="B262" s="3"/>
      <c r="C262" s="61" t="s">
        <v>294</v>
      </c>
      <c r="D262" s="61" t="s">
        <v>295</v>
      </c>
      <c r="E262" s="61" t="s">
        <v>163</v>
      </c>
      <c r="F262" s="61" t="s">
        <v>296</v>
      </c>
      <c r="G262" s="30"/>
      <c r="H262" s="30"/>
      <c r="I262" s="30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49"/>
      <c r="D263" s="152"/>
      <c r="E263" s="50"/>
      <c r="F263" s="153" t="str">
        <f t="array" ref="F263">IF(OR(C263="",D263=""),"",D263*IFERROR(INDEX('Base de Datos'!$H$9:$H$68/'Base de Datos'!$F$9:$F$68*(1+IF('Base de Datos'!$I$9:$I$68="",0,'Base de Datos'!$I$9:$I$68)),MATCH(C263,'Base de Datos'!$B$9:$B$68,0)),0))</f>
        <v/>
      </c>
      <c r="G263" s="30"/>
      <c r="H263" s="30"/>
      <c r="I263" s="30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49"/>
      <c r="D264" s="152"/>
      <c r="E264" s="50"/>
      <c r="F264" s="153" t="str">
        <f t="array" ref="F264">IF(OR(C264="",D264=""),"",D264*IFERROR(INDEX('Base de Datos'!$H$9:$H$68/'Base de Datos'!$F$9:$F$68*(1+IF('Base de Datos'!$I$9:$I$68="",0,'Base de Datos'!$I$9:$I$68)),MATCH(C264,'Base de Datos'!$B$9:$B$68,0)),0))</f>
        <v/>
      </c>
      <c r="G264" s="30"/>
      <c r="H264" s="30"/>
      <c r="I264" s="30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49"/>
      <c r="D265" s="152"/>
      <c r="E265" s="50"/>
      <c r="F265" s="153" t="str">
        <f t="array" ref="F265">IF(OR(C265="",D265=""),"",D265*IFERROR(INDEX('Base de Datos'!$H$9:$H$68/'Base de Datos'!$F$9:$F$68*(1+IF('Base de Datos'!$I$9:$I$68="",0,'Base de Datos'!$I$9:$I$68)),MATCH(C265,'Base de Datos'!$B$9:$B$68,0)),0))</f>
        <v/>
      </c>
      <c r="G265" s="30"/>
      <c r="H265" s="30"/>
      <c r="I265" s="30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49"/>
      <c r="D266" s="152"/>
      <c r="E266" s="50"/>
      <c r="F266" s="153" t="str">
        <f t="array" ref="F266">IF(OR(C266="",D266=""),"",D266*IFERROR(INDEX('Base de Datos'!$H$9:$H$68/'Base de Datos'!$F$9:$F$68*(1+IF('Base de Datos'!$I$9:$I$68="",0,'Base de Datos'!$I$9:$I$68)),MATCH(C266,'Base de Datos'!$B$9:$B$68,0)),0))</f>
        <v/>
      </c>
      <c r="G266" s="30"/>
      <c r="H266" s="30"/>
      <c r="I266" s="30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49"/>
      <c r="D267" s="152"/>
      <c r="E267" s="50"/>
      <c r="F267" s="153" t="str">
        <f t="array" ref="F267">IF(OR(C267="",D267=""),"",D267*IFERROR(INDEX('Base de Datos'!$H$9:$H$68/'Base de Datos'!$F$9:$F$68*(1+IF('Base de Datos'!$I$9:$I$68="",0,'Base de Datos'!$I$9:$I$68)),MATCH(C267,'Base de Datos'!$B$9:$B$68,0)),0))</f>
        <v/>
      </c>
      <c r="G267" s="30"/>
      <c r="H267" s="30"/>
      <c r="I267" s="30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49"/>
      <c r="D268" s="152"/>
      <c r="E268" s="50"/>
      <c r="F268" s="153" t="str">
        <f t="array" ref="F268">IF(OR(C268="",D268=""),"",D268*IFERROR(INDEX('Base de Datos'!$H$9:$H$68/'Base de Datos'!$F$9:$F$68*(1+IF('Base de Datos'!$I$9:$I$68="",0,'Base de Datos'!$I$9:$I$68)),MATCH(C268,'Base de Datos'!$B$9:$B$68,0)),0))</f>
        <v/>
      </c>
      <c r="G268" s="30"/>
      <c r="H268" s="30"/>
      <c r="I268" s="30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49"/>
      <c r="D269" s="152"/>
      <c r="E269" s="50"/>
      <c r="F269" s="153" t="str">
        <f t="array" ref="F269">IF(OR(C269="",D269=""),"",D269*IFERROR(INDEX('Base de Datos'!$H$9:$H$68/'Base de Datos'!$F$9:$F$68*(1+IF('Base de Datos'!$I$9:$I$68="",0,'Base de Datos'!$I$9:$I$68)),MATCH(C269,'Base de Datos'!$B$9:$B$68,0)),0))</f>
        <v/>
      </c>
      <c r="G269" s="30"/>
      <c r="H269" s="30"/>
      <c r="I269" s="30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49"/>
      <c r="D270" s="152"/>
      <c r="E270" s="50"/>
      <c r="F270" s="153" t="str">
        <f t="array" ref="F270">IF(OR(C270="",D270=""),"",D270*IFERROR(INDEX('Base de Datos'!$H$9:$H$68/'Base de Datos'!$F$9:$F$68*(1+IF('Base de Datos'!$I$9:$I$68="",0,'Base de Datos'!$I$9:$I$68)),MATCH(C270,'Base de Datos'!$B$9:$B$68,0)),0))</f>
        <v/>
      </c>
      <c r="G270" s="30"/>
      <c r="H270" s="30"/>
      <c r="I270" s="30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49"/>
      <c r="D271" s="152"/>
      <c r="E271" s="50"/>
      <c r="F271" s="153" t="str">
        <f t="array" ref="F271">IF(OR(C271="",D271=""),"",D271*IFERROR(INDEX('Base de Datos'!$H$9:$H$68/'Base de Datos'!$F$9:$F$68*(1+IF('Base de Datos'!$I$9:$I$68="",0,'Base de Datos'!$I$9:$I$68)),MATCH(C271,'Base de Datos'!$B$9:$B$68,0)),0))</f>
        <v/>
      </c>
      <c r="G271" s="30"/>
      <c r="H271" s="30"/>
      <c r="I271" s="30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49"/>
      <c r="D272" s="152"/>
      <c r="E272" s="50"/>
      <c r="F272" s="153" t="str">
        <f t="array" ref="F272">IF(OR(C272="",D272=""),"",D272*IFERROR(INDEX('Base de Datos'!$H$9:$H$68/'Base de Datos'!$F$9:$F$68*(1+IF('Base de Datos'!$I$9:$I$68="",0,'Base de Datos'!$I$9:$I$68)),MATCH(C272,'Base de Datos'!$B$9:$B$68,0)),0))</f>
        <v/>
      </c>
      <c r="G272" s="30"/>
      <c r="H272" s="30"/>
      <c r="I272" s="30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49"/>
      <c r="D273" s="152"/>
      <c r="E273" s="50"/>
      <c r="F273" s="153" t="str">
        <f t="array" ref="F273">IF(OR(C273="",D273=""),"",D273*IFERROR(INDEX('Base de Datos'!$H$9:$H$68/'Base de Datos'!$F$9:$F$68*(1+IF('Base de Datos'!$I$9:$I$68="",0,'Base de Datos'!$I$9:$I$68)),MATCH(C273,'Base de Datos'!$B$9:$B$68,0)),0))</f>
        <v/>
      </c>
      <c r="G273" s="30"/>
      <c r="H273" s="30"/>
      <c r="I273" s="30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49"/>
      <c r="D274" s="152"/>
      <c r="E274" s="50"/>
      <c r="F274" s="153" t="str">
        <f t="array" ref="F274">IF(OR(C274="",D274=""),"",D274*IFERROR(INDEX('Base de Datos'!$H$9:$H$68/'Base de Datos'!$F$9:$F$68*(1+IF('Base de Datos'!$I$9:$I$68="",0,'Base de Datos'!$I$9:$I$68)),MATCH(C274,'Base de Datos'!$B$9:$B$68,0)),0))</f>
        <v/>
      </c>
      <c r="G274" s="30"/>
      <c r="H274" s="30"/>
      <c r="I274" s="30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6.0" customHeight="1">
      <c r="A275" s="3"/>
      <c r="B275" s="3"/>
      <c r="C275" s="3"/>
      <c r="D275" s="3"/>
      <c r="E275" s="3"/>
      <c r="F275" s="30"/>
      <c r="G275" s="30"/>
      <c r="H275" s="30"/>
      <c r="I275" s="30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1.75" customHeight="1">
      <c r="A276" s="3"/>
      <c r="B276" s="3"/>
      <c r="C276" s="154" t="s">
        <v>231</v>
      </c>
      <c r="D276" s="3"/>
      <c r="E276" s="3"/>
      <c r="F276" s="155"/>
      <c r="G276" s="156"/>
      <c r="H276" s="157"/>
      <c r="I276" s="30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146" t="s">
        <v>309</v>
      </c>
      <c r="D277" s="158">
        <f>SUM(F263:F274)</f>
        <v>0</v>
      </c>
      <c r="E277" s="21"/>
      <c r="F277" s="22"/>
      <c r="G277" s="30"/>
      <c r="H277" s="30"/>
      <c r="I277" s="30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146" t="s">
        <v>310</v>
      </c>
      <c r="D278" s="158">
        <f>D277*D260</f>
        <v>0</v>
      </c>
      <c r="E278" s="21"/>
      <c r="F278" s="22"/>
      <c r="G278" s="30"/>
      <c r="H278" s="30"/>
      <c r="I278" s="30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159" t="s">
        <v>311</v>
      </c>
      <c r="D279" s="160">
        <f>D277+D278</f>
        <v>0</v>
      </c>
      <c r="E279" s="21"/>
      <c r="F279" s="22"/>
      <c r="G279" s="30"/>
      <c r="H279" s="30"/>
      <c r="I279" s="30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146" t="s">
        <v>312</v>
      </c>
      <c r="D280" s="161">
        <f>D260</f>
        <v>0.04</v>
      </c>
      <c r="E280" s="21"/>
      <c r="F280" s="22"/>
      <c r="G280" s="30"/>
      <c r="H280" s="30"/>
      <c r="I280" s="30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146" t="s">
        <v>313</v>
      </c>
      <c r="D281" s="162" t="str">
        <f>F259</f>
        <v/>
      </c>
      <c r="E281" s="21"/>
      <c r="F281" s="22"/>
      <c r="G281" s="30"/>
      <c r="H281" s="30"/>
      <c r="I281" s="30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7.75" customHeight="1">
      <c r="A282" s="3"/>
      <c r="B282" s="3"/>
      <c r="C282" s="83" t="s">
        <v>314</v>
      </c>
      <c r="D282" s="22"/>
      <c r="E282" s="3"/>
      <c r="F282" s="163" t="str">
        <f>IF(AND(D279&gt;0,F259&gt;0),D279/F259,"")</f>
        <v/>
      </c>
      <c r="G282" s="3"/>
      <c r="H282" s="3"/>
      <c r="I282" s="30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1" t="s">
        <v>315</v>
      </c>
      <c r="D283" s="18"/>
      <c r="E283" s="18"/>
      <c r="F283" s="18"/>
      <c r="G283" s="18"/>
      <c r="H283" s="19"/>
      <c r="I283" s="30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1.0" customHeight="1">
      <c r="A284" s="164"/>
      <c r="B284" s="18"/>
      <c r="C284" s="18"/>
      <c r="D284" s="18"/>
      <c r="E284" s="18"/>
      <c r="F284" s="18"/>
      <c r="G284" s="18"/>
      <c r="H284" s="18"/>
      <c r="I284" s="19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5.5" customHeight="1">
      <c r="A285" s="165" t="s">
        <v>342</v>
      </c>
      <c r="B285" s="3"/>
      <c r="C285" s="142" t="s">
        <v>343</v>
      </c>
      <c r="D285" s="21"/>
      <c r="E285" s="21"/>
      <c r="F285" s="22"/>
      <c r="G285" s="3"/>
      <c r="H285" s="3"/>
      <c r="I285" s="30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4.0" customHeight="1">
      <c r="A286" s="3"/>
      <c r="B286" s="3"/>
      <c r="C286" s="144" t="s">
        <v>285</v>
      </c>
      <c r="D286" s="145"/>
      <c r="E286" s="21"/>
      <c r="F286" s="22"/>
      <c r="G286" s="30"/>
      <c r="H286" s="30"/>
      <c r="I286" s="30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1.75" customHeight="1">
      <c r="A287" s="3"/>
      <c r="B287" s="3"/>
      <c r="C287" s="146" t="s">
        <v>288</v>
      </c>
      <c r="D287" s="51"/>
      <c r="E287" s="147" t="s">
        <v>289</v>
      </c>
      <c r="F287" s="148"/>
      <c r="G287" s="101"/>
      <c r="H287" s="101"/>
      <c r="I287" s="30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149" t="s">
        <v>291</v>
      </c>
      <c r="D288" s="150">
        <v>0.04</v>
      </c>
      <c r="E288" s="151"/>
      <c r="I288" s="9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6.0" customHeight="1">
      <c r="A289" s="3"/>
      <c r="B289" s="3"/>
      <c r="C289" s="3"/>
      <c r="D289" s="3"/>
      <c r="E289" s="3"/>
      <c r="F289" s="99"/>
      <c r="G289" s="99"/>
      <c r="H289" s="99"/>
      <c r="I289" s="30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36.0" customHeight="1">
      <c r="A290" s="3"/>
      <c r="B290" s="3"/>
      <c r="C290" s="61" t="s">
        <v>294</v>
      </c>
      <c r="D290" s="61" t="s">
        <v>295</v>
      </c>
      <c r="E290" s="61" t="s">
        <v>163</v>
      </c>
      <c r="F290" s="61" t="s">
        <v>296</v>
      </c>
      <c r="G290" s="30"/>
      <c r="H290" s="30"/>
      <c r="I290" s="30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49"/>
      <c r="D291" s="152"/>
      <c r="E291" s="50"/>
      <c r="F291" s="153" t="str">
        <f t="array" ref="F291">IF(OR(C291="",D291=""),"",D291*IFERROR(INDEX('Base de Datos'!$H$9:$H$68/'Base de Datos'!$F$9:$F$68*(1+IF('Base de Datos'!$I$9:$I$68="",0,'Base de Datos'!$I$9:$I$68)),MATCH(C291,'Base de Datos'!$B$9:$B$68,0)),0))</f>
        <v/>
      </c>
      <c r="G291" s="30"/>
      <c r="H291" s="30"/>
      <c r="I291" s="30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49"/>
      <c r="D292" s="152"/>
      <c r="E292" s="50"/>
      <c r="F292" s="153" t="str">
        <f t="array" ref="F292">IF(OR(C292="",D292=""),"",D292*IFERROR(INDEX('Base de Datos'!$H$9:$H$68/'Base de Datos'!$F$9:$F$68*(1+IF('Base de Datos'!$I$9:$I$68="",0,'Base de Datos'!$I$9:$I$68)),MATCH(C292,'Base de Datos'!$B$9:$B$68,0)),0))</f>
        <v/>
      </c>
      <c r="G292" s="30"/>
      <c r="H292" s="30"/>
      <c r="I292" s="30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49"/>
      <c r="D293" s="152"/>
      <c r="E293" s="50"/>
      <c r="F293" s="153" t="str">
        <f t="array" ref="F293">IF(OR(C293="",D293=""),"",D293*IFERROR(INDEX('Base de Datos'!$H$9:$H$68/'Base de Datos'!$F$9:$F$68*(1+IF('Base de Datos'!$I$9:$I$68="",0,'Base de Datos'!$I$9:$I$68)),MATCH(C293,'Base de Datos'!$B$9:$B$68,0)),0))</f>
        <v/>
      </c>
      <c r="G293" s="30"/>
      <c r="H293" s="30"/>
      <c r="I293" s="30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49"/>
      <c r="D294" s="152"/>
      <c r="E294" s="50"/>
      <c r="F294" s="153" t="str">
        <f t="array" ref="F294">IF(OR(C294="",D294=""),"",D294*IFERROR(INDEX('Base de Datos'!$H$9:$H$68/'Base de Datos'!$F$9:$F$68*(1+IF('Base de Datos'!$I$9:$I$68="",0,'Base de Datos'!$I$9:$I$68)),MATCH(C294,'Base de Datos'!$B$9:$B$68,0)),0))</f>
        <v/>
      </c>
      <c r="G294" s="30"/>
      <c r="H294" s="30"/>
      <c r="I294" s="30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49"/>
      <c r="D295" s="152"/>
      <c r="E295" s="50"/>
      <c r="F295" s="153" t="str">
        <f t="array" ref="F295">IF(OR(C295="",D295=""),"",D295*IFERROR(INDEX('Base de Datos'!$H$9:$H$68/'Base de Datos'!$F$9:$F$68*(1+IF('Base de Datos'!$I$9:$I$68="",0,'Base de Datos'!$I$9:$I$68)),MATCH(C295,'Base de Datos'!$B$9:$B$68,0)),0))</f>
        <v/>
      </c>
      <c r="G295" s="30"/>
      <c r="H295" s="30"/>
      <c r="I295" s="30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49"/>
      <c r="D296" s="152"/>
      <c r="E296" s="50"/>
      <c r="F296" s="153" t="str">
        <f t="array" ref="F296">IF(OR(C296="",D296=""),"",D296*IFERROR(INDEX('Base de Datos'!$H$9:$H$68/'Base de Datos'!$F$9:$F$68*(1+IF('Base de Datos'!$I$9:$I$68="",0,'Base de Datos'!$I$9:$I$68)),MATCH(C296,'Base de Datos'!$B$9:$B$68,0)),0))</f>
        <v/>
      </c>
      <c r="G296" s="30"/>
      <c r="H296" s="30"/>
      <c r="I296" s="30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49"/>
      <c r="D297" s="152"/>
      <c r="E297" s="50"/>
      <c r="F297" s="153" t="str">
        <f t="array" ref="F297">IF(OR(C297="",D297=""),"",D297*IFERROR(INDEX('Base de Datos'!$H$9:$H$68/'Base de Datos'!$F$9:$F$68*(1+IF('Base de Datos'!$I$9:$I$68="",0,'Base de Datos'!$I$9:$I$68)),MATCH(C297,'Base de Datos'!$B$9:$B$68,0)),0))</f>
        <v/>
      </c>
      <c r="G297" s="30"/>
      <c r="H297" s="30"/>
      <c r="I297" s="30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49"/>
      <c r="D298" s="152"/>
      <c r="E298" s="50"/>
      <c r="F298" s="153" t="str">
        <f t="array" ref="F298">IF(OR(C298="",D298=""),"",D298*IFERROR(INDEX('Base de Datos'!$H$9:$H$68/'Base de Datos'!$F$9:$F$68*(1+IF('Base de Datos'!$I$9:$I$68="",0,'Base de Datos'!$I$9:$I$68)),MATCH(C298,'Base de Datos'!$B$9:$B$68,0)),0))</f>
        <v/>
      </c>
      <c r="G298" s="30"/>
      <c r="H298" s="30"/>
      <c r="I298" s="30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49"/>
      <c r="D299" s="152"/>
      <c r="E299" s="50"/>
      <c r="F299" s="153" t="str">
        <f t="array" ref="F299">IF(OR(C299="",D299=""),"",D299*IFERROR(INDEX('Base de Datos'!$H$9:$H$68/'Base de Datos'!$F$9:$F$68*(1+IF('Base de Datos'!$I$9:$I$68="",0,'Base de Datos'!$I$9:$I$68)),MATCH(C299,'Base de Datos'!$B$9:$B$68,0)),0))</f>
        <v/>
      </c>
      <c r="G299" s="30"/>
      <c r="H299" s="30"/>
      <c r="I299" s="30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49"/>
      <c r="D300" s="152"/>
      <c r="E300" s="50"/>
      <c r="F300" s="153" t="str">
        <f t="array" ref="F300">IF(OR(C300="",D300=""),"",D300*IFERROR(INDEX('Base de Datos'!$H$9:$H$68/'Base de Datos'!$F$9:$F$68*(1+IF('Base de Datos'!$I$9:$I$68="",0,'Base de Datos'!$I$9:$I$68)),MATCH(C300,'Base de Datos'!$B$9:$B$68,0)),0))</f>
        <v/>
      </c>
      <c r="G300" s="30"/>
      <c r="H300" s="30"/>
      <c r="I300" s="30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49"/>
      <c r="D301" s="152"/>
      <c r="E301" s="50"/>
      <c r="F301" s="153" t="str">
        <f t="array" ref="F301">IF(OR(C301="",D301=""),"",D301*IFERROR(INDEX('Base de Datos'!$H$9:$H$68/'Base de Datos'!$F$9:$F$68*(1+IF('Base de Datos'!$I$9:$I$68="",0,'Base de Datos'!$I$9:$I$68)),MATCH(C301,'Base de Datos'!$B$9:$B$68,0)),0))</f>
        <v/>
      </c>
      <c r="G301" s="30"/>
      <c r="H301" s="30"/>
      <c r="I301" s="30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49"/>
      <c r="D302" s="152"/>
      <c r="E302" s="50"/>
      <c r="F302" s="153" t="str">
        <f t="array" ref="F302">IF(OR(C302="",D302=""),"",D302*IFERROR(INDEX('Base de Datos'!$H$9:$H$68/'Base de Datos'!$F$9:$F$68*(1+IF('Base de Datos'!$I$9:$I$68="",0,'Base de Datos'!$I$9:$I$68)),MATCH(C302,'Base de Datos'!$B$9:$B$68,0)),0))</f>
        <v/>
      </c>
      <c r="G302" s="30"/>
      <c r="H302" s="30"/>
      <c r="I302" s="30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6.0" customHeight="1">
      <c r="A303" s="3"/>
      <c r="B303" s="3"/>
      <c r="C303" s="3"/>
      <c r="D303" s="3"/>
      <c r="E303" s="3"/>
      <c r="F303" s="30"/>
      <c r="G303" s="30"/>
      <c r="H303" s="30"/>
      <c r="I303" s="30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1.75" customHeight="1">
      <c r="A304" s="3"/>
      <c r="B304" s="3"/>
      <c r="C304" s="154" t="s">
        <v>231</v>
      </c>
      <c r="D304" s="3"/>
      <c r="E304" s="3"/>
      <c r="F304" s="155"/>
      <c r="G304" s="156"/>
      <c r="H304" s="157"/>
      <c r="I304" s="30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146" t="s">
        <v>309</v>
      </c>
      <c r="D305" s="158">
        <f>SUM(F291:F302)</f>
        <v>0</v>
      </c>
      <c r="E305" s="21"/>
      <c r="F305" s="22"/>
      <c r="G305" s="30"/>
      <c r="H305" s="30"/>
      <c r="I305" s="30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146" t="s">
        <v>310</v>
      </c>
      <c r="D306" s="158">
        <f>D305*D288</f>
        <v>0</v>
      </c>
      <c r="E306" s="21"/>
      <c r="F306" s="22"/>
      <c r="G306" s="30"/>
      <c r="H306" s="30"/>
      <c r="I306" s="30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159" t="s">
        <v>311</v>
      </c>
      <c r="D307" s="160">
        <f>D305+D306</f>
        <v>0</v>
      </c>
      <c r="E307" s="21"/>
      <c r="F307" s="22"/>
      <c r="G307" s="30"/>
      <c r="H307" s="30"/>
      <c r="I307" s="30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146" t="s">
        <v>312</v>
      </c>
      <c r="D308" s="161">
        <f>D288</f>
        <v>0.04</v>
      </c>
      <c r="E308" s="21"/>
      <c r="F308" s="22"/>
      <c r="G308" s="30"/>
      <c r="H308" s="30"/>
      <c r="I308" s="30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146" t="s">
        <v>313</v>
      </c>
      <c r="D309" s="162" t="str">
        <f>F287</f>
        <v/>
      </c>
      <c r="E309" s="21"/>
      <c r="F309" s="22"/>
      <c r="G309" s="30"/>
      <c r="H309" s="30"/>
      <c r="I309" s="30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7.75" customHeight="1">
      <c r="A310" s="3"/>
      <c r="B310" s="3"/>
      <c r="C310" s="83" t="s">
        <v>314</v>
      </c>
      <c r="D310" s="22"/>
      <c r="E310" s="3"/>
      <c r="F310" s="163" t="str">
        <f>IF(AND(D307&gt;0,F287&gt;0),D307/F287,"")</f>
        <v/>
      </c>
      <c r="G310" s="3"/>
      <c r="H310" s="3"/>
      <c r="I310" s="30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1" t="s">
        <v>315</v>
      </c>
      <c r="D311" s="18"/>
      <c r="E311" s="18"/>
      <c r="F311" s="18"/>
      <c r="G311" s="18"/>
      <c r="H311" s="19"/>
      <c r="I311" s="30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1.0" customHeight="1">
      <c r="A312" s="164"/>
      <c r="B312" s="18"/>
      <c r="C312" s="18"/>
      <c r="D312" s="18"/>
      <c r="E312" s="18"/>
      <c r="F312" s="18"/>
      <c r="G312" s="18"/>
      <c r="H312" s="18"/>
      <c r="I312" s="19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5.5" customHeight="1">
      <c r="A313" s="165" t="s">
        <v>344</v>
      </c>
      <c r="B313" s="3"/>
      <c r="C313" s="142" t="s">
        <v>345</v>
      </c>
      <c r="D313" s="21"/>
      <c r="E313" s="21"/>
      <c r="F313" s="22"/>
      <c r="G313" s="3"/>
      <c r="H313" s="3"/>
      <c r="I313" s="30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4.0" customHeight="1">
      <c r="A314" s="3"/>
      <c r="B314" s="3"/>
      <c r="C314" s="144" t="s">
        <v>285</v>
      </c>
      <c r="D314" s="145"/>
      <c r="E314" s="21"/>
      <c r="F314" s="22"/>
      <c r="G314" s="30"/>
      <c r="H314" s="30"/>
      <c r="I314" s="30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1.75" customHeight="1">
      <c r="A315" s="3"/>
      <c r="B315" s="3"/>
      <c r="C315" s="146" t="s">
        <v>288</v>
      </c>
      <c r="D315" s="51"/>
      <c r="E315" s="168" t="s">
        <v>289</v>
      </c>
      <c r="F315" s="169"/>
      <c r="G315" s="170"/>
      <c r="H315" s="101"/>
      <c r="I315" s="30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149" t="s">
        <v>291</v>
      </c>
      <c r="D316" s="150">
        <v>0.04</v>
      </c>
      <c r="E316" s="151"/>
      <c r="I316" s="9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6.0" customHeight="1">
      <c r="A317" s="3"/>
      <c r="B317" s="3"/>
      <c r="C317" s="3"/>
      <c r="D317" s="3"/>
      <c r="E317" s="3"/>
      <c r="F317" s="99"/>
      <c r="G317" s="99"/>
      <c r="H317" s="99"/>
      <c r="I317" s="30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36.0" customHeight="1">
      <c r="A318" s="3"/>
      <c r="B318" s="3"/>
      <c r="C318" s="61" t="s">
        <v>294</v>
      </c>
      <c r="D318" s="61" t="s">
        <v>295</v>
      </c>
      <c r="E318" s="61" t="s">
        <v>163</v>
      </c>
      <c r="F318" s="61" t="s">
        <v>296</v>
      </c>
      <c r="G318" s="30"/>
      <c r="H318" s="30"/>
      <c r="I318" s="30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49"/>
      <c r="D319" s="152"/>
      <c r="E319" s="50"/>
      <c r="F319" s="153" t="str">
        <f t="array" ref="F319">IF(OR(C319="",D319=""),"",D319*IFERROR(INDEX('Base de Datos'!$H$9:$H$68/'Base de Datos'!$F$9:$F$68*(1+IF('Base de Datos'!$I$9:$I$68="",0,'Base de Datos'!$I$9:$I$68)),MATCH(C319,'Base de Datos'!$B$9:$B$68,0)),0))</f>
        <v/>
      </c>
      <c r="G319" s="30"/>
      <c r="H319" s="30"/>
      <c r="I319" s="30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49"/>
      <c r="D320" s="152"/>
      <c r="E320" s="50"/>
      <c r="F320" s="153" t="str">
        <f t="array" ref="F320">IF(OR(C320="",D320=""),"",D320*IFERROR(INDEX('Base de Datos'!$H$9:$H$68/'Base de Datos'!$F$9:$F$68*(1+IF('Base de Datos'!$I$9:$I$68="",0,'Base de Datos'!$I$9:$I$68)),MATCH(C320,'Base de Datos'!$B$9:$B$68,0)),0))</f>
        <v/>
      </c>
      <c r="G320" s="30"/>
      <c r="H320" s="30"/>
      <c r="I320" s="30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49"/>
      <c r="D321" s="152"/>
      <c r="E321" s="50"/>
      <c r="F321" s="153" t="str">
        <f t="array" ref="F321">IF(OR(C321="",D321=""),"",D321*IFERROR(INDEX('Base de Datos'!$H$9:$H$68/'Base de Datos'!$F$9:$F$68*(1+IF('Base de Datos'!$I$9:$I$68="",0,'Base de Datos'!$I$9:$I$68)),MATCH(C321,'Base de Datos'!$B$9:$B$68,0)),0))</f>
        <v/>
      </c>
      <c r="G321" s="30"/>
      <c r="H321" s="30"/>
      <c r="I321" s="30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49"/>
      <c r="D322" s="152"/>
      <c r="E322" s="50"/>
      <c r="F322" s="153" t="str">
        <f t="array" ref="F322">IF(OR(C322="",D322=""),"",D322*IFERROR(INDEX('Base de Datos'!$H$9:$H$68/'Base de Datos'!$F$9:$F$68*(1+IF('Base de Datos'!$I$9:$I$68="",0,'Base de Datos'!$I$9:$I$68)),MATCH(C322,'Base de Datos'!$B$9:$B$68,0)),0))</f>
        <v/>
      </c>
      <c r="G322" s="30"/>
      <c r="H322" s="30"/>
      <c r="I322" s="30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49"/>
      <c r="D323" s="152"/>
      <c r="E323" s="50"/>
      <c r="F323" s="153" t="str">
        <f t="array" ref="F323">IF(OR(C323="",D323=""),"",D323*IFERROR(INDEX('Base de Datos'!$H$9:$H$68/'Base de Datos'!$F$9:$F$68*(1+IF('Base de Datos'!$I$9:$I$68="",0,'Base de Datos'!$I$9:$I$68)),MATCH(C323,'Base de Datos'!$B$9:$B$68,0)),0))</f>
        <v/>
      </c>
      <c r="G323" s="30"/>
      <c r="H323" s="30"/>
      <c r="I323" s="30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49"/>
      <c r="D324" s="152"/>
      <c r="E324" s="50"/>
      <c r="F324" s="153" t="str">
        <f t="array" ref="F324">IF(OR(C324="",D324=""),"",D324*IFERROR(INDEX('Base de Datos'!$H$9:$H$68/'Base de Datos'!$F$9:$F$68*(1+IF('Base de Datos'!$I$9:$I$68="",0,'Base de Datos'!$I$9:$I$68)),MATCH(C324,'Base de Datos'!$B$9:$B$68,0)),0))</f>
        <v/>
      </c>
      <c r="G324" s="30"/>
      <c r="H324" s="30"/>
      <c r="I324" s="30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49"/>
      <c r="D325" s="152"/>
      <c r="E325" s="50"/>
      <c r="F325" s="153" t="str">
        <f t="array" ref="F325">IF(OR(C325="",D325=""),"",D325*IFERROR(INDEX('Base de Datos'!$H$9:$H$68/'Base de Datos'!$F$9:$F$68*(1+IF('Base de Datos'!$I$9:$I$68="",0,'Base de Datos'!$I$9:$I$68)),MATCH(C325,'Base de Datos'!$B$9:$B$68,0)),0))</f>
        <v/>
      </c>
      <c r="G325" s="30"/>
      <c r="H325" s="30"/>
      <c r="I325" s="30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49"/>
      <c r="D326" s="152"/>
      <c r="E326" s="50"/>
      <c r="F326" s="153" t="str">
        <f t="array" ref="F326">IF(OR(C326="",D326=""),"",D326*IFERROR(INDEX('Base de Datos'!$H$9:$H$68/'Base de Datos'!$F$9:$F$68*(1+IF('Base de Datos'!$I$9:$I$68="",0,'Base de Datos'!$I$9:$I$68)),MATCH(C326,'Base de Datos'!$B$9:$B$68,0)),0))</f>
        <v/>
      </c>
      <c r="G326" s="30"/>
      <c r="H326" s="30"/>
      <c r="I326" s="30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49"/>
      <c r="D327" s="152"/>
      <c r="E327" s="50"/>
      <c r="F327" s="153" t="str">
        <f t="array" ref="F327">IF(OR(C327="",D327=""),"",D327*IFERROR(INDEX('Base de Datos'!$H$9:$H$68/'Base de Datos'!$F$9:$F$68*(1+IF('Base de Datos'!$I$9:$I$68="",0,'Base de Datos'!$I$9:$I$68)),MATCH(C327,'Base de Datos'!$B$9:$B$68,0)),0))</f>
        <v/>
      </c>
      <c r="G327" s="30"/>
      <c r="H327" s="30"/>
      <c r="I327" s="30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49"/>
      <c r="D328" s="152"/>
      <c r="E328" s="50"/>
      <c r="F328" s="153" t="str">
        <f t="array" ref="F328">IF(OR(C328="",D328=""),"",D328*IFERROR(INDEX('Base de Datos'!$H$9:$H$68/'Base de Datos'!$F$9:$F$68*(1+IF('Base de Datos'!$I$9:$I$68="",0,'Base de Datos'!$I$9:$I$68)),MATCH(C328,'Base de Datos'!$B$9:$B$68,0)),0))</f>
        <v/>
      </c>
      <c r="G328" s="30"/>
      <c r="H328" s="30"/>
      <c r="I328" s="30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49"/>
      <c r="D329" s="152"/>
      <c r="E329" s="50"/>
      <c r="F329" s="153" t="str">
        <f t="array" ref="F329">IF(OR(C329="",D329=""),"",D329*IFERROR(INDEX('Base de Datos'!$H$9:$H$68/'Base de Datos'!$F$9:$F$68*(1+IF('Base de Datos'!$I$9:$I$68="",0,'Base de Datos'!$I$9:$I$68)),MATCH(C329,'Base de Datos'!$B$9:$B$68,0)),0))</f>
        <v/>
      </c>
      <c r="G329" s="30"/>
      <c r="H329" s="30"/>
      <c r="I329" s="30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49"/>
      <c r="D330" s="152"/>
      <c r="E330" s="50"/>
      <c r="F330" s="153" t="str">
        <f t="array" ref="F330">IF(OR(C330="",D330=""),"",D330*IFERROR(INDEX('Base de Datos'!$H$9:$H$68/'Base de Datos'!$F$9:$F$68*(1+IF('Base de Datos'!$I$9:$I$68="",0,'Base de Datos'!$I$9:$I$68)),MATCH(C330,'Base de Datos'!$B$9:$B$68,0)),0))</f>
        <v/>
      </c>
      <c r="G330" s="30"/>
      <c r="H330" s="30"/>
      <c r="I330" s="30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6.0" customHeight="1">
      <c r="A331" s="3"/>
      <c r="B331" s="3"/>
      <c r="C331" s="3"/>
      <c r="D331" s="3"/>
      <c r="E331" s="3"/>
      <c r="F331" s="30"/>
      <c r="G331" s="30"/>
      <c r="H331" s="30"/>
      <c r="I331" s="30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1.75" customHeight="1">
      <c r="A332" s="3"/>
      <c r="B332" s="3"/>
      <c r="C332" s="154" t="s">
        <v>231</v>
      </c>
      <c r="D332" s="3"/>
      <c r="E332" s="3"/>
      <c r="F332" s="155"/>
      <c r="G332" s="156"/>
      <c r="H332" s="157"/>
      <c r="I332" s="30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146" t="s">
        <v>309</v>
      </c>
      <c r="D333" s="158">
        <f>SUM(F319:F330)</f>
        <v>0</v>
      </c>
      <c r="E333" s="21"/>
      <c r="F333" s="22"/>
      <c r="G333" s="30"/>
      <c r="H333" s="30"/>
      <c r="I333" s="30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146" t="s">
        <v>310</v>
      </c>
      <c r="D334" s="158">
        <f>D333*D316</f>
        <v>0</v>
      </c>
      <c r="E334" s="21"/>
      <c r="F334" s="22"/>
      <c r="G334" s="30"/>
      <c r="H334" s="30"/>
      <c r="I334" s="30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159" t="s">
        <v>311</v>
      </c>
      <c r="D335" s="160">
        <f>D333+D334</f>
        <v>0</v>
      </c>
      <c r="E335" s="21"/>
      <c r="F335" s="22"/>
      <c r="G335" s="30"/>
      <c r="H335" s="30"/>
      <c r="I335" s="30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146" t="s">
        <v>312</v>
      </c>
      <c r="D336" s="161">
        <f>D316</f>
        <v>0.04</v>
      </c>
      <c r="E336" s="21"/>
      <c r="F336" s="22"/>
      <c r="G336" s="30"/>
      <c r="H336" s="30"/>
      <c r="I336" s="30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146" t="s">
        <v>313</v>
      </c>
      <c r="D337" s="162" t="str">
        <f>F315</f>
        <v/>
      </c>
      <c r="E337" s="21"/>
      <c r="F337" s="22"/>
      <c r="G337" s="30"/>
      <c r="H337" s="30"/>
      <c r="I337" s="30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7.75" customHeight="1">
      <c r="A338" s="3"/>
      <c r="B338" s="3"/>
      <c r="C338" s="83" t="s">
        <v>314</v>
      </c>
      <c r="D338" s="22"/>
      <c r="E338" s="3"/>
      <c r="F338" s="163" t="str">
        <f>IF(AND(D335&gt;0,F315&gt;0),D335/F315,"")</f>
        <v/>
      </c>
      <c r="G338" s="3"/>
      <c r="H338" s="3"/>
      <c r="I338" s="30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1" t="s">
        <v>315</v>
      </c>
      <c r="D339" s="18"/>
      <c r="E339" s="18"/>
      <c r="F339" s="18"/>
      <c r="G339" s="18"/>
      <c r="H339" s="19"/>
      <c r="I339" s="30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1.75" customHeight="1">
      <c r="A340" s="164"/>
      <c r="B340" s="18"/>
      <c r="C340" s="18"/>
      <c r="D340" s="18"/>
      <c r="E340" s="18"/>
      <c r="F340" s="18"/>
      <c r="G340" s="18"/>
      <c r="H340" s="18"/>
      <c r="I340" s="19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5.5" customHeight="1">
      <c r="A341" s="165" t="s">
        <v>346</v>
      </c>
      <c r="B341" s="3"/>
      <c r="C341" s="142" t="s">
        <v>347</v>
      </c>
      <c r="D341" s="21"/>
      <c r="E341" s="21"/>
      <c r="F341" s="22"/>
      <c r="G341" s="3"/>
      <c r="H341" s="3"/>
      <c r="I341" s="30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4.0" customHeight="1">
      <c r="A342" s="3"/>
      <c r="B342" s="3"/>
      <c r="C342" s="144" t="s">
        <v>285</v>
      </c>
      <c r="D342" s="145"/>
      <c r="E342" s="21"/>
      <c r="F342" s="22"/>
      <c r="G342" s="30"/>
      <c r="H342" s="30"/>
      <c r="I342" s="30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1.75" customHeight="1">
      <c r="A343" s="3"/>
      <c r="B343" s="3"/>
      <c r="C343" s="146" t="s">
        <v>288</v>
      </c>
      <c r="D343" s="51"/>
      <c r="E343" s="147" t="s">
        <v>289</v>
      </c>
      <c r="F343" s="148"/>
      <c r="G343" s="101"/>
      <c r="H343" s="101"/>
      <c r="I343" s="30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149" t="s">
        <v>291</v>
      </c>
      <c r="D344" s="150">
        <v>0.04</v>
      </c>
      <c r="E344" s="151"/>
      <c r="I344" s="9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6.0" customHeight="1">
      <c r="A345" s="3"/>
      <c r="B345" s="3"/>
      <c r="C345" s="3"/>
      <c r="D345" s="3"/>
      <c r="E345" s="3"/>
      <c r="F345" s="99"/>
      <c r="G345" s="99"/>
      <c r="H345" s="99"/>
      <c r="I345" s="30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36.0" customHeight="1">
      <c r="A346" s="3"/>
      <c r="B346" s="3"/>
      <c r="C346" s="61" t="s">
        <v>294</v>
      </c>
      <c r="D346" s="61" t="s">
        <v>295</v>
      </c>
      <c r="E346" s="61" t="s">
        <v>163</v>
      </c>
      <c r="F346" s="61" t="s">
        <v>296</v>
      </c>
      <c r="G346" s="30"/>
      <c r="H346" s="30"/>
      <c r="I346" s="30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49"/>
      <c r="D347" s="152"/>
      <c r="E347" s="50"/>
      <c r="F347" s="153" t="str">
        <f t="array" ref="F347">IF(OR(C347="",D347=""),"",D347*IFERROR(INDEX('Base de Datos'!$H$9:$H$68/'Base de Datos'!$F$9:$F$68*(1+IF('Base de Datos'!$I$9:$I$68="",0,'Base de Datos'!$I$9:$I$68)),MATCH(C347,'Base de Datos'!$B$9:$B$68,0)),0))</f>
        <v/>
      </c>
      <c r="G347" s="30"/>
      <c r="H347" s="30"/>
      <c r="I347" s="30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49"/>
      <c r="D348" s="152"/>
      <c r="E348" s="50"/>
      <c r="F348" s="153" t="str">
        <f t="array" ref="F348">IF(OR(C348="",D348=""),"",D348*IFERROR(INDEX('Base de Datos'!$H$9:$H$68/'Base de Datos'!$F$9:$F$68*(1+IF('Base de Datos'!$I$9:$I$68="",0,'Base de Datos'!$I$9:$I$68)),MATCH(C348,'Base de Datos'!$B$9:$B$68,0)),0))</f>
        <v/>
      </c>
      <c r="G348" s="30"/>
      <c r="H348" s="30"/>
      <c r="I348" s="30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49"/>
      <c r="D349" s="152"/>
      <c r="E349" s="50"/>
      <c r="F349" s="153" t="str">
        <f t="array" ref="F349">IF(OR(C349="",D349=""),"",D349*IFERROR(INDEX('Base de Datos'!$H$9:$H$68/'Base de Datos'!$F$9:$F$68*(1+IF('Base de Datos'!$I$9:$I$68="",0,'Base de Datos'!$I$9:$I$68)),MATCH(C349,'Base de Datos'!$B$9:$B$68,0)),0))</f>
        <v/>
      </c>
      <c r="G349" s="30"/>
      <c r="H349" s="30"/>
      <c r="I349" s="30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49"/>
      <c r="D350" s="152"/>
      <c r="E350" s="50"/>
      <c r="F350" s="153" t="str">
        <f t="array" ref="F350">IF(OR(C350="",D350=""),"",D350*IFERROR(INDEX('Base de Datos'!$H$9:$H$68/'Base de Datos'!$F$9:$F$68*(1+IF('Base de Datos'!$I$9:$I$68="",0,'Base de Datos'!$I$9:$I$68)),MATCH(C350,'Base de Datos'!$B$9:$B$68,0)),0))</f>
        <v/>
      </c>
      <c r="G350" s="30"/>
      <c r="H350" s="30"/>
      <c r="I350" s="30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49"/>
      <c r="D351" s="152"/>
      <c r="E351" s="50"/>
      <c r="F351" s="153" t="str">
        <f t="array" ref="F351">IF(OR(C351="",D351=""),"",D351*IFERROR(INDEX('Base de Datos'!$H$9:$H$68/'Base de Datos'!$F$9:$F$68*(1+IF('Base de Datos'!$I$9:$I$68="",0,'Base de Datos'!$I$9:$I$68)),MATCH(C351,'Base de Datos'!$B$9:$B$68,0)),0))</f>
        <v/>
      </c>
      <c r="G351" s="30"/>
      <c r="H351" s="30"/>
      <c r="I351" s="30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49"/>
      <c r="D352" s="152"/>
      <c r="E352" s="50"/>
      <c r="F352" s="153" t="str">
        <f t="array" ref="F352">IF(OR(C352="",D352=""),"",D352*IFERROR(INDEX('Base de Datos'!$H$9:$H$68/'Base de Datos'!$F$9:$F$68*(1+IF('Base de Datos'!$I$9:$I$68="",0,'Base de Datos'!$I$9:$I$68)),MATCH(C352,'Base de Datos'!$B$9:$B$68,0)),0))</f>
        <v/>
      </c>
      <c r="G352" s="30"/>
      <c r="H352" s="30"/>
      <c r="I352" s="30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49"/>
      <c r="D353" s="152"/>
      <c r="E353" s="50"/>
      <c r="F353" s="153" t="str">
        <f t="array" ref="F353">IF(OR(C353="",D353=""),"",D353*IFERROR(INDEX('Base de Datos'!$H$9:$H$68/'Base de Datos'!$F$9:$F$68*(1+IF('Base de Datos'!$I$9:$I$68="",0,'Base de Datos'!$I$9:$I$68)),MATCH(C353,'Base de Datos'!$B$9:$B$68,0)),0))</f>
        <v/>
      </c>
      <c r="G353" s="30"/>
      <c r="H353" s="30"/>
      <c r="I353" s="30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49"/>
      <c r="D354" s="152"/>
      <c r="E354" s="50"/>
      <c r="F354" s="153" t="str">
        <f t="array" ref="F354">IF(OR(C354="",D354=""),"",D354*IFERROR(INDEX('Base de Datos'!$H$9:$H$68/'Base de Datos'!$F$9:$F$68*(1+IF('Base de Datos'!$I$9:$I$68="",0,'Base de Datos'!$I$9:$I$68)),MATCH(C354,'Base de Datos'!$B$9:$B$68,0)),0))</f>
        <v/>
      </c>
      <c r="G354" s="30"/>
      <c r="H354" s="30"/>
      <c r="I354" s="30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49"/>
      <c r="D355" s="152"/>
      <c r="E355" s="50"/>
      <c r="F355" s="153" t="str">
        <f t="array" ref="F355">IF(OR(C355="",D355=""),"",D355*IFERROR(INDEX('Base de Datos'!$H$9:$H$68/'Base de Datos'!$F$9:$F$68*(1+IF('Base de Datos'!$I$9:$I$68="",0,'Base de Datos'!$I$9:$I$68)),MATCH(C355,'Base de Datos'!$B$9:$B$68,0)),0))</f>
        <v/>
      </c>
      <c r="G355" s="30"/>
      <c r="H355" s="30"/>
      <c r="I355" s="30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3"/>
      <c r="B356" s="3"/>
      <c r="C356" s="49"/>
      <c r="D356" s="152"/>
      <c r="E356" s="50"/>
      <c r="F356" s="153" t="str">
        <f t="array" ref="F356">IF(OR(C356="",D356=""),"",D356*IFERROR(INDEX('Base de Datos'!$H$9:$H$68/'Base de Datos'!$F$9:$F$68*(1+IF('Base de Datos'!$I$9:$I$68="",0,'Base de Datos'!$I$9:$I$68)),MATCH(C356,'Base de Datos'!$B$9:$B$68,0)),0))</f>
        <v/>
      </c>
      <c r="G356" s="30"/>
      <c r="H356" s="30"/>
      <c r="I356" s="30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3"/>
      <c r="B357" s="3"/>
      <c r="C357" s="49"/>
      <c r="D357" s="152"/>
      <c r="E357" s="50"/>
      <c r="F357" s="153" t="str">
        <f t="array" ref="F357">IF(OR(C357="",D357=""),"",D357*IFERROR(INDEX('Base de Datos'!$H$9:$H$68/'Base de Datos'!$F$9:$F$68*(1+IF('Base de Datos'!$I$9:$I$68="",0,'Base de Datos'!$I$9:$I$68)),MATCH(C357,'Base de Datos'!$B$9:$B$68,0)),0))</f>
        <v/>
      </c>
      <c r="G357" s="30"/>
      <c r="H357" s="30"/>
      <c r="I357" s="30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3"/>
      <c r="B358" s="3"/>
      <c r="C358" s="49"/>
      <c r="D358" s="152"/>
      <c r="E358" s="50"/>
      <c r="F358" s="153" t="str">
        <f t="array" ref="F358">IF(OR(C358="",D358=""),"",D358*IFERROR(INDEX('Base de Datos'!$H$9:$H$68/'Base de Datos'!$F$9:$F$68*(1+IF('Base de Datos'!$I$9:$I$68="",0,'Base de Datos'!$I$9:$I$68)),MATCH(C358,'Base de Datos'!$B$9:$B$68,0)),0))</f>
        <v/>
      </c>
      <c r="G358" s="30"/>
      <c r="H358" s="30"/>
      <c r="I358" s="30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6.0" customHeight="1">
      <c r="A359" s="3"/>
      <c r="B359" s="3"/>
      <c r="C359" s="3"/>
      <c r="D359" s="3"/>
      <c r="E359" s="3"/>
      <c r="F359" s="30"/>
      <c r="G359" s="30"/>
      <c r="H359" s="30"/>
      <c r="I359" s="30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1.75" customHeight="1">
      <c r="A360" s="3"/>
      <c r="B360" s="3"/>
      <c r="C360" s="154" t="s">
        <v>231</v>
      </c>
      <c r="D360" s="3"/>
      <c r="E360" s="3"/>
      <c r="F360" s="155"/>
      <c r="G360" s="156"/>
      <c r="H360" s="157"/>
      <c r="I360" s="30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146" t="s">
        <v>309</v>
      </c>
      <c r="D361" s="158">
        <f>SUM(F347:F358)</f>
        <v>0</v>
      </c>
      <c r="E361" s="21"/>
      <c r="F361" s="22"/>
      <c r="G361" s="30"/>
      <c r="H361" s="30"/>
      <c r="I361" s="30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146" t="s">
        <v>310</v>
      </c>
      <c r="D362" s="158">
        <f>D361*D344</f>
        <v>0</v>
      </c>
      <c r="E362" s="21"/>
      <c r="F362" s="22"/>
      <c r="G362" s="30"/>
      <c r="H362" s="30"/>
      <c r="I362" s="30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159" t="s">
        <v>311</v>
      </c>
      <c r="D363" s="160">
        <f>D361+D362</f>
        <v>0</v>
      </c>
      <c r="E363" s="21"/>
      <c r="F363" s="22"/>
      <c r="G363" s="30"/>
      <c r="H363" s="30"/>
      <c r="I363" s="30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146" t="s">
        <v>312</v>
      </c>
      <c r="D364" s="161">
        <f>D344</f>
        <v>0.04</v>
      </c>
      <c r="E364" s="21"/>
      <c r="F364" s="22"/>
      <c r="G364" s="30"/>
      <c r="H364" s="30"/>
      <c r="I364" s="30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146" t="s">
        <v>313</v>
      </c>
      <c r="D365" s="162" t="str">
        <f>F343</f>
        <v/>
      </c>
      <c r="E365" s="21"/>
      <c r="F365" s="22"/>
      <c r="G365" s="30"/>
      <c r="H365" s="30"/>
      <c r="I365" s="30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7.75" customHeight="1">
      <c r="A366" s="3"/>
      <c r="B366" s="3"/>
      <c r="C366" s="83" t="s">
        <v>314</v>
      </c>
      <c r="D366" s="22"/>
      <c r="E366" s="3"/>
      <c r="F366" s="163" t="str">
        <f>IF(AND(D363&gt;0,F343&gt;0),D363/F343,"")</f>
        <v/>
      </c>
      <c r="G366" s="3"/>
      <c r="H366" s="3"/>
      <c r="I366" s="30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1" t="s">
        <v>315</v>
      </c>
      <c r="D367" s="18"/>
      <c r="E367" s="18"/>
      <c r="F367" s="18"/>
      <c r="G367" s="18"/>
      <c r="H367" s="19"/>
      <c r="I367" s="30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0.25" customHeight="1">
      <c r="A368" s="164"/>
      <c r="B368" s="18"/>
      <c r="C368" s="18"/>
      <c r="D368" s="18"/>
      <c r="E368" s="18"/>
      <c r="F368" s="18"/>
      <c r="G368" s="18"/>
      <c r="H368" s="18"/>
      <c r="I368" s="19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5.5" customHeight="1">
      <c r="A369" s="165" t="s">
        <v>348</v>
      </c>
      <c r="B369" s="3"/>
      <c r="C369" s="142" t="s">
        <v>349</v>
      </c>
      <c r="D369" s="21"/>
      <c r="E369" s="21"/>
      <c r="F369" s="22"/>
      <c r="G369" s="3"/>
      <c r="H369" s="3"/>
      <c r="I369" s="30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4.0" customHeight="1">
      <c r="A370" s="3"/>
      <c r="B370" s="3"/>
      <c r="C370" s="144" t="s">
        <v>285</v>
      </c>
      <c r="D370" s="145"/>
      <c r="E370" s="21"/>
      <c r="F370" s="22"/>
      <c r="G370" s="30"/>
      <c r="H370" s="30"/>
      <c r="I370" s="30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1.75" customHeight="1">
      <c r="A371" s="3"/>
      <c r="B371" s="3"/>
      <c r="C371" s="146" t="s">
        <v>288</v>
      </c>
      <c r="D371" s="51"/>
      <c r="E371" s="147" t="s">
        <v>289</v>
      </c>
      <c r="F371" s="148"/>
      <c r="G371" s="101"/>
      <c r="H371" s="101"/>
      <c r="I371" s="30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3"/>
      <c r="B372" s="3"/>
      <c r="C372" s="149" t="s">
        <v>291</v>
      </c>
      <c r="D372" s="150">
        <v>0.04</v>
      </c>
      <c r="E372" s="151"/>
      <c r="I372" s="9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6.0" customHeight="1">
      <c r="A373" s="3"/>
      <c r="B373" s="3"/>
      <c r="C373" s="3"/>
      <c r="D373" s="3"/>
      <c r="E373" s="3"/>
      <c r="F373" s="99"/>
      <c r="G373" s="99"/>
      <c r="H373" s="99"/>
      <c r="I373" s="30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36.0" customHeight="1">
      <c r="A374" s="3"/>
      <c r="B374" s="3"/>
      <c r="C374" s="61" t="s">
        <v>294</v>
      </c>
      <c r="D374" s="61" t="s">
        <v>295</v>
      </c>
      <c r="E374" s="61" t="s">
        <v>163</v>
      </c>
      <c r="F374" s="61" t="s">
        <v>296</v>
      </c>
      <c r="G374" s="30"/>
      <c r="H374" s="30"/>
      <c r="I374" s="30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3"/>
      <c r="B375" s="3"/>
      <c r="C375" s="49"/>
      <c r="D375" s="152"/>
      <c r="E375" s="50"/>
      <c r="F375" s="153" t="str">
        <f t="array" ref="F375">IF(OR(C375="",D375=""),"",D375*IFERROR(INDEX('Base de Datos'!$H$9:$H$68/'Base de Datos'!$F$9:$F$68*(1+IF('Base de Datos'!$I$9:$I$68="",0,'Base de Datos'!$I$9:$I$68)),MATCH(C375,'Base de Datos'!$B$9:$B$68,0)),0))</f>
        <v/>
      </c>
      <c r="G375" s="30"/>
      <c r="H375" s="30"/>
      <c r="I375" s="30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3"/>
      <c r="B376" s="3"/>
      <c r="C376" s="49"/>
      <c r="D376" s="152"/>
      <c r="E376" s="50"/>
      <c r="F376" s="153" t="str">
        <f t="array" ref="F376">IF(OR(C376="",D376=""),"",D376*IFERROR(INDEX('Base de Datos'!$H$9:$H$68/'Base de Datos'!$F$9:$F$68*(1+IF('Base de Datos'!$I$9:$I$68="",0,'Base de Datos'!$I$9:$I$68)),MATCH(C376,'Base de Datos'!$B$9:$B$68,0)),0))</f>
        <v/>
      </c>
      <c r="G376" s="30"/>
      <c r="H376" s="30"/>
      <c r="I376" s="30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3"/>
      <c r="B377" s="3"/>
      <c r="C377" s="49"/>
      <c r="D377" s="152"/>
      <c r="E377" s="50"/>
      <c r="F377" s="153" t="str">
        <f t="array" ref="F377">IF(OR(C377="",D377=""),"",D377*IFERROR(INDEX('Base de Datos'!$H$9:$H$68/'Base de Datos'!$F$9:$F$68*(1+IF('Base de Datos'!$I$9:$I$68="",0,'Base de Datos'!$I$9:$I$68)),MATCH(C377,'Base de Datos'!$B$9:$B$68,0)),0))</f>
        <v/>
      </c>
      <c r="G377" s="30"/>
      <c r="H377" s="30"/>
      <c r="I377" s="30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3"/>
      <c r="B378" s="3"/>
      <c r="C378" s="49"/>
      <c r="D378" s="152"/>
      <c r="E378" s="50"/>
      <c r="F378" s="153" t="str">
        <f t="array" ref="F378">IF(OR(C378="",D378=""),"",D378*IFERROR(INDEX('Base de Datos'!$H$9:$H$68/'Base de Datos'!$F$9:$F$68*(1+IF('Base de Datos'!$I$9:$I$68="",0,'Base de Datos'!$I$9:$I$68)),MATCH(C378,'Base de Datos'!$B$9:$B$68,0)),0))</f>
        <v/>
      </c>
      <c r="G378" s="30"/>
      <c r="H378" s="30"/>
      <c r="I378" s="30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3"/>
      <c r="B379" s="3"/>
      <c r="C379" s="49"/>
      <c r="D379" s="152"/>
      <c r="E379" s="50"/>
      <c r="F379" s="153" t="str">
        <f t="array" ref="F379">IF(OR(C379="",D379=""),"",D379*IFERROR(INDEX('Base de Datos'!$H$9:$H$68/'Base de Datos'!$F$9:$F$68*(1+IF('Base de Datos'!$I$9:$I$68="",0,'Base de Datos'!$I$9:$I$68)),MATCH(C379,'Base de Datos'!$B$9:$B$68,0)),0))</f>
        <v/>
      </c>
      <c r="G379" s="30"/>
      <c r="H379" s="30"/>
      <c r="I379" s="30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3"/>
      <c r="B380" s="3"/>
      <c r="C380" s="49"/>
      <c r="D380" s="152"/>
      <c r="E380" s="50"/>
      <c r="F380" s="153" t="str">
        <f t="array" ref="F380">IF(OR(C380="",D380=""),"",D380*IFERROR(INDEX('Base de Datos'!$H$9:$H$68/'Base de Datos'!$F$9:$F$68*(1+IF('Base de Datos'!$I$9:$I$68="",0,'Base de Datos'!$I$9:$I$68)),MATCH(C380,'Base de Datos'!$B$9:$B$68,0)),0))</f>
        <v/>
      </c>
      <c r="G380" s="30"/>
      <c r="H380" s="30"/>
      <c r="I380" s="30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3"/>
      <c r="B381" s="3"/>
      <c r="C381" s="49"/>
      <c r="D381" s="152"/>
      <c r="E381" s="50"/>
      <c r="F381" s="153" t="str">
        <f t="array" ref="F381">IF(OR(C381="",D381=""),"",D381*IFERROR(INDEX('Base de Datos'!$H$9:$H$68/'Base de Datos'!$F$9:$F$68*(1+IF('Base de Datos'!$I$9:$I$68="",0,'Base de Datos'!$I$9:$I$68)),MATCH(C381,'Base de Datos'!$B$9:$B$68,0)),0))</f>
        <v/>
      </c>
      <c r="G381" s="30"/>
      <c r="H381" s="30"/>
      <c r="I381" s="30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49"/>
      <c r="D382" s="152"/>
      <c r="E382" s="50"/>
      <c r="F382" s="153" t="str">
        <f t="array" ref="F382">IF(OR(C382="",D382=""),"",D382*IFERROR(INDEX('Base de Datos'!$H$9:$H$68/'Base de Datos'!$F$9:$F$68*(1+IF('Base de Datos'!$I$9:$I$68="",0,'Base de Datos'!$I$9:$I$68)),MATCH(C382,'Base de Datos'!$B$9:$B$68,0)),0))</f>
        <v/>
      </c>
      <c r="G382" s="30"/>
      <c r="H382" s="30"/>
      <c r="I382" s="30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3"/>
      <c r="B383" s="3"/>
      <c r="C383" s="49"/>
      <c r="D383" s="152"/>
      <c r="E383" s="50"/>
      <c r="F383" s="153" t="str">
        <f t="array" ref="F383">IF(OR(C383="",D383=""),"",D383*IFERROR(INDEX('Base de Datos'!$H$9:$H$68/'Base de Datos'!$F$9:$F$68*(1+IF('Base de Datos'!$I$9:$I$68="",0,'Base de Datos'!$I$9:$I$68)),MATCH(C383,'Base de Datos'!$B$9:$B$68,0)),0))</f>
        <v/>
      </c>
      <c r="G383" s="30"/>
      <c r="H383" s="30"/>
      <c r="I383" s="30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3"/>
      <c r="B384" s="3"/>
      <c r="C384" s="49"/>
      <c r="D384" s="152"/>
      <c r="E384" s="50"/>
      <c r="F384" s="153" t="str">
        <f t="array" ref="F384">IF(OR(C384="",D384=""),"",D384*IFERROR(INDEX('Base de Datos'!$H$9:$H$68/'Base de Datos'!$F$9:$F$68*(1+IF('Base de Datos'!$I$9:$I$68="",0,'Base de Datos'!$I$9:$I$68)),MATCH(C384,'Base de Datos'!$B$9:$B$68,0)),0))</f>
        <v/>
      </c>
      <c r="G384" s="30"/>
      <c r="H384" s="30"/>
      <c r="I384" s="30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3"/>
      <c r="B385" s="3"/>
      <c r="C385" s="49"/>
      <c r="D385" s="152"/>
      <c r="E385" s="50"/>
      <c r="F385" s="153" t="str">
        <f t="array" ref="F385">IF(OR(C385="",D385=""),"",D385*IFERROR(INDEX('Base de Datos'!$H$9:$H$68/'Base de Datos'!$F$9:$F$68*(1+IF('Base de Datos'!$I$9:$I$68="",0,'Base de Datos'!$I$9:$I$68)),MATCH(C385,'Base de Datos'!$B$9:$B$68,0)),0))</f>
        <v/>
      </c>
      <c r="G385" s="30"/>
      <c r="H385" s="30"/>
      <c r="I385" s="30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3"/>
      <c r="B386" s="3"/>
      <c r="C386" s="49"/>
      <c r="D386" s="152"/>
      <c r="E386" s="50"/>
      <c r="F386" s="153" t="str">
        <f t="array" ref="F386">IF(OR(C386="",D386=""),"",D386*IFERROR(INDEX('Base de Datos'!$H$9:$H$68/'Base de Datos'!$F$9:$F$68*(1+IF('Base de Datos'!$I$9:$I$68="",0,'Base de Datos'!$I$9:$I$68)),MATCH(C386,'Base de Datos'!$B$9:$B$68,0)),0))</f>
        <v/>
      </c>
      <c r="G386" s="30"/>
      <c r="H386" s="30"/>
      <c r="I386" s="30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6.0" customHeight="1">
      <c r="A387" s="3"/>
      <c r="B387" s="3"/>
      <c r="C387" s="3"/>
      <c r="D387" s="3"/>
      <c r="E387" s="3"/>
      <c r="F387" s="30"/>
      <c r="G387" s="30"/>
      <c r="H387" s="30"/>
      <c r="I387" s="30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1.75" customHeight="1">
      <c r="A388" s="3"/>
      <c r="B388" s="3"/>
      <c r="C388" s="154" t="s">
        <v>231</v>
      </c>
      <c r="D388" s="3"/>
      <c r="E388" s="3"/>
      <c r="F388" s="155"/>
      <c r="G388" s="156"/>
      <c r="H388" s="157"/>
      <c r="I388" s="30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146" t="s">
        <v>309</v>
      </c>
      <c r="D389" s="158">
        <f>SUM(F375:F386)</f>
        <v>0</v>
      </c>
      <c r="E389" s="21"/>
      <c r="F389" s="22"/>
      <c r="G389" s="30"/>
      <c r="H389" s="30"/>
      <c r="I389" s="30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146" t="s">
        <v>310</v>
      </c>
      <c r="D390" s="158">
        <f>D389*D372</f>
        <v>0</v>
      </c>
      <c r="E390" s="21"/>
      <c r="F390" s="22"/>
      <c r="G390" s="30"/>
      <c r="H390" s="30"/>
      <c r="I390" s="30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159" t="s">
        <v>311</v>
      </c>
      <c r="D391" s="160">
        <f>D389+D390</f>
        <v>0</v>
      </c>
      <c r="E391" s="21"/>
      <c r="F391" s="22"/>
      <c r="G391" s="30"/>
      <c r="H391" s="30"/>
      <c r="I391" s="30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146" t="s">
        <v>312</v>
      </c>
      <c r="D392" s="161">
        <f>D372</f>
        <v>0.04</v>
      </c>
      <c r="E392" s="21"/>
      <c r="F392" s="22"/>
      <c r="G392" s="30"/>
      <c r="H392" s="30"/>
      <c r="I392" s="30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146" t="s">
        <v>313</v>
      </c>
      <c r="D393" s="162" t="str">
        <f>F371</f>
        <v/>
      </c>
      <c r="E393" s="21"/>
      <c r="F393" s="22"/>
      <c r="G393" s="30"/>
      <c r="H393" s="30"/>
      <c r="I393" s="30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7.75" customHeight="1">
      <c r="A394" s="3"/>
      <c r="B394" s="3"/>
      <c r="C394" s="83" t="s">
        <v>314</v>
      </c>
      <c r="D394" s="22"/>
      <c r="E394" s="3"/>
      <c r="F394" s="163" t="str">
        <f>IF(AND(D391&gt;0,F371&gt;0),D391/F371,"")</f>
        <v/>
      </c>
      <c r="G394" s="3"/>
      <c r="H394" s="3"/>
      <c r="I394" s="30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1" t="s">
        <v>315</v>
      </c>
      <c r="D395" s="18"/>
      <c r="E395" s="18"/>
      <c r="F395" s="18"/>
      <c r="G395" s="18"/>
      <c r="H395" s="19"/>
      <c r="I395" s="30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164"/>
      <c r="B396" s="18"/>
      <c r="C396" s="18"/>
      <c r="D396" s="18"/>
      <c r="E396" s="18"/>
      <c r="F396" s="18"/>
      <c r="G396" s="18"/>
      <c r="H396" s="18"/>
      <c r="I396" s="19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5.5" customHeight="1">
      <c r="A397" s="165" t="s">
        <v>350</v>
      </c>
      <c r="B397" s="3"/>
      <c r="C397" s="142" t="s">
        <v>351</v>
      </c>
      <c r="D397" s="21"/>
      <c r="E397" s="21"/>
      <c r="F397" s="22"/>
      <c r="G397" s="3"/>
      <c r="H397" s="3"/>
      <c r="I397" s="30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4.0" customHeight="1">
      <c r="A398" s="3"/>
      <c r="B398" s="3"/>
      <c r="C398" s="144" t="s">
        <v>285</v>
      </c>
      <c r="D398" s="145"/>
      <c r="E398" s="21"/>
      <c r="F398" s="22"/>
      <c r="G398" s="30"/>
      <c r="H398" s="30"/>
      <c r="I398" s="30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1.75" customHeight="1">
      <c r="A399" s="3"/>
      <c r="B399" s="3"/>
      <c r="C399" s="146" t="s">
        <v>288</v>
      </c>
      <c r="D399" s="51"/>
      <c r="E399" s="147" t="s">
        <v>289</v>
      </c>
      <c r="F399" s="148"/>
      <c r="G399" s="101"/>
      <c r="H399" s="101"/>
      <c r="I399" s="30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3"/>
      <c r="B400" s="3"/>
      <c r="C400" s="149" t="s">
        <v>291</v>
      </c>
      <c r="D400" s="150">
        <v>0.04</v>
      </c>
      <c r="E400" s="151"/>
      <c r="I400" s="9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6.0" customHeight="1">
      <c r="A401" s="3"/>
      <c r="B401" s="3"/>
      <c r="C401" s="3"/>
      <c r="D401" s="3"/>
      <c r="E401" s="3"/>
      <c r="F401" s="99"/>
      <c r="G401" s="99"/>
      <c r="H401" s="99"/>
      <c r="I401" s="30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36.0" customHeight="1">
      <c r="A402" s="3"/>
      <c r="B402" s="3"/>
      <c r="C402" s="61" t="s">
        <v>294</v>
      </c>
      <c r="D402" s="61" t="s">
        <v>295</v>
      </c>
      <c r="E402" s="61" t="s">
        <v>163</v>
      </c>
      <c r="F402" s="61" t="s">
        <v>296</v>
      </c>
      <c r="G402" s="30"/>
      <c r="H402" s="30"/>
      <c r="I402" s="30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3"/>
      <c r="B403" s="3"/>
      <c r="C403" s="49"/>
      <c r="D403" s="152"/>
      <c r="E403" s="50"/>
      <c r="F403" s="153" t="str">
        <f t="array" ref="F403">IF(OR(C403="",D403=""),"",D403*IFERROR(INDEX('Base de Datos'!$H$9:$H$68/'Base de Datos'!$F$9:$F$68*(1+IF('Base de Datos'!$I$9:$I$68="",0,'Base de Datos'!$I$9:$I$68)),MATCH(C403,'Base de Datos'!$B$9:$B$68,0)),0))</f>
        <v/>
      </c>
      <c r="G403" s="30"/>
      <c r="H403" s="30"/>
      <c r="I403" s="30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3"/>
      <c r="B404" s="3"/>
      <c r="C404" s="49"/>
      <c r="D404" s="152"/>
      <c r="E404" s="50"/>
      <c r="F404" s="153" t="str">
        <f t="array" ref="F404">IF(OR(C404="",D404=""),"",D404*IFERROR(INDEX('Base de Datos'!$H$9:$H$68/'Base de Datos'!$F$9:$F$68*(1+IF('Base de Datos'!$I$9:$I$68="",0,'Base de Datos'!$I$9:$I$68)),MATCH(C404,'Base de Datos'!$B$9:$B$68,0)),0))</f>
        <v/>
      </c>
      <c r="G404" s="30"/>
      <c r="H404" s="30"/>
      <c r="I404" s="30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3"/>
      <c r="B405" s="3"/>
      <c r="C405" s="49"/>
      <c r="D405" s="152"/>
      <c r="E405" s="50"/>
      <c r="F405" s="153" t="str">
        <f t="array" ref="F405">IF(OR(C405="",D405=""),"",D405*IFERROR(INDEX('Base de Datos'!$H$9:$H$68/'Base de Datos'!$F$9:$F$68*(1+IF('Base de Datos'!$I$9:$I$68="",0,'Base de Datos'!$I$9:$I$68)),MATCH(C405,'Base de Datos'!$B$9:$B$68,0)),0))</f>
        <v/>
      </c>
      <c r="G405" s="30"/>
      <c r="H405" s="30"/>
      <c r="I405" s="30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3"/>
      <c r="B406" s="3"/>
      <c r="C406" s="49"/>
      <c r="D406" s="152"/>
      <c r="E406" s="50"/>
      <c r="F406" s="153" t="str">
        <f t="array" ref="F406">IF(OR(C406="",D406=""),"",D406*IFERROR(INDEX('Base de Datos'!$H$9:$H$68/'Base de Datos'!$F$9:$F$68*(1+IF('Base de Datos'!$I$9:$I$68="",0,'Base de Datos'!$I$9:$I$68)),MATCH(C406,'Base de Datos'!$B$9:$B$68,0)),0))</f>
        <v/>
      </c>
      <c r="G406" s="30"/>
      <c r="H406" s="30"/>
      <c r="I406" s="30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3"/>
      <c r="B407" s="3"/>
      <c r="C407" s="49"/>
      <c r="D407" s="152"/>
      <c r="E407" s="50"/>
      <c r="F407" s="153" t="str">
        <f t="array" ref="F407">IF(OR(C407="",D407=""),"",D407*IFERROR(INDEX('Base de Datos'!$H$9:$H$68/'Base de Datos'!$F$9:$F$68*(1+IF('Base de Datos'!$I$9:$I$68="",0,'Base de Datos'!$I$9:$I$68)),MATCH(C407,'Base de Datos'!$B$9:$B$68,0)),0))</f>
        <v/>
      </c>
      <c r="G407" s="30"/>
      <c r="H407" s="30"/>
      <c r="I407" s="30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3"/>
      <c r="B408" s="3"/>
      <c r="C408" s="49"/>
      <c r="D408" s="152"/>
      <c r="E408" s="50"/>
      <c r="F408" s="153" t="str">
        <f t="array" ref="F408">IF(OR(C408="",D408=""),"",D408*IFERROR(INDEX('Base de Datos'!$H$9:$H$68/'Base de Datos'!$F$9:$F$68*(1+IF('Base de Datos'!$I$9:$I$68="",0,'Base de Datos'!$I$9:$I$68)),MATCH(C408,'Base de Datos'!$B$9:$B$68,0)),0))</f>
        <v/>
      </c>
      <c r="G408" s="30"/>
      <c r="H408" s="30"/>
      <c r="I408" s="30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3"/>
      <c r="B409" s="3"/>
      <c r="C409" s="49"/>
      <c r="D409" s="152"/>
      <c r="E409" s="50"/>
      <c r="F409" s="153" t="str">
        <f t="array" ref="F409">IF(OR(C409="",D409=""),"",D409*IFERROR(INDEX('Base de Datos'!$H$9:$H$68/'Base de Datos'!$F$9:$F$68*(1+IF('Base de Datos'!$I$9:$I$68="",0,'Base de Datos'!$I$9:$I$68)),MATCH(C409,'Base de Datos'!$B$9:$B$68,0)),0))</f>
        <v/>
      </c>
      <c r="G409" s="30"/>
      <c r="H409" s="30"/>
      <c r="I409" s="30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3"/>
      <c r="B410" s="3"/>
      <c r="C410" s="49"/>
      <c r="D410" s="152"/>
      <c r="E410" s="50"/>
      <c r="F410" s="153" t="str">
        <f t="array" ref="F410">IF(OR(C410="",D410=""),"",D410*IFERROR(INDEX('Base de Datos'!$H$9:$H$68/'Base de Datos'!$F$9:$F$68*(1+IF('Base de Datos'!$I$9:$I$68="",0,'Base de Datos'!$I$9:$I$68)),MATCH(C410,'Base de Datos'!$B$9:$B$68,0)),0))</f>
        <v/>
      </c>
      <c r="G410" s="30"/>
      <c r="H410" s="30"/>
      <c r="I410" s="30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3"/>
      <c r="B411" s="3"/>
      <c r="C411" s="49"/>
      <c r="D411" s="152"/>
      <c r="E411" s="50"/>
      <c r="F411" s="153" t="str">
        <f t="array" ref="F411">IF(OR(C411="",D411=""),"",D411*IFERROR(INDEX('Base de Datos'!$H$9:$H$68/'Base de Datos'!$F$9:$F$68*(1+IF('Base de Datos'!$I$9:$I$68="",0,'Base de Datos'!$I$9:$I$68)),MATCH(C411,'Base de Datos'!$B$9:$B$68,0)),0))</f>
        <v/>
      </c>
      <c r="G411" s="30"/>
      <c r="H411" s="30"/>
      <c r="I411" s="30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3"/>
      <c r="B412" s="3"/>
      <c r="C412" s="49"/>
      <c r="D412" s="152"/>
      <c r="E412" s="50"/>
      <c r="F412" s="153" t="str">
        <f t="array" ref="F412">IF(OR(C412="",D412=""),"",D412*IFERROR(INDEX('Base de Datos'!$H$9:$H$68/'Base de Datos'!$F$9:$F$68*(1+IF('Base de Datos'!$I$9:$I$68="",0,'Base de Datos'!$I$9:$I$68)),MATCH(C412,'Base de Datos'!$B$9:$B$68,0)),0))</f>
        <v/>
      </c>
      <c r="G412" s="30"/>
      <c r="H412" s="30"/>
      <c r="I412" s="30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3"/>
      <c r="B413" s="3"/>
      <c r="C413" s="49"/>
      <c r="D413" s="152"/>
      <c r="E413" s="50"/>
      <c r="F413" s="153" t="str">
        <f t="array" ref="F413">IF(OR(C413="",D413=""),"",D413*IFERROR(INDEX('Base de Datos'!$H$9:$H$68/'Base de Datos'!$F$9:$F$68*(1+IF('Base de Datos'!$I$9:$I$68="",0,'Base de Datos'!$I$9:$I$68)),MATCH(C413,'Base de Datos'!$B$9:$B$68,0)),0))</f>
        <v/>
      </c>
      <c r="G413" s="30"/>
      <c r="H413" s="30"/>
      <c r="I413" s="30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3"/>
      <c r="B414" s="3"/>
      <c r="C414" s="49"/>
      <c r="D414" s="152"/>
      <c r="E414" s="50"/>
      <c r="F414" s="153" t="str">
        <f t="array" ref="F414">IF(OR(C414="",D414=""),"",D414*IFERROR(INDEX('Base de Datos'!$H$9:$H$68/'Base de Datos'!$F$9:$F$68*(1+IF('Base de Datos'!$I$9:$I$68="",0,'Base de Datos'!$I$9:$I$68)),MATCH(C414,'Base de Datos'!$B$9:$B$68,0)),0))</f>
        <v/>
      </c>
      <c r="G414" s="30"/>
      <c r="H414" s="30"/>
      <c r="I414" s="30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6.0" customHeight="1">
      <c r="A415" s="3"/>
      <c r="B415" s="3"/>
      <c r="C415" s="3"/>
      <c r="D415" s="3"/>
      <c r="E415" s="3"/>
      <c r="F415" s="30"/>
      <c r="G415" s="30"/>
      <c r="H415" s="30"/>
      <c r="I415" s="30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1.75" customHeight="1">
      <c r="A416" s="3"/>
      <c r="B416" s="3"/>
      <c r="C416" s="167" t="s">
        <v>231</v>
      </c>
      <c r="D416" s="21"/>
      <c r="E416" s="21"/>
      <c r="F416" s="22"/>
      <c r="G416" s="3"/>
      <c r="H416" s="3"/>
      <c r="I416" s="30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146" t="s">
        <v>309</v>
      </c>
      <c r="D417" s="158">
        <f>SUM(F403:F414)</f>
        <v>0</v>
      </c>
      <c r="E417" s="21"/>
      <c r="F417" s="22"/>
      <c r="G417" s="30"/>
      <c r="H417" s="30"/>
      <c r="I417" s="30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146" t="s">
        <v>310</v>
      </c>
      <c r="D418" s="158">
        <f>D417*D400</f>
        <v>0</v>
      </c>
      <c r="E418" s="21"/>
      <c r="F418" s="22"/>
      <c r="G418" s="30"/>
      <c r="H418" s="30"/>
      <c r="I418" s="30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159" t="s">
        <v>311</v>
      </c>
      <c r="D419" s="160">
        <f>D417+D418</f>
        <v>0</v>
      </c>
      <c r="E419" s="21"/>
      <c r="F419" s="22"/>
      <c r="G419" s="30"/>
      <c r="H419" s="30"/>
      <c r="I419" s="30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146" t="s">
        <v>312</v>
      </c>
      <c r="D420" s="161">
        <f>D400</f>
        <v>0.04</v>
      </c>
      <c r="E420" s="21"/>
      <c r="F420" s="22"/>
      <c r="G420" s="30"/>
      <c r="H420" s="30"/>
      <c r="I420" s="30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146" t="s">
        <v>313</v>
      </c>
      <c r="D421" s="162" t="str">
        <f>F399</f>
        <v/>
      </c>
      <c r="E421" s="21"/>
      <c r="F421" s="22"/>
      <c r="G421" s="30"/>
      <c r="H421" s="30"/>
      <c r="I421" s="30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7.75" customHeight="1">
      <c r="A422" s="3"/>
      <c r="B422" s="3"/>
      <c r="C422" s="83" t="s">
        <v>314</v>
      </c>
      <c r="D422" s="22"/>
      <c r="E422" s="3"/>
      <c r="F422" s="163" t="str">
        <f>IF(AND(D419&gt;0,F399&gt;0),D419/F399,"")</f>
        <v/>
      </c>
      <c r="G422" s="3"/>
      <c r="H422" s="3"/>
      <c r="I422" s="30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1" t="s">
        <v>315</v>
      </c>
      <c r="D423" s="18"/>
      <c r="E423" s="18"/>
      <c r="F423" s="18"/>
      <c r="G423" s="18"/>
      <c r="H423" s="19"/>
      <c r="I423" s="30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164"/>
      <c r="B424" s="18"/>
      <c r="C424" s="18"/>
      <c r="D424" s="18"/>
      <c r="E424" s="18"/>
      <c r="F424" s="18"/>
      <c r="G424" s="18"/>
      <c r="H424" s="18"/>
      <c r="I424" s="19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7.5" customHeight="1">
      <c r="A425" s="3"/>
      <c r="B425" s="3"/>
      <c r="C425" s="3"/>
      <c r="D425" s="3"/>
      <c r="E425" s="3"/>
      <c r="F425" s="30"/>
      <c r="G425" s="30"/>
      <c r="H425" s="30"/>
      <c r="I425" s="30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1.75" customHeight="1">
      <c r="A426" s="3"/>
      <c r="B426" s="3"/>
      <c r="C426" s="20" t="s">
        <v>352</v>
      </c>
      <c r="D426" s="21"/>
      <c r="E426" s="21"/>
      <c r="F426" s="21"/>
      <c r="G426" s="21"/>
      <c r="H426" s="22"/>
      <c r="I426" s="30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7.75" customHeight="1">
      <c r="A427" s="3"/>
      <c r="B427" s="3"/>
      <c r="C427" s="61" t="s">
        <v>353</v>
      </c>
      <c r="D427" s="61" t="s">
        <v>258</v>
      </c>
      <c r="E427" s="61" t="s">
        <v>263</v>
      </c>
      <c r="F427" s="30"/>
      <c r="G427" s="30"/>
      <c r="H427" s="30"/>
      <c r="I427" s="30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1.75" customHeight="1">
      <c r="A428" s="3"/>
      <c r="B428" s="3"/>
      <c r="C428" s="62" t="str">
        <f>IF(D6="","(vacía 01)",D6)</f>
        <v>Dulce de leche casero</v>
      </c>
      <c r="D428" s="171" t="str">
        <f>IF(H30="","Sin costear",H30)</f>
        <v>Sin costear</v>
      </c>
      <c r="E428" s="63" t="str">
        <f>IF(D6="","⚪ Vacía",IF(H30="","⚪ Sin costear","✅ Lista"))</f>
        <v>⚪ Sin costear</v>
      </c>
      <c r="F428" s="30"/>
      <c r="G428" s="30"/>
      <c r="H428" s="30"/>
      <c r="I428" s="30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1.75" customHeight="1">
      <c r="A429" s="3"/>
      <c r="B429" s="3"/>
      <c r="C429" s="62" t="str">
        <f>IF(D34="","(vacía 02)",D34)</f>
        <v>Crema pastelera</v>
      </c>
      <c r="D429" s="171" t="str">
        <f>IF(H58="","Sin costear",H58)</f>
        <v>Sin costear</v>
      </c>
      <c r="E429" s="63" t="str">
        <f>IF(D34="","⚪ Vacía",IF(H58="","⚪ Sin costear","✅ Lista"))</f>
        <v>⚪ Sin costear</v>
      </c>
      <c r="F429" s="30"/>
      <c r="G429" s="30"/>
      <c r="H429" s="30"/>
      <c r="I429" s="30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1.75" customHeight="1">
      <c r="A430" s="3"/>
      <c r="B430" s="3"/>
      <c r="C430" s="62" t="str">
        <f>IF(D62="","(vacía 03)",D62)</f>
        <v>Salsa de tomate casera</v>
      </c>
      <c r="D430" s="171" t="str">
        <f>IF(H86="","Sin costear",H86)</f>
        <v>Sin costear</v>
      </c>
      <c r="E430" s="63" t="str">
        <f>IF(D62="","⚪ Vacía",IF(H86="","⚪ Sin costear","✅ Lista"))</f>
        <v>⚪ Sin costear</v>
      </c>
      <c r="F430" s="30"/>
      <c r="G430" s="30"/>
      <c r="H430" s="30"/>
      <c r="I430" s="30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1.75" customHeight="1">
      <c r="A431" s="3"/>
      <c r="B431" s="3"/>
      <c r="C431" s="62" t="str">
        <f>IF(D90="","(vacía 04)",D90)</f>
        <v>Masa para empanadas</v>
      </c>
      <c r="D431" s="171" t="str">
        <f>IF(H114="","Sin costear",H114)</f>
        <v>Sin costear</v>
      </c>
      <c r="E431" s="63" t="str">
        <f>IF(D90="","⚪ Vacía",IF(H114="","⚪ Sin costear","✅ Lista"))</f>
        <v>⚪ Sin costear</v>
      </c>
      <c r="F431" s="30"/>
      <c r="G431" s="30"/>
      <c r="H431" s="30"/>
      <c r="I431" s="30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1.75" customHeight="1">
      <c r="A432" s="3"/>
      <c r="B432" s="3"/>
      <c r="C432" s="62" t="str">
        <f>IF(D118="","(vacía 05)",D118)</f>
        <v>Ganache de chocolate</v>
      </c>
      <c r="D432" s="171" t="str">
        <f>IF(H142="","Sin costear",H142)</f>
        <v>Sin costear</v>
      </c>
      <c r="E432" s="63" t="str">
        <f>IF(D118="","⚪ Vacía",IF(H142="","⚪ Sin costear","✅ Lista"))</f>
        <v>⚪ Sin costear</v>
      </c>
      <c r="F432" s="30"/>
      <c r="G432" s="30"/>
      <c r="H432" s="30"/>
      <c r="I432" s="30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1.75" customHeight="1">
      <c r="A433" s="3"/>
      <c r="B433" s="3"/>
      <c r="C433" s="62" t="str">
        <f>IF(D146="","(vacía 06)",D146)</f>
        <v>Almíbar simple</v>
      </c>
      <c r="D433" s="171" t="str">
        <f>IF(H170="","Sin costear",H170)</f>
        <v>Sin costear</v>
      </c>
      <c r="E433" s="63" t="str">
        <f>IF(D146="","⚪ Vacía",IF(H170="","⚪ Sin costear","✅ Lista"))</f>
        <v>⚪ Sin costear</v>
      </c>
      <c r="F433" s="30"/>
      <c r="G433" s="30"/>
      <c r="H433" s="30"/>
      <c r="I433" s="30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1.75" customHeight="1">
      <c r="A434" s="3"/>
      <c r="B434" s="3"/>
      <c r="C434" s="62" t="str">
        <f>IF(D174="","(vacía 07)",D174)</f>
        <v>Masa sablée (base tarta)</v>
      </c>
      <c r="D434" s="171" t="str">
        <f>IF(H198="","Sin costear",H198)</f>
        <v>Sin costear</v>
      </c>
      <c r="E434" s="63" t="str">
        <f>IF(D174="","⚪ Vacía",IF(H198="","⚪ Sin costear","✅ Lista"))</f>
        <v>⚪ Sin costear</v>
      </c>
      <c r="F434" s="30"/>
      <c r="G434" s="30"/>
      <c r="H434" s="30"/>
      <c r="I434" s="30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1.75" customHeight="1">
      <c r="A435" s="3"/>
      <c r="B435" s="3"/>
      <c r="C435" s="62" t="str">
        <f>IF(D202="","(vacía 08)",D202)</f>
        <v>Relleno de ricota dulce</v>
      </c>
      <c r="D435" s="171" t="str">
        <f>IF(H226="","Sin costear",H226)</f>
        <v>Sin costear</v>
      </c>
      <c r="E435" s="63" t="str">
        <f>IF(D202="","⚪ Vacía",IF(H226="","⚪ Sin costear","✅ Lista"))</f>
        <v>⚪ Sin costear</v>
      </c>
      <c r="F435" s="30"/>
      <c r="G435" s="30"/>
      <c r="H435" s="30"/>
      <c r="I435" s="30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1.75" customHeight="1">
      <c r="A436" s="3"/>
      <c r="B436" s="3"/>
      <c r="C436" s="62" t="str">
        <f>IF(D230="","(vacía 09)",D230)</f>
        <v>Mermelada de frutillas</v>
      </c>
      <c r="D436" s="171" t="str">
        <f>IF(H254="","Sin costear",H254)</f>
        <v>Sin costear</v>
      </c>
      <c r="E436" s="63" t="str">
        <f>IF(D230="","⚪ Vacía",IF(H254="","⚪ Sin costear","✅ Lista"))</f>
        <v>⚪ Sin costear</v>
      </c>
      <c r="F436" s="30"/>
      <c r="G436" s="30"/>
      <c r="H436" s="30"/>
      <c r="I436" s="30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1.75" customHeight="1">
      <c r="A437" s="3"/>
      <c r="B437" s="3"/>
      <c r="C437" s="62" t="str">
        <f>IF(D258="","(vacía 10)",D258)</f>
        <v>(vacía 10)</v>
      </c>
      <c r="D437" s="171" t="str">
        <f>IF(H282="","Sin costear",H282)</f>
        <v>Sin costear</v>
      </c>
      <c r="E437" s="63" t="str">
        <f>IF(D258="","⚪ Vacía",IF(H282="","⚪ Sin costear","✅ Lista"))</f>
        <v>⚪ Vacía</v>
      </c>
      <c r="F437" s="30"/>
      <c r="G437" s="30"/>
      <c r="H437" s="30"/>
      <c r="I437" s="30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1.75" customHeight="1">
      <c r="A438" s="3"/>
      <c r="B438" s="3"/>
      <c r="C438" s="62" t="str">
        <f>IF(D286="","(vacía 11)",D286)</f>
        <v>(vacía 11)</v>
      </c>
      <c r="D438" s="171" t="str">
        <f>IF(H310="","Sin costear",H310)</f>
        <v>Sin costear</v>
      </c>
      <c r="E438" s="63" t="str">
        <f>IF(D286="","⚪ Vacía",IF(H310="","⚪ Sin costear","✅ Lista"))</f>
        <v>⚪ Vacía</v>
      </c>
      <c r="F438" s="30"/>
      <c r="G438" s="30"/>
      <c r="H438" s="30"/>
      <c r="I438" s="30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1.75" customHeight="1">
      <c r="A439" s="3"/>
      <c r="B439" s="3"/>
      <c r="C439" s="62" t="str">
        <f>IF(D314="","(vacía 12)",D314)</f>
        <v>(vacía 12)</v>
      </c>
      <c r="D439" s="171" t="str">
        <f>IF(H338="","Sin costear",H338)</f>
        <v>Sin costear</v>
      </c>
      <c r="E439" s="63" t="str">
        <f>IF(D314="","⚪ Vacía",IF(H338="","⚪ Sin costear","✅ Lista"))</f>
        <v>⚪ Vacía</v>
      </c>
      <c r="F439" s="30"/>
      <c r="G439" s="30"/>
      <c r="H439" s="30"/>
      <c r="I439" s="30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1.75" customHeight="1">
      <c r="A440" s="3"/>
      <c r="B440" s="3"/>
      <c r="C440" s="62" t="str">
        <f>IF(D342="","(vacía 13)",D342)</f>
        <v>(vacía 13)</v>
      </c>
      <c r="D440" s="171" t="str">
        <f>IF(H366="","Sin costear",H366)</f>
        <v>Sin costear</v>
      </c>
      <c r="E440" s="63" t="str">
        <f>IF(D342="","⚪ Vacía",IF(H366="","⚪ Sin costear","✅ Lista"))</f>
        <v>⚪ Vacía</v>
      </c>
      <c r="F440" s="30"/>
      <c r="G440" s="30"/>
      <c r="H440" s="30"/>
      <c r="I440" s="30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1.75" customHeight="1">
      <c r="A441" s="3"/>
      <c r="B441" s="3"/>
      <c r="C441" s="62" t="str">
        <f>IF(D370="","(vacía 14)",D370)</f>
        <v>(vacía 14)</v>
      </c>
      <c r="D441" s="171" t="str">
        <f>IF(H394="","Sin costear",H394)</f>
        <v>Sin costear</v>
      </c>
      <c r="E441" s="63" t="str">
        <f>IF(D370="","⚪ Vacía",IF(H394="","⚪ Sin costear","✅ Lista"))</f>
        <v>⚪ Vacía</v>
      </c>
      <c r="F441" s="30"/>
      <c r="G441" s="30"/>
      <c r="H441" s="30"/>
      <c r="I441" s="30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1.75" customHeight="1">
      <c r="A442" s="3"/>
      <c r="B442" s="3"/>
      <c r="C442" s="62" t="str">
        <f>IF(D398="","(vacía 15)",D398)</f>
        <v>(vacía 15)</v>
      </c>
      <c r="D442" s="171" t="str">
        <f>IF(H422="","Sin costear",H422)</f>
        <v>Sin costear</v>
      </c>
      <c r="E442" s="63" t="str">
        <f>IF(D398="","⚪ Vacía",IF(H422="","⚪ Sin costear","✅ Lista"))</f>
        <v>⚪ Vacía</v>
      </c>
      <c r="F442" s="30"/>
      <c r="G442" s="30"/>
      <c r="H442" s="30"/>
      <c r="I442" s="30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0"/>
      <c r="G443" s="30"/>
      <c r="H443" s="30"/>
      <c r="I443" s="30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0"/>
      <c r="G444" s="30"/>
      <c r="H444" s="30"/>
      <c r="I444" s="30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0"/>
      <c r="G445" s="30"/>
      <c r="H445" s="30"/>
      <c r="I445" s="30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0"/>
      <c r="G446" s="30"/>
      <c r="H446" s="30"/>
      <c r="I446" s="30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0"/>
      <c r="G447" s="30"/>
      <c r="H447" s="30"/>
      <c r="I447" s="30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0"/>
      <c r="G448" s="30"/>
      <c r="H448" s="30"/>
      <c r="I448" s="30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0"/>
      <c r="G449" s="30"/>
      <c r="H449" s="30"/>
      <c r="I449" s="30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82">
    <mergeCell ref="C395:H395"/>
    <mergeCell ref="A396:I396"/>
    <mergeCell ref="C397:F397"/>
    <mergeCell ref="D398:F398"/>
    <mergeCell ref="E400:H400"/>
    <mergeCell ref="F388:H388"/>
    <mergeCell ref="D389:F389"/>
    <mergeCell ref="D390:F390"/>
    <mergeCell ref="D391:F391"/>
    <mergeCell ref="D392:F392"/>
    <mergeCell ref="D393:F393"/>
    <mergeCell ref="C394:D394"/>
    <mergeCell ref="C255:H255"/>
    <mergeCell ref="A256:I256"/>
    <mergeCell ref="C257:F257"/>
    <mergeCell ref="D258:F258"/>
    <mergeCell ref="E260:H260"/>
    <mergeCell ref="F276:H276"/>
    <mergeCell ref="D277:F277"/>
    <mergeCell ref="D278:F278"/>
    <mergeCell ref="D279:F279"/>
    <mergeCell ref="D280:F280"/>
    <mergeCell ref="D281:F281"/>
    <mergeCell ref="C282:D282"/>
    <mergeCell ref="C283:H283"/>
    <mergeCell ref="A284:I284"/>
    <mergeCell ref="C285:F285"/>
    <mergeCell ref="D286:F286"/>
    <mergeCell ref="E288:H288"/>
    <mergeCell ref="F304:H304"/>
    <mergeCell ref="D305:F305"/>
    <mergeCell ref="D306:F306"/>
    <mergeCell ref="D307:F307"/>
    <mergeCell ref="D308:F308"/>
    <mergeCell ref="D309:F309"/>
    <mergeCell ref="C310:D310"/>
    <mergeCell ref="C311:H311"/>
    <mergeCell ref="A312:I312"/>
    <mergeCell ref="C313:F313"/>
    <mergeCell ref="D314:F314"/>
    <mergeCell ref="C338:D338"/>
    <mergeCell ref="C339:H339"/>
    <mergeCell ref="A340:I340"/>
    <mergeCell ref="C341:F341"/>
    <mergeCell ref="D342:F342"/>
    <mergeCell ref="E344:H344"/>
    <mergeCell ref="E316:H316"/>
    <mergeCell ref="F332:H332"/>
    <mergeCell ref="D333:F333"/>
    <mergeCell ref="D334:F334"/>
    <mergeCell ref="D335:F335"/>
    <mergeCell ref="D336:F336"/>
    <mergeCell ref="D337:F337"/>
    <mergeCell ref="C423:H423"/>
    <mergeCell ref="A424:I424"/>
    <mergeCell ref="C426:H426"/>
    <mergeCell ref="C416:F416"/>
    <mergeCell ref="D417:F417"/>
    <mergeCell ref="D418:F418"/>
    <mergeCell ref="D419:F419"/>
    <mergeCell ref="D420:F420"/>
    <mergeCell ref="D421:F421"/>
    <mergeCell ref="C422:D422"/>
    <mergeCell ref="C115:H115"/>
    <mergeCell ref="A116:I116"/>
    <mergeCell ref="C117:F117"/>
    <mergeCell ref="D118:F118"/>
    <mergeCell ref="E120:H120"/>
    <mergeCell ref="F108:H108"/>
    <mergeCell ref="D109:F109"/>
    <mergeCell ref="D110:F110"/>
    <mergeCell ref="D111:F111"/>
    <mergeCell ref="D112:F112"/>
    <mergeCell ref="D113:F113"/>
    <mergeCell ref="C114:D114"/>
    <mergeCell ref="C143:H143"/>
    <mergeCell ref="A144:I144"/>
    <mergeCell ref="C145:F145"/>
    <mergeCell ref="D146:F146"/>
    <mergeCell ref="E148:H148"/>
    <mergeCell ref="F136:H136"/>
    <mergeCell ref="D137:F137"/>
    <mergeCell ref="D138:F138"/>
    <mergeCell ref="D139:F139"/>
    <mergeCell ref="D140:F140"/>
    <mergeCell ref="D141:F141"/>
    <mergeCell ref="C142:D142"/>
    <mergeCell ref="C171:H171"/>
    <mergeCell ref="A172:I172"/>
    <mergeCell ref="C173:F173"/>
    <mergeCell ref="D174:F174"/>
    <mergeCell ref="E176:H176"/>
    <mergeCell ref="F164:H164"/>
    <mergeCell ref="D165:F165"/>
    <mergeCell ref="D166:F166"/>
    <mergeCell ref="D167:F167"/>
    <mergeCell ref="D168:F168"/>
    <mergeCell ref="D169:F169"/>
    <mergeCell ref="C170:D170"/>
    <mergeCell ref="C199:H199"/>
    <mergeCell ref="A200:I200"/>
    <mergeCell ref="C201:F201"/>
    <mergeCell ref="D202:F202"/>
    <mergeCell ref="E204:H204"/>
    <mergeCell ref="C192:F192"/>
    <mergeCell ref="D193:F193"/>
    <mergeCell ref="D194:F194"/>
    <mergeCell ref="D195:F195"/>
    <mergeCell ref="D196:F196"/>
    <mergeCell ref="D197:F197"/>
    <mergeCell ref="C198:D198"/>
    <mergeCell ref="C227:H227"/>
    <mergeCell ref="A228:I228"/>
    <mergeCell ref="C229:F229"/>
    <mergeCell ref="D230:F230"/>
    <mergeCell ref="E232:H232"/>
    <mergeCell ref="C220:F220"/>
    <mergeCell ref="D221:F221"/>
    <mergeCell ref="D222:F222"/>
    <mergeCell ref="D223:F223"/>
    <mergeCell ref="D224:F224"/>
    <mergeCell ref="D225:F225"/>
    <mergeCell ref="C226:D226"/>
    <mergeCell ref="C1:F1"/>
    <mergeCell ref="C5:F5"/>
    <mergeCell ref="D6:F6"/>
    <mergeCell ref="E8:H8"/>
    <mergeCell ref="F24:H24"/>
    <mergeCell ref="D25:F25"/>
    <mergeCell ref="D26:F26"/>
    <mergeCell ref="D27:F27"/>
    <mergeCell ref="D28:F28"/>
    <mergeCell ref="D29:F29"/>
    <mergeCell ref="C30:D30"/>
    <mergeCell ref="C31:H31"/>
    <mergeCell ref="A32:I32"/>
    <mergeCell ref="C33:F33"/>
    <mergeCell ref="D57:F57"/>
    <mergeCell ref="C58:D58"/>
    <mergeCell ref="C59:H59"/>
    <mergeCell ref="A60:I60"/>
    <mergeCell ref="C61:F61"/>
    <mergeCell ref="D62:F62"/>
    <mergeCell ref="E64:H64"/>
    <mergeCell ref="D34:F34"/>
    <mergeCell ref="E36:H36"/>
    <mergeCell ref="F52:H52"/>
    <mergeCell ref="D53:F53"/>
    <mergeCell ref="D54:F54"/>
    <mergeCell ref="D55:F55"/>
    <mergeCell ref="D56:F56"/>
    <mergeCell ref="C87:H87"/>
    <mergeCell ref="A88:I88"/>
    <mergeCell ref="C89:F89"/>
    <mergeCell ref="D90:F90"/>
    <mergeCell ref="E92:H92"/>
    <mergeCell ref="F80:H80"/>
    <mergeCell ref="D81:F81"/>
    <mergeCell ref="D82:F82"/>
    <mergeCell ref="D83:F83"/>
    <mergeCell ref="D84:F84"/>
    <mergeCell ref="D85:F85"/>
    <mergeCell ref="C86:D86"/>
    <mergeCell ref="C248:F248"/>
    <mergeCell ref="D249:F249"/>
    <mergeCell ref="D250:F250"/>
    <mergeCell ref="D251:F251"/>
    <mergeCell ref="D252:F252"/>
    <mergeCell ref="D253:F253"/>
    <mergeCell ref="C254:D254"/>
    <mergeCell ref="C367:H367"/>
    <mergeCell ref="A368:I368"/>
    <mergeCell ref="C369:F369"/>
    <mergeCell ref="D370:F370"/>
    <mergeCell ref="E372:H372"/>
    <mergeCell ref="F360:H360"/>
    <mergeCell ref="D361:F361"/>
    <mergeCell ref="D362:F362"/>
    <mergeCell ref="D363:F363"/>
    <mergeCell ref="D364:F364"/>
    <mergeCell ref="D365:F365"/>
    <mergeCell ref="C366:D366"/>
  </mergeCells>
  <dataValidations>
    <dataValidation type="list" allowBlank="1" sqref="E11:E22 E39:E50 E67:E78 E95:E106 E123:E134 E151:E162 E179:E190 E207:E218 E235:E246 E263:E274 E291:E302 E319:E330 E347:E358 E375:E386 E403:E414">
      <formula1>"gramo,kg,ml,L,unidad"</formula1>
    </dataValidation>
    <dataValidation type="list" allowBlank="1" sqref="C11:C22 C39:C50 C67:C78 C95:C106 C123:C134 C151:C162 C179:C190 C207:C218 C235:C246 C263:C274 C291:C302 C319:C330 C347:C358 C375:C386 C403:C414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5" width="22.71"/>
    <col customWidth="1" min="6" max="6" width="9.43"/>
    <col customWidth="1" min="7" max="7" width="26.29"/>
    <col customWidth="1" min="8" max="8" width="2.0"/>
  </cols>
  <sheetData>
    <row r="1" ht="7.5" customHeight="1">
      <c r="A1" s="34" t="s">
        <v>354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175" t="s">
        <v>356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0.05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28000.0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46113.0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🟢 Al día — revisada hace 24 días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77</v>
      </c>
      <c r="C14" s="152">
        <v>250.0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42000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82</v>
      </c>
      <c r="C15" s="152">
        <v>200.0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50960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125</v>
      </c>
      <c r="C16" s="152">
        <v>60.0</v>
      </c>
      <c r="D16" s="50" t="s">
        <v>300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151200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86</v>
      </c>
      <c r="C17" s="152">
        <v>120.0</v>
      </c>
      <c r="D17" s="50" t="s">
        <v>300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343200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94</v>
      </c>
      <c r="C18" s="152">
        <v>4.0</v>
      </c>
      <c r="D18" s="50" t="s">
        <v>97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1600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98</v>
      </c>
      <c r="C19" s="152">
        <v>180.0</v>
      </c>
      <c r="D19" s="50" t="s">
        <v>298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229500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109</v>
      </c>
      <c r="C20" s="152">
        <v>5.0</v>
      </c>
      <c r="D20" s="50" t="s">
        <v>300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60600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115</v>
      </c>
      <c r="C21" s="152">
        <v>5.0</v>
      </c>
      <c r="D21" s="50" t="s">
        <v>298</v>
      </c>
      <c r="E21" s="153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32825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 t="s">
        <v>152</v>
      </c>
      <c r="C22" s="152">
        <v>1.0</v>
      </c>
      <c r="D22" s="50" t="s">
        <v>97</v>
      </c>
      <c r="E22" s="153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>105</v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911990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911990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45599.5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0.05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1003189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2866254.286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3468167.686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1863065.286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0.0"/>
    <col customWidth="1" min="6" max="6" width="9.43"/>
    <col customWidth="1" min="7" max="7" width="26.43"/>
    <col customWidth="1" min="8" max="8" width="2.0"/>
  </cols>
  <sheetData>
    <row r="1" ht="7.5" customHeight="1">
      <c r="A1" s="34" t="s">
        <v>381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382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0.03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1800.0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46109.0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🟢 Al día — revisada hace 28 días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148</v>
      </c>
      <c r="C14" s="152">
        <v>30.0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49725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77</v>
      </c>
      <c r="C15" s="152">
        <v>20.0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3360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151</v>
      </c>
      <c r="C16" s="152">
        <v>25.0</v>
      </c>
      <c r="D16" s="50" t="s">
        <v>300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57750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86</v>
      </c>
      <c r="C17" s="152">
        <v>35.0</v>
      </c>
      <c r="D17" s="50" t="s">
        <v>300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100100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94</v>
      </c>
      <c r="C18" s="152">
        <v>0.5</v>
      </c>
      <c r="D18" s="50" t="s">
        <v>97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200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121</v>
      </c>
      <c r="C19" s="152">
        <v>40.0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46800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129</v>
      </c>
      <c r="C20" s="152">
        <v>5.0</v>
      </c>
      <c r="D20" s="50" t="s">
        <v>300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12240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156</v>
      </c>
      <c r="C21" s="152">
        <v>0.05</v>
      </c>
      <c r="D21" s="50" t="s">
        <v>97</v>
      </c>
      <c r="E21" s="153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4.4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2"/>
      <c r="D22" s="50"/>
      <c r="E22" s="153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270179.4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270179.4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8105.382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0.04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289091.958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825977.0229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999432.1977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536885.0649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0.0"/>
    <col customWidth="1" min="6" max="6" width="9.43"/>
    <col customWidth="1" min="7" max="7" width="25.14"/>
    <col customWidth="1" min="8" max="8" width="2.0"/>
  </cols>
  <sheetData>
    <row r="1" ht="7.5" customHeight="1">
      <c r="A1" s="34" t="s">
        <v>383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175" t="s">
        <v>384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0.05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7500.0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46117.0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🟢 Al día — revisada hace 20 días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103</v>
      </c>
      <c r="C14" s="152">
        <v>120.0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686400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82</v>
      </c>
      <c r="C15" s="152">
        <v>45.0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11466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100</v>
      </c>
      <c r="C16" s="152">
        <v>60.0</v>
      </c>
      <c r="D16" s="50" t="s">
        <v>298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115200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94</v>
      </c>
      <c r="C17" s="152">
        <v>1.0</v>
      </c>
      <c r="D17" s="50" t="s">
        <v>97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400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86</v>
      </c>
      <c r="C18" s="152">
        <v>25.0</v>
      </c>
      <c r="D18" s="50" t="s">
        <v>300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71500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77</v>
      </c>
      <c r="C19" s="152">
        <v>40.0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6720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115</v>
      </c>
      <c r="C20" s="152">
        <v>3.0</v>
      </c>
      <c r="D20" s="50" t="s">
        <v>298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19695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144</v>
      </c>
      <c r="C21" s="152">
        <v>0.1</v>
      </c>
      <c r="D21" s="50" t="s">
        <v>81</v>
      </c>
      <c r="E21" s="153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71.4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 t="s">
        <v>152</v>
      </c>
      <c r="C22" s="152">
        <v>0.1</v>
      </c>
      <c r="D22" s="50" t="s">
        <v>97</v>
      </c>
      <c r="E22" s="153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>10.5</v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911462.9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911462.9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45573.145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0.05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1002609.19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2864597.686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3466163.2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1861988.496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1.43"/>
    <col customWidth="1" min="6" max="6" width="9.43"/>
    <col customWidth="1" min="7" max="7" width="25.57"/>
    <col customWidth="1" min="8" max="8" width="2.0"/>
  </cols>
  <sheetData>
    <row r="1" ht="7.5" customHeight="1">
      <c r="A1" s="34" t="s">
        <v>385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386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0.05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900.0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46101.0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🟢 Al día — revisada hace 36 días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77</v>
      </c>
      <c r="C14" s="152">
        <v>50.0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8400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86</v>
      </c>
      <c r="C15" s="152">
        <v>30.0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85800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82</v>
      </c>
      <c r="C16" s="152">
        <v>8.0</v>
      </c>
      <c r="D16" s="50" t="s">
        <v>300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2038.4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98</v>
      </c>
      <c r="C17" s="152">
        <v>17.0</v>
      </c>
      <c r="D17" s="50" t="s">
        <v>298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21675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94</v>
      </c>
      <c r="C18" s="152">
        <v>0.33</v>
      </c>
      <c r="D18" s="50" t="s">
        <v>97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132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112</v>
      </c>
      <c r="C19" s="152">
        <v>1.0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28280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106</v>
      </c>
      <c r="C20" s="152">
        <v>1.0</v>
      </c>
      <c r="D20" s="50" t="s">
        <v>300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441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156</v>
      </c>
      <c r="C21" s="152">
        <v>0.1</v>
      </c>
      <c r="D21" s="50" t="s">
        <v>97</v>
      </c>
      <c r="E21" s="153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8.8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2"/>
      <c r="D22" s="50"/>
      <c r="E22" s="153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146775.2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146775.2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7338.76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0.04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159984.968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457099.9086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553090.8894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297114.9406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1.0"/>
    <col customWidth="1" min="6" max="6" width="9.43"/>
    <col customWidth="1" min="7" max="7" width="25.71"/>
    <col customWidth="1" min="8" max="8" width="2.0"/>
  </cols>
  <sheetData>
    <row r="1" ht="7.5" customHeight="1">
      <c r="A1" s="34" t="s">
        <v>387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388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0.04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1200.0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46122.0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🟢 Al día — revisada hace 15 días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127</v>
      </c>
      <c r="C14" s="152">
        <v>40.0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299200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86</v>
      </c>
      <c r="C15" s="152">
        <v>35.0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100100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82</v>
      </c>
      <c r="C16" s="152">
        <v>50.0</v>
      </c>
      <c r="D16" s="50" t="s">
        <v>300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12740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94</v>
      </c>
      <c r="C17" s="152">
        <v>0.5</v>
      </c>
      <c r="D17" s="50" t="s">
        <v>97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200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77</v>
      </c>
      <c r="C18" s="152">
        <v>20.0</v>
      </c>
      <c r="D18" s="50" t="s">
        <v>300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3360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125</v>
      </c>
      <c r="C19" s="152">
        <v>10.0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25200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132</v>
      </c>
      <c r="C20" s="152">
        <v>15.0</v>
      </c>
      <c r="D20" s="50" t="s">
        <v>300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128520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156</v>
      </c>
      <c r="C21" s="152">
        <v>0.05</v>
      </c>
      <c r="D21" s="50" t="s">
        <v>97</v>
      </c>
      <c r="E21" s="153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4.4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2"/>
      <c r="D22" s="50"/>
      <c r="E22" s="153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569324.4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569324.4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22772.976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0.05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620563.596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1773038.846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2145377.003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1152475.25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6.86"/>
    <col customWidth="1" min="6" max="6" width="9.43"/>
    <col customWidth="1" min="7" max="7" width="25.0"/>
    <col customWidth="1" min="8" max="8" width="2.0"/>
  </cols>
  <sheetData>
    <row r="1" ht="7.5" customHeight="1">
      <c r="A1" s="34" t="s">
        <v>389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390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0.04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950.0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46096.0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🟢 Al día — revisada hace 41 días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77</v>
      </c>
      <c r="C14" s="152">
        <v>40.0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6720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82</v>
      </c>
      <c r="C15" s="152">
        <v>25.0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6370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86</v>
      </c>
      <c r="C16" s="152">
        <v>15.0</v>
      </c>
      <c r="D16" s="50" t="s">
        <v>300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42900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94</v>
      </c>
      <c r="C17" s="152">
        <v>0.33</v>
      </c>
      <c r="D17" s="50" t="s">
        <v>97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132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98</v>
      </c>
      <c r="C18" s="152">
        <v>25.0</v>
      </c>
      <c r="D18" s="50" t="s">
        <v>298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31875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109</v>
      </c>
      <c r="C19" s="152">
        <v>2.0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24240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115</v>
      </c>
      <c r="C20" s="152">
        <v>3.0</v>
      </c>
      <c r="D20" s="50" t="s">
        <v>298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19695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144</v>
      </c>
      <c r="C21" s="152">
        <v>0.05</v>
      </c>
      <c r="D21" s="50" t="s">
        <v>81</v>
      </c>
      <c r="E21" s="153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35.7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 t="s">
        <v>156</v>
      </c>
      <c r="C22" s="152">
        <v>0.05</v>
      </c>
      <c r="D22" s="50" t="s">
        <v>97</v>
      </c>
      <c r="E22" s="153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>4.4</v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131972.1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131972.1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5278.884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0.04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142529.868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407228.1943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492746.1151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264698.3263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4.14"/>
    <col customWidth="1" min="6" max="6" width="9.43"/>
    <col customWidth="1" min="7" max="7" width="26.0"/>
    <col customWidth="1" min="8" max="8" width="2.0"/>
  </cols>
  <sheetData>
    <row r="1" ht="7.5" customHeight="1">
      <c r="A1" s="34" t="s">
        <v>391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392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0.05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3500.0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46114.0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🟢 Al día — revisada hace 23 días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77</v>
      </c>
      <c r="C14" s="152">
        <v>60.0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10080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86</v>
      </c>
      <c r="C15" s="152">
        <v>30.0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85800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82</v>
      </c>
      <c r="C16" s="152">
        <v>20.0</v>
      </c>
      <c r="D16" s="50" t="s">
        <v>300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5096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105</v>
      </c>
      <c r="C17" s="152">
        <v>120.0</v>
      </c>
      <c r="D17" s="50" t="s">
        <v>300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369600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94</v>
      </c>
      <c r="C18" s="152">
        <v>0.75</v>
      </c>
      <c r="D18" s="50" t="s">
        <v>97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300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100</v>
      </c>
      <c r="C19" s="152">
        <v>30.0</v>
      </c>
      <c r="D19" s="50" t="s">
        <v>298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57600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151</v>
      </c>
      <c r="C20" s="152">
        <v>10.0</v>
      </c>
      <c r="D20" s="50" t="s">
        <v>300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23100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152</v>
      </c>
      <c r="C21" s="152">
        <v>0.13</v>
      </c>
      <c r="D21" s="50" t="s">
        <v>97</v>
      </c>
      <c r="E21" s="153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13.65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2"/>
      <c r="D22" s="50"/>
      <c r="E22" s="153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551589.65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551589.65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27579.4825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0.05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606748.615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1733567.471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2097616.64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1126818.856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9.14"/>
    <col customWidth="1" min="6" max="6" width="9.43"/>
    <col customWidth="1" min="7" max="7" width="27.43"/>
    <col customWidth="1" min="8" max="8" width="2.0"/>
  </cols>
  <sheetData>
    <row r="1" ht="7.5" customHeight="1">
      <c r="A1" s="34" t="s">
        <v>393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394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0.04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700.0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46120.0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🟢 Al día — revisada hace 17 días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77</v>
      </c>
      <c r="C14" s="152">
        <v>30.0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5040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82</v>
      </c>
      <c r="C15" s="152">
        <v>20.0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5096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86</v>
      </c>
      <c r="C16" s="152">
        <v>18.0</v>
      </c>
      <c r="D16" s="50" t="s">
        <v>300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51480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94</v>
      </c>
      <c r="C17" s="152">
        <v>0.17</v>
      </c>
      <c r="D17" s="50" t="s">
        <v>97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68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127</v>
      </c>
      <c r="C18" s="152">
        <v>15.0</v>
      </c>
      <c r="D18" s="50" t="s">
        <v>300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112200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132</v>
      </c>
      <c r="C19" s="152">
        <v>8.0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68544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115</v>
      </c>
      <c r="C20" s="152">
        <v>2.0</v>
      </c>
      <c r="D20" s="50" t="s">
        <v>298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13130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156</v>
      </c>
      <c r="C21" s="152">
        <v>0.04</v>
      </c>
      <c r="D21" s="50" t="s">
        <v>97</v>
      </c>
      <c r="E21" s="153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3.52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2"/>
      <c r="D22" s="50"/>
      <c r="E22" s="153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255561.52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255561.52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10222.4608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0.04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276006.4416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788589.8331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954193.6981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512583.3915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32.71"/>
    <col customWidth="1" min="6" max="6" width="9.43"/>
    <col customWidth="1" min="7" max="7" width="27.14"/>
    <col customWidth="1" min="8" max="8" width="2.0"/>
  </cols>
  <sheetData>
    <row r="1" ht="7.5" customHeight="1">
      <c r="A1" s="34" t="s">
        <v>395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396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0.05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22000.0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46078.0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🟢 Al día — revisada hace 59 días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77</v>
      </c>
      <c r="C14" s="152">
        <v>120.0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20160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82</v>
      </c>
      <c r="C15" s="152">
        <v>120.0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30576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94</v>
      </c>
      <c r="C16" s="152">
        <v>4.0</v>
      </c>
      <c r="D16" s="50" t="s">
        <v>97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1600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100</v>
      </c>
      <c r="C17" s="152">
        <v>200.0</v>
      </c>
      <c r="D17" s="50" t="s">
        <v>298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384000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121</v>
      </c>
      <c r="C18" s="152">
        <v>300.0</v>
      </c>
      <c r="D18" s="50" t="s">
        <v>300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351000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151</v>
      </c>
      <c r="C19" s="152">
        <v>30.0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69300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152</v>
      </c>
      <c r="C20" s="152">
        <v>1.0</v>
      </c>
      <c r="D20" s="50" t="s">
        <v>97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105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2"/>
      <c r="D21" s="50"/>
      <c r="E21" s="153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2"/>
      <c r="D22" s="50"/>
      <c r="E22" s="153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856741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856741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42837.05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0.05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942415.1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2692614.571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3258063.631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1750199.471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9.14"/>
    <col customWidth="1" min="6" max="6" width="9.43"/>
    <col customWidth="1" min="7" max="7" width="25.0"/>
    <col customWidth="1" min="8" max="8" width="2.0"/>
  </cols>
  <sheetData>
    <row r="1" ht="7.5" customHeight="1">
      <c r="A1" s="34" t="s">
        <v>397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398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0.04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1600.0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46111.0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🟢 Al día — revisada hace 26 días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77</v>
      </c>
      <c r="C14" s="152">
        <v>80.0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13440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82</v>
      </c>
      <c r="C15" s="152">
        <v>60.0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15288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94</v>
      </c>
      <c r="C16" s="152">
        <v>0.75</v>
      </c>
      <c r="D16" s="50" t="s">
        <v>97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300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86</v>
      </c>
      <c r="C17" s="152">
        <v>30.0</v>
      </c>
      <c r="D17" s="50" t="s">
        <v>300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85800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98</v>
      </c>
      <c r="C18" s="152">
        <v>50.0</v>
      </c>
      <c r="D18" s="50" t="s">
        <v>298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63750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109</v>
      </c>
      <c r="C19" s="152">
        <v>3.0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36360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144</v>
      </c>
      <c r="C20" s="152">
        <v>0.1</v>
      </c>
      <c r="D20" s="50" t="s">
        <v>81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71.4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156</v>
      </c>
      <c r="C21" s="152">
        <v>0.1</v>
      </c>
      <c r="D21" s="50" t="s">
        <v>97</v>
      </c>
      <c r="E21" s="153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8.8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2"/>
      <c r="D22" s="50"/>
      <c r="E22" s="153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215018.2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215018.2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8600.728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0.04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232219.656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663484.7314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802816.525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431265.0754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36.43"/>
    <col customWidth="1" min="6" max="6" width="9.43"/>
    <col customWidth="1" min="7" max="7" width="26.86"/>
    <col customWidth="1" min="8" max="8" width="2.0"/>
  </cols>
  <sheetData>
    <row r="1" ht="7.5" customHeight="1">
      <c r="A1" s="34" t="s">
        <v>399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400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0.05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6500.0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46124.0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🟢 Al día — revisada hace 13 días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100</v>
      </c>
      <c r="C14" s="152">
        <v>120.0</v>
      </c>
      <c r="D14" s="50" t="s">
        <v>298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230400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121</v>
      </c>
      <c r="C15" s="152">
        <v>100.0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117000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82</v>
      </c>
      <c r="C16" s="152">
        <v>20.0</v>
      </c>
      <c r="D16" s="50" t="s">
        <v>300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5096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77</v>
      </c>
      <c r="C17" s="152">
        <v>40.0</v>
      </c>
      <c r="D17" s="50" t="s">
        <v>300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6720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86</v>
      </c>
      <c r="C18" s="152">
        <v>20.0</v>
      </c>
      <c r="D18" s="50" t="s">
        <v>300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57200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127</v>
      </c>
      <c r="C19" s="152">
        <v>30.0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224400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152</v>
      </c>
      <c r="C20" s="152">
        <v>0.08</v>
      </c>
      <c r="D20" s="50" t="s">
        <v>97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8.4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2"/>
      <c r="D21" s="50"/>
      <c r="E21" s="153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2"/>
      <c r="D22" s="50"/>
      <c r="E22" s="153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640824.4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640824.4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32041.22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0.05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704906.84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2014019.543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2436963.647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1309112.703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6.14"/>
    <col customWidth="1" min="6" max="6" width="9.43"/>
    <col customWidth="1" min="7" max="7" width="28.29"/>
    <col customWidth="1" min="8" max="8" width="2.0"/>
  </cols>
  <sheetData>
    <row r="1" ht="7.5" customHeight="1">
      <c r="A1" s="34" t="s">
        <v>401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402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0.05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1400.0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46103.0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🟢 Al día — revisada hace 34 días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77</v>
      </c>
      <c r="C14" s="152">
        <v>80.0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13440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86</v>
      </c>
      <c r="C15" s="152">
        <v>35.0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100100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82</v>
      </c>
      <c r="C16" s="152">
        <v>15.0</v>
      </c>
      <c r="D16" s="50" t="s">
        <v>300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3822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98</v>
      </c>
      <c r="C17" s="152">
        <v>25.0</v>
      </c>
      <c r="D17" s="50" t="s">
        <v>298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31875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94</v>
      </c>
      <c r="C18" s="152">
        <v>0.33</v>
      </c>
      <c r="D18" s="50" t="s">
        <v>97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132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112</v>
      </c>
      <c r="C19" s="152">
        <v>2.0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56560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121</v>
      </c>
      <c r="C20" s="152">
        <v>40.0</v>
      </c>
      <c r="D20" s="50" t="s">
        <v>300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46800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156</v>
      </c>
      <c r="C21" s="152">
        <v>0.05</v>
      </c>
      <c r="D21" s="50" t="s">
        <v>97</v>
      </c>
      <c r="E21" s="153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4.4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2"/>
      <c r="D22" s="50"/>
      <c r="E22" s="153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252733.4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252733.4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12636.67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0.05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278006.74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794304.9714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961109.0154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516298.2314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9.14"/>
    <col customWidth="1" min="6" max="6" width="9.43"/>
    <col customWidth="1" min="7" max="7" width="27.0"/>
    <col customWidth="1" min="8" max="8" width="2.0"/>
  </cols>
  <sheetData>
    <row r="1" ht="7.5" customHeight="1">
      <c r="A1" s="34" t="s">
        <v>403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404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0.04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2000.0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45731.0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🔴 Hace más de 90 días sin revisar — actualizá los costos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77</v>
      </c>
      <c r="C14" s="152">
        <v>50.0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8400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94</v>
      </c>
      <c r="C15" s="152">
        <v>1.0</v>
      </c>
      <c r="D15" s="50" t="s">
        <v>97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400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98</v>
      </c>
      <c r="C16" s="152">
        <v>60.0</v>
      </c>
      <c r="D16" s="50" t="s">
        <v>298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76500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82</v>
      </c>
      <c r="C17" s="152">
        <v>15.0</v>
      </c>
      <c r="D17" s="50" t="s">
        <v>300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3822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86</v>
      </c>
      <c r="C18" s="152">
        <v>12.0</v>
      </c>
      <c r="D18" s="50" t="s">
        <v>300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34320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118</v>
      </c>
      <c r="C19" s="152">
        <v>1.0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9648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115</v>
      </c>
      <c r="C20" s="152">
        <v>2.0</v>
      </c>
      <c r="D20" s="50" t="s">
        <v>298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13130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2"/>
      <c r="D21" s="50"/>
      <c r="E21" s="153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2"/>
      <c r="D22" s="50"/>
      <c r="E22" s="153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146220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146220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5848.8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0.04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157917.6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451193.1429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545943.7029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293275.5429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9.86"/>
    <col customWidth="1" min="6" max="6" width="9.43"/>
    <col customWidth="1" min="7" max="7" width="25.57"/>
    <col customWidth="1" min="8" max="8" width="2.0"/>
  </cols>
  <sheetData>
    <row r="1" ht="7.5" customHeight="1">
      <c r="A1" s="34" t="s">
        <v>405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406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0.04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4200.0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45736.0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🔴 Hace más de 90 días sin revisar — actualizá los costos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77</v>
      </c>
      <c r="C14" s="152">
        <v>45.0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7560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82</v>
      </c>
      <c r="C15" s="152">
        <v>40.0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10192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94</v>
      </c>
      <c r="C16" s="152">
        <v>1.0</v>
      </c>
      <c r="D16" s="50" t="s">
        <v>97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400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86</v>
      </c>
      <c r="C17" s="152">
        <v>18.0</v>
      </c>
      <c r="D17" s="50" t="s">
        <v>300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51480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98</v>
      </c>
      <c r="C18" s="152">
        <v>22.0</v>
      </c>
      <c r="D18" s="50" t="s">
        <v>298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28050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109</v>
      </c>
      <c r="C19" s="152">
        <v>2.0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24240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115</v>
      </c>
      <c r="C20" s="152">
        <v>3.0</v>
      </c>
      <c r="D20" s="50" t="s">
        <v>298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19695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152</v>
      </c>
      <c r="C21" s="152">
        <v>0.1</v>
      </c>
      <c r="D21" s="50" t="s">
        <v>97</v>
      </c>
      <c r="E21" s="153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10.5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2"/>
      <c r="D22" s="50"/>
      <c r="E22" s="153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141627.5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141627.5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5665.1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0.04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152957.7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437022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528796.62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284064.3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0.0"/>
    <col customWidth="1" min="6" max="6" width="9.43"/>
    <col customWidth="1" min="7" max="7" width="26.29"/>
    <col customWidth="1" min="8" max="8" width="2.0"/>
  </cols>
  <sheetData>
    <row r="1" ht="7.5" customHeight="1">
      <c r="A1" s="34" t="s">
        <v>407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408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0.03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400.0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45716.0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🔴 Hace más de 90 días sin revisar — actualizá los costos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94</v>
      </c>
      <c r="C14" s="152">
        <v>0.5</v>
      </c>
      <c r="D14" s="50" t="s">
        <v>97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200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82</v>
      </c>
      <c r="C15" s="152">
        <v>25.0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6370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151</v>
      </c>
      <c r="C16" s="152">
        <v>5.0</v>
      </c>
      <c r="D16" s="50" t="s">
        <v>300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11550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144</v>
      </c>
      <c r="C17" s="152">
        <v>0.02</v>
      </c>
      <c r="D17" s="50" t="s">
        <v>81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14.28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156</v>
      </c>
      <c r="C18" s="152">
        <v>0.03</v>
      </c>
      <c r="D18" s="50" t="s">
        <v>97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2.64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/>
      <c r="C19" s="152"/>
      <c r="D19" s="50"/>
      <c r="E19" s="153" t="str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/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2"/>
      <c r="D20" s="50"/>
      <c r="E20" s="153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2"/>
      <c r="D21" s="50"/>
      <c r="E21" s="153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2"/>
      <c r="D22" s="50"/>
      <c r="E22" s="153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18136.92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18136.92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544.1076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0.03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19225.1352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54928.95771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66464.03883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35703.82251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0.0"/>
    <col customWidth="1" min="6" max="6" width="9.43"/>
    <col customWidth="1" min="7" max="7" width="26.0"/>
    <col customWidth="1" min="8" max="8" width="2.0"/>
  </cols>
  <sheetData>
    <row r="1" ht="7.5" customHeight="1">
      <c r="A1" s="34" t="s">
        <v>409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410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0.04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450.0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45726.0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🔴 Hace más de 90 días sin revisar — actualizá los costos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77</v>
      </c>
      <c r="C14" s="152">
        <v>15.0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2520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82</v>
      </c>
      <c r="C15" s="152">
        <v>10.0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2548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86</v>
      </c>
      <c r="C16" s="152">
        <v>10.0</v>
      </c>
      <c r="D16" s="50" t="s">
        <v>300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28600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106</v>
      </c>
      <c r="C17" s="152">
        <v>0.2</v>
      </c>
      <c r="D17" s="50" t="s">
        <v>300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88.2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118</v>
      </c>
      <c r="C18" s="152">
        <v>0.5</v>
      </c>
      <c r="D18" s="50" t="s">
        <v>300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4824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156</v>
      </c>
      <c r="C19" s="152">
        <v>0.03</v>
      </c>
      <c r="D19" s="50" t="s">
        <v>97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2.64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/>
      <c r="C20" s="152"/>
      <c r="D20" s="50"/>
      <c r="E20" s="153" t="str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/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2"/>
      <c r="D21" s="50"/>
      <c r="E21" s="153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2"/>
      <c r="D22" s="50"/>
      <c r="E22" s="153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38582.84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38582.84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1543.3136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0.04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41669.4672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119055.6206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144057.3009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77386.15337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0.0"/>
    <col customWidth="1" min="6" max="6" width="9.43"/>
    <col customWidth="1" min="7" max="7" width="25.14"/>
    <col customWidth="1" min="8" max="8" width="2.0"/>
  </cols>
  <sheetData>
    <row r="1" ht="7.5" customHeight="1">
      <c r="A1" s="34" t="s">
        <v>411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412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0.05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9500.0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46117.0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🟢 Al día — revisada hace 20 días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77</v>
      </c>
      <c r="C14" s="152">
        <v>150.0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25200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98</v>
      </c>
      <c r="C15" s="152">
        <v>80.0</v>
      </c>
      <c r="D15" s="50" t="s">
        <v>298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102000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112</v>
      </c>
      <c r="C16" s="152">
        <v>5.0</v>
      </c>
      <c r="D16" s="50" t="s">
        <v>300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141400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106</v>
      </c>
      <c r="C17" s="152">
        <v>3.0</v>
      </c>
      <c r="D17" s="50" t="s">
        <v>300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1323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89</v>
      </c>
      <c r="C18" s="152">
        <v>20.0</v>
      </c>
      <c r="D18" s="50" t="s">
        <v>298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16720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101</v>
      </c>
      <c r="C19" s="152">
        <v>80.0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460800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139</v>
      </c>
      <c r="C20" s="152">
        <v>100.0</v>
      </c>
      <c r="D20" s="50" t="s">
        <v>300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114000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143</v>
      </c>
      <c r="C21" s="152">
        <v>5.0</v>
      </c>
      <c r="D21" s="50" t="s">
        <v>300</v>
      </c>
      <c r="E21" s="153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6120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 t="s">
        <v>152</v>
      </c>
      <c r="C22" s="152">
        <v>1.0</v>
      </c>
      <c r="D22" s="50" t="s">
        <v>97</v>
      </c>
      <c r="E22" s="153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>105</v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867668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867668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43383.4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0.05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954434.8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2726956.571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3299617.451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1772521.771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24.86"/>
    <col customWidth="1" min="6" max="6" width="9.43"/>
    <col customWidth="1" min="7" max="7" width="26.0"/>
    <col customWidth="1" min="8" max="8" width="2.0"/>
  </cols>
  <sheetData>
    <row r="1" ht="7.5" customHeight="1">
      <c r="A1" s="34" t="s">
        <v>413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414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0.05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1300.0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46120.0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🟢 Al día — revisada hace 17 días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77</v>
      </c>
      <c r="C14" s="152">
        <v>60.0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10080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86</v>
      </c>
      <c r="C15" s="152">
        <v>12.0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34320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94</v>
      </c>
      <c r="C16" s="152">
        <v>0.33</v>
      </c>
      <c r="D16" s="50" t="s">
        <v>97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132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136</v>
      </c>
      <c r="C17" s="152">
        <v>50.0</v>
      </c>
      <c r="D17" s="50" t="s">
        <v>300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192000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142</v>
      </c>
      <c r="C18" s="152">
        <v>25.0</v>
      </c>
      <c r="D18" s="50" t="s">
        <v>300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13200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106</v>
      </c>
      <c r="C19" s="152">
        <v>1.0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441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89</v>
      </c>
      <c r="C20" s="152">
        <v>8.0</v>
      </c>
      <c r="D20" s="50" t="s">
        <v>298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6688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143</v>
      </c>
      <c r="C21" s="152">
        <v>3.0</v>
      </c>
      <c r="D21" s="50" t="s">
        <v>300</v>
      </c>
      <c r="E21" s="153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3672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 t="s">
        <v>156</v>
      </c>
      <c r="C22" s="152">
        <v>0.05</v>
      </c>
      <c r="D22" s="50" t="s">
        <v>97</v>
      </c>
      <c r="E22" s="153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>4.4</v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260537.4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260537.4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13026.87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0.05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286591.14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818831.8286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990786.5126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532240.6886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35.57"/>
    <col customWidth="1" min="6" max="6" width="9.43"/>
    <col customWidth="1" min="7" max="8" width="26.14"/>
  </cols>
  <sheetData>
    <row r="1" ht="7.5" customHeight="1">
      <c r="A1" s="34" t="s">
        <v>415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416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0.04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1900.0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45744.0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🔴 Hace más de 90 días sin revisar — actualizá los costos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77</v>
      </c>
      <c r="C14" s="152">
        <v>55.0</v>
      </c>
      <c r="D14" s="50" t="s">
        <v>300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9240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82</v>
      </c>
      <c r="C15" s="152">
        <v>35.0</v>
      </c>
      <c r="D15" s="50" t="s">
        <v>300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8918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94</v>
      </c>
      <c r="C16" s="152">
        <v>0.5</v>
      </c>
      <c r="D16" s="50" t="s">
        <v>97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200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86</v>
      </c>
      <c r="C17" s="152">
        <v>20.0</v>
      </c>
      <c r="D17" s="50" t="s">
        <v>300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57200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98</v>
      </c>
      <c r="C18" s="152">
        <v>12.0</v>
      </c>
      <c r="D18" s="50" t="s">
        <v>298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15300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109</v>
      </c>
      <c r="C19" s="152">
        <v>2.0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24240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132</v>
      </c>
      <c r="C20" s="152">
        <v>20.0</v>
      </c>
      <c r="D20" s="50" t="s">
        <v>300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171360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 t="s">
        <v>118</v>
      </c>
      <c r="C21" s="152">
        <v>0.5</v>
      </c>
      <c r="D21" s="50" t="s">
        <v>300</v>
      </c>
      <c r="E21" s="153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>4824</v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 t="s">
        <v>156</v>
      </c>
      <c r="C22" s="152">
        <v>0.1</v>
      </c>
      <c r="D22" s="50" t="s">
        <v>97</v>
      </c>
      <c r="E22" s="153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>8.8</v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291290.8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291290.8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11651.632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0.04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314594.064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898840.1829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1087596.621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584246.1189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29"/>
    <col customWidth="1" min="3" max="3" width="20.0"/>
    <col customWidth="1" min="4" max="4" width="18.71"/>
    <col customWidth="1" min="5" max="5" width="31.29"/>
    <col customWidth="1" min="6" max="6" width="9.43"/>
    <col customWidth="1" min="7" max="7" width="25.71"/>
    <col customWidth="1" min="8" max="8" width="2.0"/>
  </cols>
  <sheetData>
    <row r="1" ht="7.5" customHeight="1">
      <c r="A1" s="34" t="s">
        <v>417</v>
      </c>
      <c r="B1" s="12"/>
      <c r="C1" s="12"/>
      <c r="D1" s="12"/>
      <c r="E1" s="13"/>
      <c r="F1" s="172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14"/>
      <c r="B2" s="15"/>
      <c r="C2" s="15"/>
      <c r="D2" s="15"/>
      <c r="E2" s="16"/>
      <c r="F2" s="14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3"/>
      <c r="B4" s="20" t="s">
        <v>355</v>
      </c>
      <c r="C4" s="21"/>
      <c r="D4" s="21"/>
      <c r="E4" s="137"/>
      <c r="F4" s="173"/>
      <c r="G4" s="173"/>
      <c r="H4" s="17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26" t="s">
        <v>285</v>
      </c>
      <c r="C5" s="21"/>
      <c r="D5" s="22"/>
      <c r="E5" s="215" t="s">
        <v>418</v>
      </c>
      <c r="F5" s="176"/>
      <c r="G5" s="1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3"/>
      <c r="B6" s="26" t="s">
        <v>357</v>
      </c>
      <c r="C6" s="21"/>
      <c r="D6" s="22"/>
      <c r="E6" s="177">
        <v>1.0</v>
      </c>
      <c r="F6" s="178"/>
      <c r="G6" s="17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26" t="s">
        <v>358</v>
      </c>
      <c r="C7" s="21"/>
      <c r="D7" s="22"/>
      <c r="E7" s="179">
        <v>0.04</v>
      </c>
      <c r="F7" s="180"/>
      <c r="G7" s="18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3"/>
      <c r="B8" s="26" t="s">
        <v>359</v>
      </c>
      <c r="C8" s="21"/>
      <c r="D8" s="22"/>
      <c r="E8" s="179">
        <f>Configuracion!D9</f>
        <v>0.65</v>
      </c>
      <c r="F8" s="180"/>
      <c r="G8" s="18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3"/>
      <c r="B9" s="26" t="s">
        <v>360</v>
      </c>
      <c r="C9" s="21"/>
      <c r="D9" s="22"/>
      <c r="E9" s="181">
        <v>2100.0</v>
      </c>
      <c r="F9" s="182"/>
      <c r="G9" s="18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26" t="s">
        <v>361</v>
      </c>
      <c r="C10" s="21"/>
      <c r="D10" s="22"/>
      <c r="E10" s="183">
        <v>45750.0</v>
      </c>
      <c r="F10" s="184"/>
      <c r="G10" s="1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3"/>
      <c r="B11" s="185" t="str">
        <f>IF(E10="","⚪ Ingresá la fecha de costeo.",IF((TODAY()-E10)&gt;90,"🔴 Hace más de 90 días sin revisar — actualizá los costos","🟢 Al día — revisada hace "&amp;(TODAY()-E10)&amp;" días"))</f>
        <v>🔴 Hace más de 90 días sin revisar — actualizá los costos</v>
      </c>
      <c r="C11" s="21"/>
      <c r="D11" s="21"/>
      <c r="E11" s="137"/>
      <c r="F11" s="186"/>
      <c r="G11" s="18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61" t="s">
        <v>362</v>
      </c>
      <c r="C13" s="61" t="s">
        <v>363</v>
      </c>
      <c r="D13" s="61" t="s">
        <v>364</v>
      </c>
      <c r="E13" s="61" t="s">
        <v>296</v>
      </c>
      <c r="F13" s="30"/>
      <c r="G13" s="30"/>
      <c r="H13" s="3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49" t="s">
        <v>94</v>
      </c>
      <c r="C14" s="152">
        <v>1.5</v>
      </c>
      <c r="D14" s="50" t="s">
        <v>97</v>
      </c>
      <c r="E14" s="153">
        <f t="array" ref="E14">IF(OR(B14="",C14=""),"",C14*IFERROR(INDEX('Base de Datos'!$H$9:$H$68/'Base de Datos'!$F$9:$F$68*(1+IF('Base de Datos'!$I$9:$I$68="",0,'Base de Datos'!$I$9:$I$68)),MATCH(B14,'Base de Datos'!$B$9:$B$68,0)),IFERROR(INDEX('Sub-recetas'!$D$428:$D$442,MATCH(B14,'Sub-recetas'!$C$428:$C$442,0)),0)))</f>
        <v>600</v>
      </c>
      <c r="F14" s="30"/>
      <c r="G14" s="3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49" t="s">
        <v>98</v>
      </c>
      <c r="C15" s="152">
        <v>150.0</v>
      </c>
      <c r="D15" s="50" t="s">
        <v>298</v>
      </c>
      <c r="E15" s="153">
        <f t="array" ref="E15">IF(OR(B15="",C15=""),"",C15*IFERROR(INDEX('Base de Datos'!$H$9:$H$68/'Base de Datos'!$F$9:$F$68*(1+IF('Base de Datos'!$I$9:$I$68="",0,'Base de Datos'!$I$9:$I$68)),MATCH(B15,'Base de Datos'!$B$9:$B$68,0)),IFERROR(INDEX('Sub-recetas'!$D$428:$D$442,MATCH(B15,'Sub-recetas'!$C$428:$C$442,0)),0)))</f>
        <v>191250</v>
      </c>
      <c r="F15" s="30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49" t="s">
        <v>82</v>
      </c>
      <c r="C16" s="152">
        <v>55.0</v>
      </c>
      <c r="D16" s="50" t="s">
        <v>300</v>
      </c>
      <c r="E16" s="153">
        <f t="array" ref="E16">IF(OR(B16="",C16=""),"",C16*IFERROR(INDEX('Base de Datos'!$H$9:$H$68/'Base de Datos'!$F$9:$F$68*(1+IF('Base de Datos'!$I$9:$I$68="",0,'Base de Datos'!$I$9:$I$68)),MATCH(B16,'Base de Datos'!$B$9:$B$68,0)),IFERROR(INDEX('Sub-recetas'!$D$428:$D$442,MATCH(B16,'Sub-recetas'!$C$428:$C$442,0)),0)))</f>
        <v>14014</v>
      </c>
      <c r="F16" s="30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49" t="s">
        <v>100</v>
      </c>
      <c r="C17" s="152">
        <v>30.0</v>
      </c>
      <c r="D17" s="50" t="s">
        <v>298</v>
      </c>
      <c r="E17" s="153">
        <f t="array" ref="E17">IF(OR(B17="",C17=""),"",C17*IFERROR(INDEX('Base de Datos'!$H$9:$H$68/'Base de Datos'!$F$9:$F$68*(1+IF('Base de Datos'!$I$9:$I$68="",0,'Base de Datos'!$I$9:$I$68)),MATCH(B17,'Base de Datos'!$B$9:$B$68,0)),IFERROR(INDEX('Sub-recetas'!$D$428:$D$442,MATCH(B17,'Sub-recetas'!$C$428:$C$442,0)),0)))</f>
        <v>57600</v>
      </c>
      <c r="F17" s="30"/>
      <c r="G17" s="3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49" t="s">
        <v>115</v>
      </c>
      <c r="C18" s="152">
        <v>3.0</v>
      </c>
      <c r="D18" s="50" t="s">
        <v>298</v>
      </c>
      <c r="E18" s="153">
        <f t="array" ref="E18">IF(OR(B18="",C18=""),"",C18*IFERROR(INDEX('Base de Datos'!$H$9:$H$68/'Base de Datos'!$F$9:$F$68*(1+IF('Base de Datos'!$I$9:$I$68="",0,'Base de Datos'!$I$9:$I$68)),MATCH(B18,'Base de Datos'!$B$9:$B$68,0)),IFERROR(INDEX('Sub-recetas'!$D$428:$D$442,MATCH(B18,'Sub-recetas'!$C$428:$C$442,0)),0)))</f>
        <v>19695</v>
      </c>
      <c r="F18" s="30"/>
      <c r="G18" s="3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49" t="s">
        <v>121</v>
      </c>
      <c r="C19" s="152">
        <v>40.0</v>
      </c>
      <c r="D19" s="50" t="s">
        <v>300</v>
      </c>
      <c r="E19" s="153">
        <f t="array" ref="E19">IF(OR(B19="",C19=""),"",C19*IFERROR(INDEX('Base de Datos'!$H$9:$H$68/'Base de Datos'!$F$9:$F$68*(1+IF('Base de Datos'!$I$9:$I$68="",0,'Base de Datos'!$I$9:$I$68)),MATCH(B19,'Base de Datos'!$B$9:$B$68,0)),IFERROR(INDEX('Sub-recetas'!$D$428:$D$442,MATCH(B19,'Sub-recetas'!$C$428:$C$442,0)),0)))</f>
        <v>46800</v>
      </c>
      <c r="F19" s="30"/>
      <c r="G19" s="3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49" t="s">
        <v>152</v>
      </c>
      <c r="C20" s="152">
        <v>0.1</v>
      </c>
      <c r="D20" s="50" t="s">
        <v>97</v>
      </c>
      <c r="E20" s="153">
        <f t="array" ref="E20">IF(OR(B20="",C20=""),"",C20*IFERROR(INDEX('Base de Datos'!$H$9:$H$68/'Base de Datos'!$F$9:$F$68*(1+IF('Base de Datos'!$I$9:$I$68="",0,'Base de Datos'!$I$9:$I$68)),MATCH(B20,'Base de Datos'!$B$9:$B$68,0)),IFERROR(INDEX('Sub-recetas'!$D$428:$D$442,MATCH(B20,'Sub-recetas'!$C$428:$C$442,0)),0)))</f>
        <v>10.5</v>
      </c>
      <c r="F20" s="30"/>
      <c r="G20" s="3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49"/>
      <c r="C21" s="152"/>
      <c r="D21" s="50"/>
      <c r="E21" s="153" t="str">
        <f t="array" ref="E21">IF(OR(B21="",C21=""),"",C21*IFERROR(INDEX('Base de Datos'!$H$9:$H$68/'Base de Datos'!$F$9:$F$68*(1+IF('Base de Datos'!$I$9:$I$68="",0,'Base de Datos'!$I$9:$I$68)),MATCH(B21,'Base de Datos'!$B$9:$B$68,0)),IFERROR(INDEX('Sub-recetas'!$D$428:$D$442,MATCH(B21,'Sub-recetas'!$C$428:$C$442,0)),0)))</f>
        <v/>
      </c>
      <c r="F21" s="30"/>
      <c r="G21" s="3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49"/>
      <c r="C22" s="152"/>
      <c r="D22" s="50"/>
      <c r="E22" s="153" t="str">
        <f t="array" ref="E22">IF(OR(B22="",C22=""),"",C22*IFERROR(INDEX('Base de Datos'!$H$9:$H$68/'Base de Datos'!$F$9:$F$68*(1+IF('Base de Datos'!$I$9:$I$68="",0,'Base de Datos'!$I$9:$I$68)),MATCH(B22,'Base de Datos'!$B$9:$B$68,0)),IFERROR(INDEX('Sub-recetas'!$D$428:$D$442,MATCH(B22,'Sub-recetas'!$C$428:$C$442,0)),0)))</f>
        <v/>
      </c>
      <c r="F22" s="30"/>
      <c r="G22" s="3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49"/>
      <c r="C23" s="152"/>
      <c r="D23" s="50"/>
      <c r="E23" s="153" t="str">
        <f t="array" ref="E23">IF(OR(B23="",C23=""),"",C23*IFERROR(INDEX('Base de Datos'!$H$9:$H$68/'Base de Datos'!$F$9:$F$68*(1+IF('Base de Datos'!$I$9:$I$68="",0,'Base de Datos'!$I$9:$I$68)),MATCH(B23,'Base de Datos'!$B$9:$B$68,0)),IFERROR(INDEX('Sub-recetas'!$D$428:$D$442,MATCH(B23,'Sub-recetas'!$C$428:$C$442,0)),0)))</f>
        <v/>
      </c>
      <c r="F23" s="30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49"/>
      <c r="C24" s="152"/>
      <c r="D24" s="50"/>
      <c r="E24" s="153" t="str">
        <f t="array" ref="E24">IF(OR(B24="",C24=""),"",C24*IFERROR(INDEX('Base de Datos'!$H$9:$H$68/'Base de Datos'!$F$9:$F$68*(1+IF('Base de Datos'!$I$9:$I$68="",0,'Base de Datos'!$I$9:$I$68)),MATCH(B24,'Base de Datos'!$B$9:$B$68,0)),IFERROR(INDEX('Sub-recetas'!$D$428:$D$442,MATCH(B24,'Sub-recetas'!$C$428:$C$442,0)),0)))</f>
        <v/>
      </c>
      <c r="F24" s="30"/>
      <c r="G24" s="3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49"/>
      <c r="C25" s="152"/>
      <c r="D25" s="50"/>
      <c r="E25" s="153" t="str">
        <f t="array" ref="E25">IF(OR(B25="",C25=""),"",C25*IFERROR(INDEX('Base de Datos'!$H$9:$H$68/'Base de Datos'!$F$9:$F$68*(1+IF('Base de Datos'!$I$9:$I$68="",0,'Base de Datos'!$I$9:$I$68)),MATCH(B25,'Base de Datos'!$B$9:$B$68,0)),IFERROR(INDEX('Sub-recetas'!$D$428:$D$442,MATCH(B25,'Sub-recetas'!$C$428:$C$442,0)),0)))</f>
        <v/>
      </c>
      <c r="F25" s="30"/>
      <c r="G25" s="3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49"/>
      <c r="C26" s="152"/>
      <c r="D26" s="50"/>
      <c r="E26" s="153" t="str">
        <f t="array" ref="E26">IF(OR(B26="",C26=""),"",C26*IFERROR(INDEX('Base de Datos'!$H$9:$H$68/'Base de Datos'!$F$9:$F$68*(1+IF('Base de Datos'!$I$9:$I$68="",0,'Base de Datos'!$I$9:$I$68)),MATCH(B26,'Base de Datos'!$B$9:$B$68,0)),IFERROR(INDEX('Sub-recetas'!$D$428:$D$442,MATCH(B26,'Sub-recetas'!$C$428:$C$442,0)),0)))</f>
        <v/>
      </c>
      <c r="F26" s="30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49"/>
      <c r="C27" s="152"/>
      <c r="D27" s="50"/>
      <c r="E27" s="153" t="str">
        <f t="array" ref="E27">IF(OR(B27="",C27=""),"",C27*IFERROR(INDEX('Base de Datos'!$H$9:$H$68/'Base de Datos'!$F$9:$F$68*(1+IF('Base de Datos'!$I$9:$I$68="",0,'Base de Datos'!$I$9:$I$68)),MATCH(B27,'Base de Datos'!$B$9:$B$68,0)),IFERROR(INDEX('Sub-recetas'!$D$428:$D$442,MATCH(B27,'Sub-recetas'!$C$428:$C$442,0)),0)))</f>
        <v/>
      </c>
      <c r="F27" s="30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49"/>
      <c r="C28" s="152"/>
      <c r="D28" s="50"/>
      <c r="E28" s="153" t="str">
        <f t="array" ref="E28">IF(OR(B28="",C28=""),"",C28*IFERROR(INDEX('Base de Datos'!$H$9:$H$68/'Base de Datos'!$F$9:$F$68*(1+IF('Base de Datos'!$I$9:$I$68="",0,'Base de Datos'!$I$9:$I$68)),MATCH(B28,'Base de Datos'!$B$9:$B$68,0)),IFERROR(INDEX('Sub-recetas'!$D$428:$D$442,MATCH(B28,'Sub-recetas'!$C$428:$C$442,0)),0)))</f>
        <v/>
      </c>
      <c r="F28" s="30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49"/>
      <c r="C29" s="152"/>
      <c r="D29" s="50"/>
      <c r="E29" s="153" t="str">
        <f t="array" ref="E29">IF(OR(B29="",C29=""),"",C29*IFERROR(INDEX('Base de Datos'!$H$9:$H$68/'Base de Datos'!$F$9:$F$68*(1+IF('Base de Datos'!$I$9:$I$68="",0,'Base de Datos'!$I$9:$I$68)),MATCH(B29,'Base de Datos'!$B$9:$B$68,0)),IFERROR(INDEX('Sub-recetas'!$D$428:$D$442,MATCH(B29,'Sub-recetas'!$C$428:$C$442,0)),0)))</f>
        <v/>
      </c>
      <c r="F29" s="30"/>
      <c r="G29" s="3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49"/>
      <c r="C30" s="152"/>
      <c r="D30" s="50"/>
      <c r="E30" s="153" t="str">
        <f t="array" ref="E30">IF(OR(B30="",C30=""),"",C30*IFERROR(INDEX('Base de Datos'!$H$9:$H$68/'Base de Datos'!$F$9:$F$68*(1+IF('Base de Datos'!$I$9:$I$68="",0,'Base de Datos'!$I$9:$I$68)),MATCH(B30,'Base de Datos'!$B$9:$B$68,0)),IFERROR(INDEX('Sub-recetas'!$D$428:$D$442,MATCH(B30,'Sub-recetas'!$C$428:$C$442,0)),0)))</f>
        <v/>
      </c>
      <c r="F30" s="30"/>
      <c r="G30" s="3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20" t="s">
        <v>365</v>
      </c>
      <c r="C31" s="21"/>
      <c r="D31" s="22"/>
      <c r="E31" s="82">
        <f>SUM(E14:E30)</f>
        <v>329969.5</v>
      </c>
      <c r="F31" s="30"/>
      <c r="G31" s="3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.5" customHeight="1">
      <c r="A32" s="3"/>
      <c r="B32" s="20"/>
      <c r="C32" s="21"/>
      <c r="D32" s="137"/>
      <c r="E32" s="187"/>
      <c r="F32" s="188"/>
      <c r="G32" s="17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75" customHeight="1">
      <c r="A34" s="3"/>
      <c r="B34" s="20" t="s">
        <v>366</v>
      </c>
      <c r="C34" s="21"/>
      <c r="D34" s="21"/>
      <c r="E34" s="21"/>
      <c r="F34" s="21"/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94" t="s">
        <v>367</v>
      </c>
      <c r="C35" s="21"/>
      <c r="D35" s="21"/>
      <c r="E35" s="22"/>
      <c r="F35" s="189">
        <f>E31</f>
        <v>329969.5</v>
      </c>
      <c r="G35" s="2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75" customHeight="1">
      <c r="A36" s="3"/>
      <c r="B36" s="94" t="s">
        <v>368</v>
      </c>
      <c r="C36" s="21"/>
      <c r="D36" s="21"/>
      <c r="E36" s="22"/>
      <c r="F36" s="189">
        <f>E31*E7</f>
        <v>13198.78</v>
      </c>
      <c r="G36" s="2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75" customHeight="1">
      <c r="A37" s="3"/>
      <c r="B37" s="190" t="s">
        <v>369</v>
      </c>
      <c r="C37" s="21"/>
      <c r="D37" s="21"/>
      <c r="E37" s="22"/>
      <c r="F37" s="191">
        <v>0.04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75" customHeight="1">
      <c r="A38" s="3"/>
      <c r="B38" s="192" t="s">
        <v>370</v>
      </c>
      <c r="C38" s="21"/>
      <c r="D38" s="21"/>
      <c r="E38" s="22"/>
      <c r="F38" s="193">
        <f>F35+F36+IF(F37="",0,F35*F37)</f>
        <v>356367.06</v>
      </c>
      <c r="G38" s="2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8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75" customHeight="1">
      <c r="A40" s="3"/>
      <c r="B40" s="94" t="s">
        <v>359</v>
      </c>
      <c r="C40" s="21"/>
      <c r="D40" s="21"/>
      <c r="E40" s="22"/>
      <c r="F40" s="194">
        <f>E8</f>
        <v>0.65</v>
      </c>
      <c r="G40" s="2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195" t="s">
        <v>371</v>
      </c>
      <c r="C41" s="21"/>
      <c r="D41" s="21"/>
      <c r="E41" s="22"/>
      <c r="F41" s="110">
        <f>IF(AND(F38&lt;&gt;"",E8&gt;0),IF(E6&gt;0,F38/E6,F38)/(1-E8),"")</f>
        <v>1018191.6</v>
      </c>
      <c r="G41" s="2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75" customHeight="1">
      <c r="A42" s="3"/>
      <c r="B42" s="94" t="s">
        <v>372</v>
      </c>
      <c r="C42" s="21"/>
      <c r="D42" s="21"/>
      <c r="E42" s="22"/>
      <c r="F42" s="194">
        <f>Configuracion!D11</f>
        <v>0.21</v>
      </c>
      <c r="G42" s="2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195" t="s">
        <v>373</v>
      </c>
      <c r="C43" s="21"/>
      <c r="D43" s="21"/>
      <c r="E43" s="22"/>
      <c r="F43" s="110">
        <f>IF(F41&lt;&gt;"",F41*(1+F42),"")</f>
        <v>1232011.836</v>
      </c>
      <c r="G43" s="2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7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75" customHeight="1">
      <c r="A45" s="3"/>
      <c r="B45" s="196" t="s">
        <v>374</v>
      </c>
      <c r="C45" s="197"/>
      <c r="D45" s="197"/>
      <c r="E45" s="198"/>
      <c r="F45" s="199">
        <f>IF(AND(F38&lt;&gt;"",F41&lt;&gt;""),IF(E6&gt;0,1-(F38/E6)/F41,1-F38/F41),"")</f>
        <v>0.65</v>
      </c>
      <c r="G45" s="19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75" customHeight="1">
      <c r="A46" s="3"/>
      <c r="B46" s="200" t="s">
        <v>375</v>
      </c>
      <c r="C46" s="201"/>
      <c r="D46" s="201"/>
      <c r="E46" s="202"/>
      <c r="F46" s="203">
        <f>IF(F41&lt;&gt;"",F41-IF(E6&gt;0,F38/E6,F38),"")</f>
        <v>661824.54</v>
      </c>
      <c r="G46" s="20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.0" customHeight="1">
      <c r="A47" s="3"/>
      <c r="B47" s="204"/>
      <c r="C47" s="204"/>
      <c r="D47" s="204"/>
      <c r="E47" s="204"/>
      <c r="F47" s="205"/>
      <c r="G47" s="2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0" customHeight="1">
      <c r="A48" s="3"/>
      <c r="B48" s="206" t="s">
        <v>376</v>
      </c>
      <c r="C48" s="58"/>
      <c r="D48" s="58"/>
      <c r="E48" s="59"/>
      <c r="F48" s="207" t="str">
        <f>IF(F41="","⚪ Completá los datos",IF(1-IF(E6&gt;0,F38/E6,F38)/F41&gt;=Configuracion!D9,"🟢 PRECIO OK — Tu margen supera la meta",IF(1-IF(E6&gt;0,F38/E6,F38)/F41&gt;=Configuracion!D9-0.1,"🟡 AJUSTAR — Margen cercano a la meta","🔴 REVISAR — Margen por debajo de la meta")))</f>
        <v>🟢 PRECIO OK — Tu margen supera la meta</v>
      </c>
      <c r="G48" s="5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208" t="s">
        <v>377</v>
      </c>
      <c r="C49" s="22"/>
      <c r="D49" s="209" t="str">
        <f>IF(Configuracion!D9&gt;0,"Margen ≥ "&amp;TEXT(Configuracion!D9,"0%")&amp;" (meta)","")</f>
        <v>Margen ≥ 65% (meta)</v>
      </c>
      <c r="E49" s="21"/>
      <c r="F49" s="21"/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210" t="s">
        <v>378</v>
      </c>
      <c r="C50" s="22"/>
      <c r="D50" s="211" t="str">
        <f>IF(Configuracion!D9&gt;0,"Margen entre "&amp;TEXT(Configuracion!D9-0.1,"0%")&amp;" y "&amp;TEXT(Configuracion!D9,"0%"),"")</f>
        <v>Margen entre 55% y 65%</v>
      </c>
      <c r="E50" s="21"/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212" t="s">
        <v>379</v>
      </c>
      <c r="C51" s="22"/>
      <c r="D51" s="213" t="str">
        <f>IF(Configuracion!D9&gt;0,"Margen &lt; "&amp;TEXT(Configuracion!D9-0.1,"0%"),"")</f>
        <v>Margen &lt; 55%</v>
      </c>
      <c r="E51" s="21"/>
      <c r="F51" s="21"/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75" customHeight="1">
      <c r="A52" s="3"/>
      <c r="B52" s="94" t="s">
        <v>380</v>
      </c>
      <c r="C52" s="21"/>
      <c r="D52" s="21"/>
      <c r="E52" s="22"/>
      <c r="F52" s="214" t="str">
        <f>IF(E9="","Ingresá tu precio actual",IF(E9&gt;=IF(E6&gt;0,F38/E6,F38),"✅ SÍ — cubre los costos","❌ NO — estás vendiendo a pérdida"))</f>
        <v>❌ NO — estás vendiendo a pérdida</v>
      </c>
      <c r="G52" s="2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3">
    <mergeCell ref="A1:E2"/>
    <mergeCell ref="F1:G2"/>
    <mergeCell ref="B4:E4"/>
    <mergeCell ref="B5:D5"/>
    <mergeCell ref="B6:D6"/>
    <mergeCell ref="B7:D7"/>
    <mergeCell ref="B8:D8"/>
    <mergeCell ref="B9:D9"/>
    <mergeCell ref="B10:D10"/>
    <mergeCell ref="B11:E11"/>
    <mergeCell ref="B31:D31"/>
    <mergeCell ref="B32:D32"/>
    <mergeCell ref="B34:G34"/>
    <mergeCell ref="F35:G35"/>
    <mergeCell ref="B35:E35"/>
    <mergeCell ref="B36:E36"/>
    <mergeCell ref="F36:G36"/>
    <mergeCell ref="B37:E37"/>
    <mergeCell ref="F37:G37"/>
    <mergeCell ref="B38:E38"/>
    <mergeCell ref="F38:G38"/>
    <mergeCell ref="B40:E40"/>
    <mergeCell ref="F40:G40"/>
    <mergeCell ref="B41:E41"/>
    <mergeCell ref="F41:G41"/>
    <mergeCell ref="B42:E42"/>
    <mergeCell ref="F42:G42"/>
    <mergeCell ref="F43:G43"/>
    <mergeCell ref="B49:C49"/>
    <mergeCell ref="D49:G49"/>
    <mergeCell ref="B50:C50"/>
    <mergeCell ref="D50:G50"/>
    <mergeCell ref="B51:C51"/>
    <mergeCell ref="D51:G51"/>
    <mergeCell ref="B52:E52"/>
    <mergeCell ref="F52:G52"/>
    <mergeCell ref="B43:E43"/>
    <mergeCell ref="B45:E45"/>
    <mergeCell ref="F45:G45"/>
    <mergeCell ref="B46:E46"/>
    <mergeCell ref="F46:G46"/>
    <mergeCell ref="B48:E48"/>
    <mergeCell ref="F48:G48"/>
  </mergeCells>
  <dataValidations>
    <dataValidation type="list" allowBlank="1" sqref="D14:D30">
      <formula1>"gramo,kg,ml,L,unidad"</formula1>
    </dataValidation>
    <dataValidation type="list" allowBlank="1" sqref="B14:B31">
      <formula1>'Base de Datos'!$B$9:$B$68</formula1>
    </dataValidation>
  </dataValidations>
  <printOptions/>
  <pageMargins bottom="1.0" footer="0.0" header="0.0" left="0.75" right="0.75" top="1.0"/>
  <pageSetup orientation="landscape"/>
  <drawing r:id="rId1"/>
</worksheet>
</file>