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Totals" sheetId="1" r:id="rId4"/>
    <sheet state="visible" name="Unit 1" sheetId="2" r:id="rId5"/>
    <sheet state="visible" name="Unit 2" sheetId="3" r:id="rId6"/>
    <sheet state="visible" name="Unit 3" sheetId="4" r:id="rId7"/>
    <sheet state="visible" name="Unit 4" sheetId="5" r:id="rId8"/>
    <sheet state="visible" name="Unit 5" sheetId="6" r:id="rId9"/>
    <sheet state="visible" name="Unit 6" sheetId="7" r:id="rId10"/>
    <sheet state="visible" name="Unit 7" sheetId="8" r:id="rId11"/>
    <sheet state="visible" name="Unit 8" sheetId="9" r:id="rId12"/>
    <sheet state="visible" name="Hidden"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This sheet gives you a quick look at your mastery percentages for each unit as well as your course mastery percentage.  You should use this data to determine which units to study.</t>
      </text>
    </comment>
    <comment authorId="0" ref="D1">
      <text>
        <t xml:space="preserve">This is your school ID number.</t>
      </text>
    </comment>
    <comment authorId="0" ref="F1">
      <text>
        <t xml:space="preserve">This is the number assigned to you in class.  It represents your calculator number and helps me organize the class's papers.</t>
      </text>
    </comment>
    <comment authorId="0" ref="B4">
      <text>
        <t xml:space="preserve">This column shows your mastery percentages.</t>
      </text>
    </comment>
    <comment authorId="0" ref="C4">
      <text>
        <t xml:space="preserve">This column shows the class average mastery percentage.</t>
      </text>
    </comment>
    <comment authorId="0" ref="A5">
      <text>
        <t xml:space="preserve">This represents the total percentage of the material you and your class has mastered.  </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4">
      <text>
        <t xml:space="preserve">SWBAT interpret the rate of change at an instant in terms of average rates of change over intervals containing that instant.</t>
      </text>
    </comment>
    <comment authorId="0" ref="C4">
      <text>
        <t xml:space="preserve">Calculus uses limits to understand and model dynamic change.</t>
      </text>
    </comment>
    <comment authorId="0" ref="C5">
      <text>
        <t xml:space="preserve">Because an average rate of change divides the change in one variable by the change in another, the average rate of change is undefined at a point where the change in the independent variable would be zero.</t>
      </text>
    </comment>
    <comment authorId="0" ref="C6">
      <text>
        <t xml:space="preserve">The limit concept allows us to define
instantaneous rate of change in terms of average rates of change.</t>
      </text>
    </comment>
    <comment authorId="0" ref="B7">
      <text>
        <t xml:space="preserve">SWBAT represent limits analytically
using correct notation.</t>
      </text>
    </comment>
    <comment authorId="0" ref="C7">
      <text>
        <t xml:space="preserve">Given a function f, the limit of f(x) as x approaches c is a real number R if f(x) can be made arbitrarily close to R by taking x sufficiently close to c (but not equal to c). If the limit exists and is a real number. (Notation)</t>
      </text>
    </comment>
    <comment authorId="0" ref="B8">
      <text>
        <t xml:space="preserve">SWBAT interpret limits expressed in
analytic notation.</t>
      </text>
    </comment>
    <comment authorId="0" ref="C8">
      <text>
        <t xml:space="preserve">A limit can be expressed in multiple ways, including graphically, numerically, and analytically.</t>
      </text>
    </comment>
    <comment authorId="0" ref="B9">
      <text>
        <t xml:space="preserve">SWBAT estimate limits of functions.</t>
      </text>
    </comment>
    <comment authorId="0" ref="C9">
      <text>
        <t xml:space="preserve">The concept of a limit includes one sided limits.</t>
      </text>
    </comment>
    <comment authorId="0" ref="C10">
      <text>
        <t xml:space="preserve">Graphical information about a function can be used to estimate limits</t>
      </text>
    </comment>
    <comment authorId="0" ref="C11">
      <text>
        <t xml:space="preserve">Because of issues of scale, graphical
representations of functions may miss important function behavior.</t>
      </text>
    </comment>
    <comment authorId="0" ref="C12">
      <text>
        <t xml:space="preserve">A limit might not exist for some functions at particular values of x. Some ways that the limit might not exist are if the function is
unbounded, if the function is oscillating near this value, or if the limit from the left does not
equal the limit from the right.</t>
      </text>
    </comment>
    <comment authorId="0" ref="C13">
      <text>
        <t xml:space="preserve">Numerical information can be used to estimate limits.</t>
      </text>
    </comment>
    <comment authorId="0" ref="B14">
      <text>
        <t xml:space="preserve">SWBAT determine the limits
of functions using limit
theorems.</t>
      </text>
    </comment>
    <comment authorId="0" ref="C14">
      <text>
        <t xml:space="preserve">One-sided limits can be determined analytically or graphically.</t>
      </text>
    </comment>
    <comment authorId="0" ref="C15">
      <text>
        <t xml:space="preserve">Limits of sums, differences, products, quotients, and composite functions can be found using limit theorems.</t>
      </text>
    </comment>
    <comment authorId="0" ref="B16">
      <text>
        <t xml:space="preserve">SWBAT determine the limits of
functions using equivalent
expressions for the function
or the squeeze theorem.</t>
      </text>
    </comment>
    <comment authorId="0" ref="C16">
      <text>
        <t xml:space="preserve">It may be necessary or helpful to rearrange expressions into equivalent forms before evaluating limits.</t>
      </text>
    </comment>
    <comment authorId="0" ref="C18">
      <text>
        <t xml:space="preserve">The limit of a function may be found by using the squeeze theorem.</t>
      </text>
    </comment>
    <comment authorId="0" ref="B20">
      <text>
        <t xml:space="preserve">SWBAT justify conclusions about
continuity at a point using the
definition.</t>
      </text>
    </comment>
    <comment authorId="0" ref="C20">
      <text>
        <t xml:space="preserve">Types of discontinuities include removable discontinuities, jump discontinuities, and discontinuities due to vertical asymptotes.</t>
      </text>
    </comment>
    <comment authorId="0" ref="C21">
      <text>
        <t xml:space="preserve">Definition of continuity at a point.</t>
      </text>
    </comment>
    <comment authorId="0" ref="B22">
      <text>
        <t xml:space="preserve">SWBAT determine intervals
over which a function is
continuous.</t>
      </text>
    </comment>
    <comment authorId="0" ref="C22">
      <text>
        <t xml:space="preserve">A function is continuous on an interval if the function is continuous at each point in the interval.</t>
      </text>
    </comment>
    <comment authorId="0" ref="C23">
      <text>
        <t xml:space="preserve">Polynomial, rational, power, exponential, logarithmic, and trigonometric functions are
continuous on all points in their domains.</t>
      </text>
    </comment>
    <comment authorId="0" ref="B24">
      <text>
        <t xml:space="preserve">SWBAT determine values of x or solve for parameters that make discontinuous functions continuous, if possible.</t>
      </text>
    </comment>
    <comment authorId="0" ref="C24">
      <text>
        <t xml:space="preserve">If the limit of a function exists at a discontinuity in its graph, then it is possible to remove the discontinuity by defining or redefining the value of the function at that point, so it equals
the value of the limit of the function as x approaches that point.</t>
      </text>
    </comment>
    <comment authorId="0" ref="C25">
      <text>
        <t xml:space="preserve">In order for a piecewise-defined function to be continuous at a boundary to the partition of its
domain, the value of the expression defining the function on one side of the boundary must
equal the value of the expression defining the other side of the boundary, as well as the value
of the function at the boundary</t>
      </text>
    </comment>
    <comment authorId="0" ref="B26">
      <text>
        <t xml:space="preserve">SWBAT interpret the behavior
of functions using limits involving infinity.</t>
      </text>
    </comment>
    <comment authorId="0" ref="C26">
      <text>
        <t xml:space="preserve">The concept of a limit can be extended to include infinite limits.</t>
      </text>
    </comment>
    <comment authorId="0" ref="C27">
      <text>
        <t xml:space="preserve">Asymptotic and unbounded behavior of functions can be described and explained using limits.</t>
      </text>
    </comment>
    <comment authorId="0" ref="C28">
      <text>
        <t xml:space="preserve">The concept of a limit can be extended to include limits at infinity.</t>
      </text>
    </comment>
    <comment authorId="0" ref="C29">
      <text>
        <t xml:space="preserve">Limits at infinity describe end behavior.</t>
      </text>
    </comment>
    <comment authorId="0" ref="C30">
      <text>
        <t xml:space="preserve">Relative magnitudes of functions and their rates of change can be compared using limits.</t>
      </text>
    </comment>
    <comment authorId="0" ref="B31">
      <text>
        <t xml:space="preserve">SWBAT explain the behavior of a
function on an interval using
the Intermediate Value
Theorem.</t>
      </text>
    </comment>
    <comment authorId="0" ref="C31">
      <text>
        <t xml:space="preserve">The Intermediate Value
Theorem.</t>
      </text>
    </comment>
  </commentList>
</comments>
</file>

<file path=xl/comments3.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4">
      <text>
        <t xml:space="preserve">SWBAT determine average rates
of change using difference
quotients.</t>
      </text>
    </comment>
    <comment authorId="0" ref="C4">
      <text>
        <t xml:space="preserve">Difference Quotient Expression</t>
      </text>
    </comment>
    <comment authorId="0" ref="B5">
      <text>
        <t xml:space="preserve">SWBAT represent the derivative of
a function as the limit of a
difference quotient.</t>
      </text>
    </comment>
    <comment authorId="0" ref="C5">
      <text>
        <t xml:space="preserve">The limit of the difference quotient as the difference approaches 0.</t>
      </text>
    </comment>
    <comment authorId="0" ref="C6">
      <text>
        <t xml:space="preserve">Derivative Definition</t>
      </text>
    </comment>
    <comment authorId="0" ref="C7">
      <text>
        <t xml:space="preserve">Derivative Notations</t>
      </text>
    </comment>
    <comment authorId="0" ref="C8">
      <text>
        <t xml:space="preserve">The derivative can be represented graphically, numerically, analytically, and verbally</t>
      </text>
    </comment>
    <comment authorId="0" ref="B9">
      <text>
        <t xml:space="preserve">Determine the equation of a line tangent to a curve at a given point.</t>
      </text>
    </comment>
    <comment authorId="0" ref="C9">
      <text>
        <t xml:space="preserve">The derivative of a function at a point is the slope of the line tangent to a graph of the function at that point.</t>
      </text>
    </comment>
    <comment authorId="0" ref="B10">
      <text>
        <t xml:space="preserve">SWBAT estimate derivatives.</t>
      </text>
    </comment>
    <comment authorId="0" ref="C10">
      <text>
        <t xml:space="preserve">The derivative at a point can be estimated from information given in tables or graphs.</t>
      </text>
    </comment>
    <comment authorId="0" ref="C11">
      <text>
        <t xml:space="preserve">Technology can be used to calculate or estimate the value of a derivative of a function at a point.</t>
      </text>
    </comment>
    <comment authorId="0" ref="B12">
      <text>
        <t xml:space="preserve">SWBAT explain the relationship
between differentiability and
continuity.</t>
      </text>
    </comment>
    <comment authorId="0" ref="C12">
      <text>
        <t xml:space="preserve">If a function is differentiable at a point, then it is continuous at that point. In particular, if a point is not in the domain of f, then it is not in the domain of f'.</t>
      </text>
    </comment>
    <comment authorId="0" ref="C13">
      <text>
        <t xml:space="preserve">A continuous function may fail to be
differentiable at a point in its domain.</t>
      </text>
    </comment>
    <comment authorId="0" ref="B14">
      <text>
        <t xml:space="preserve">SWBAT calculate derivatives of
familiar functions.</t>
      </text>
    </comment>
    <comment authorId="0" ref="C14">
      <text>
        <t xml:space="preserve">Direct application of the definition of the derivative and specific rules can be used to calculate the derivative for functions of the form f(x)=x^r.
.</t>
      </text>
    </comment>
    <comment authorId="0" ref="C15">
      <text>
        <t xml:space="preserve">Sums, differences, and constant multiples of functions can be differentiated using derivative rules.</t>
      </text>
    </comment>
    <comment authorId="0" ref="C16">
      <text>
        <t xml:space="preserve">The power rule combined with sum, difference, and constant multiple properties can be used to find the derivatives for polynomial functions.</t>
      </text>
    </comment>
    <comment authorId="0" ref="C17">
      <text>
        <t xml:space="preserve">Specific rules can be used to find the
derivatives for sine, cosine, exponential, and logarithmic functions.</t>
      </text>
    </comment>
    <comment authorId="0" ref="B18">
      <text>
        <t xml:space="preserve">SWBAT interpret a limit as a definition of a derivative.</t>
      </text>
    </comment>
    <comment authorId="0" ref="C18">
      <text>
        <t xml:space="preserve">In some cases, recognizing an expression for the definition of the derivative of a function whose derivative is known offers a strategy for determining a limit.</t>
      </text>
    </comment>
    <comment authorId="0" ref="B19">
      <text>
        <t xml:space="preserve">SWBAT calculate derivatives of
products and quotients of differentiable functions.</t>
      </text>
    </comment>
    <comment authorId="0" ref="C19">
      <text>
        <t xml:space="preserve">Derivatives of products of differentiable functions can be found using the product rule.</t>
      </text>
    </comment>
    <comment authorId="0" ref="C20">
      <text>
        <t xml:space="preserve">Derivatives of quotients of differentiable functions can be found using the quotient rule.</t>
      </text>
    </comment>
    <comment authorId="0" ref="C21">
      <text>
        <t xml:space="preserve">Rearranging tangent, cotangent, secant, and cosecant functions using identities allows differentiation using derivative rules.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B4">
      <text>
        <t xml:space="preserve">SWBAT calculate derivatives of compositions of differentiable functions.</t>
      </text>
    </comment>
    <comment authorId="0" ref="C4">
      <text>
        <t xml:space="preserve">The chain rule provides a way to differentiate composite functions.</t>
      </text>
    </comment>
    <comment authorId="0" ref="B5">
      <text>
        <t xml:space="preserve">SWBAT calculate derivatives of
implicitly defined functions.</t>
      </text>
    </comment>
    <comment authorId="0" ref="C5">
      <text>
        <t xml:space="preserve">The chain rule is the basis for implicit differentiation.</t>
      </text>
    </comment>
    <comment authorId="0" ref="B6">
      <text>
        <t xml:space="preserve">SWBAT Calculate derivatives
of inverse and inverse trigonometric functions.</t>
      </text>
    </comment>
    <comment authorId="0" ref="C6">
      <text>
        <t xml:space="preserve">The chain rule and definition of an inverse function can be used to find the derivative of an inverse function, provided the derivative exists.</t>
      </text>
    </comment>
    <comment authorId="0" ref="C7">
      <text>
        <t xml:space="preserve">The chain rule applied with the definition of an inverse function, or the formula for the derivative of an inverse function, can be used to find the derivatives of inverse
trigonometric functions.</t>
      </text>
    </comment>
    <comment authorId="0" ref="B9">
      <text>
        <t xml:space="preserve">SWBAT determine higher order
derivatives of a function.</t>
      </text>
    </comment>
    <comment authorId="0" ref="C9">
      <text>
        <t xml:space="preserve">The second derivative of a function f(x) is the derivative of f'(x).</t>
      </text>
    </comment>
    <comment authorId="0" ref="C10">
      <text>
        <t xml:space="preserve">Higher order derivatives notation</t>
      </text>
    </comment>
  </commentList>
</comments>
</file>

<file path=xl/comments5.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A series of questions to demonstrate mastery directly after covering the material.  This can be made up at any time upon request. This is worth 50% of your grade.</t>
      </text>
    </comment>
    <comment authorId="0" ref="F3">
      <text>
        <t xml:space="preserve">Questions on a quiz or exam, at least 1 day after covering the material, to demonstrate mastery.  This can not be made up, but there may be multiple opportunities to show your mastery. This is worth 30% of your grade. </t>
      </text>
    </comment>
    <comment authorId="0" ref="G3">
      <text>
        <t xml:space="preserve">Questions given at least 2 weeks after covering the material to demonstrate mastery over material.  This is worth 20% of your grade.  It can not be made up, but you will have multiple opportunities to show mastery.</t>
      </text>
    </comment>
    <comment authorId="0" ref="B4">
      <text>
        <t xml:space="preserve">SWBAT interpret the meaning of a
derivative in context.</t>
      </text>
    </comment>
    <comment authorId="0" ref="C4">
      <text>
        <t xml:space="preserve">The derivative of a function can be interpreted as the instantaneous rate of change with respect to its independent variable.</t>
      </text>
    </comment>
    <comment authorId="0" ref="C5">
      <text>
        <t xml:space="preserve">The derivative can be used to express information about rates of change in applied contexts.</t>
      </text>
    </comment>
    <comment authorId="0" ref="C6">
      <text>
        <t xml:space="preserve">The unit for f '(x) is the unit for f divided by the unit for x.</t>
      </text>
    </comment>
    <comment authorId="0" ref="B7">
      <text>
        <t xml:space="preserve">SWBAT calculate rates of change in
applied contexts.</t>
      </text>
    </comment>
    <comment authorId="0" ref="C7">
      <text>
        <t xml:space="preserve">The derivative can be used to solve rectilinear motion problems involving position, speed, velocity, and acceleration.</t>
      </text>
    </comment>
    <comment authorId="0" ref="B8">
      <text>
        <t xml:space="preserve">SWBAT interpret rates of change in
applied contexts.</t>
      </text>
    </comment>
    <comment authorId="0" ref="C8">
      <text>
        <t xml:space="preserve">The derivative can be used to solve problems involving rates of change in applied contexts.</t>
      </text>
    </comment>
    <comment authorId="0" ref="B9">
      <text>
        <t xml:space="preserve">SWBAT calculate related rates in
applied contexts.</t>
      </text>
    </comment>
    <comment authorId="0" ref="C9">
      <text>
        <t xml:space="preserve">The chain rule is the basis for differentiating variables in a related rates problem with respect to the same independent variable.</t>
      </text>
    </comment>
    <comment authorId="0" ref="C10">
      <text>
        <t xml:space="preserve">Other differentiation rules, such as the product rule and the quotient rule, may also be necessary to differentiate all variables with respect to the same independent variable.</t>
      </text>
    </comment>
    <comment authorId="0" ref="B11">
      <text>
        <t xml:space="preserve">SWBAT interpret related rates in
applied contexts.</t>
      </text>
    </comment>
    <comment authorId="0" ref="C11">
      <text>
        <t xml:space="preserve">The derivative can be used to solve related rates problems; that is, finding a rate at which one quantity is changing by relating it to other quantities whose rates of change are known.</t>
      </text>
    </comment>
    <comment authorId="0" ref="B12">
      <text>
        <t xml:space="preserve">SWBAT approximate a value on a
curve using the equation of a tangent line.</t>
      </text>
    </comment>
    <comment authorId="0" ref="C12">
      <text>
        <t xml:space="preserve">The tangent line is the graph of a locally linear approximation of the function near the point of tangency.</t>
      </text>
    </comment>
    <comment authorId="0" ref="C13">
      <text>
        <t xml:space="preserve">For a tangent line approximation, the function’s behavior near the point of tangency may determine whether a tangent line value is
an underestimate or an overestimate of the corresponding function value.</t>
      </text>
    </comment>
    <comment authorId="0" ref="B14">
      <text>
        <t xml:space="preserve">SWBAT determine limits of functions
that result in indeterminate forms.</t>
      </text>
    </comment>
    <comment authorId="0" ref="C14">
      <text>
        <t xml:space="preserve">Recognize indeterminate forms</t>
      </text>
    </comment>
    <comment authorId="0" ref="C15">
      <text>
        <t xml:space="preserve">Use L'hospital's Rule</t>
      </text>
    </comment>
  </commentList>
</comments>
</file>

<file path=xl/comments6.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A series of questions to demonstrate mastery directly after covering the material.  This can be made up at any time upon request. This is worth 50% of your grade.</t>
      </text>
    </comment>
    <comment authorId="0" ref="F3">
      <text>
        <t xml:space="preserve">Questions on a quiz or exam, at least 1 day after covering the material, to demonstrate mastery.  This can not be made up, but there may be multiple opportunities to show your mastery. This is worth 30% of your grade. </t>
      </text>
    </comment>
    <comment authorId="0" ref="G3">
      <text>
        <t xml:space="preserve">Questions given at least 2 weeks after covering the material to demonstrate mastery over material.  This is worth 20% of your grade.  It can not be made up, but you will have multiple opportunities to show mastery.</t>
      </text>
    </comment>
    <comment authorId="0" ref="B4">
      <text>
        <t xml:space="preserve">SWBAT justify conclusions about
functions by applying the
Mean Value Theorem over
an interval.</t>
      </text>
    </comment>
    <comment authorId="0" ref="C4">
      <text>
        <t xml:space="preserve">If a function f is continuous over the interval [a, b] and differentiable over the interval
(a, b), then the Mean Value Theorem guarantees a point within that open interval
where the instantaneous rate of change equals the average rate of change over the interval.</t>
      </text>
    </comment>
    <comment authorId="0" ref="B5">
      <text>
        <t xml:space="preserve">SWBAT justify conclusions about
functions by applying the
Extreme Value Theorem.</t>
      </text>
    </comment>
    <comment authorId="0" ref="C5">
      <text>
        <t xml:space="preserve">If a function f is continuous over the interval (a, b), then the Extreme Value Theorem
guarantees that f has at least one minimum value and at least one maximum value on [a, b].</t>
      </text>
    </comment>
    <comment authorId="0" ref="C6">
      <text>
        <t xml:space="preserve">A point on a function where the first derivative equals zero or fails to exist is a critical point of the function.</t>
      </text>
    </comment>
    <comment authorId="0" ref="C7">
      <text>
        <t xml:space="preserve">All local (relative) extrema occur at critical points of a function, though not all critical points are local extrema.</t>
      </text>
    </comment>
    <comment authorId="0" ref="B8">
      <text>
        <t xml:space="preserve">SWBAT justify conclusions about
the behavior of a function
based on the behavior of its
derivatives.</t>
      </text>
    </comment>
    <comment authorId="0" ref="C8">
      <text>
        <t xml:space="preserve">The first derivative of a function can provide information about the function and its graph, including intervals where the function is increasing or decreasing.</t>
      </text>
    </comment>
    <comment authorId="0" ref="C9">
      <text>
        <t xml:space="preserve">The first derivative of a function can determine the location of relative (local) extrema of the function.</t>
      </text>
    </comment>
    <comment authorId="0" ref="C10">
      <text>
        <t xml:space="preserve">Absolute (global) extrema of a function on a closed interval can only occur at critical points or at endpoints.</t>
      </text>
    </comment>
    <comment authorId="0" ref="C11">
      <text>
        <t xml:space="preserve">The graph of a function is concave up (down) on an open interval if the function’s derivative is increasing (decreasing) on that interval.</t>
      </text>
    </comment>
    <comment authorId="0" ref="C12">
      <text>
        <t xml:space="preserve">The second derivative of a function provides information about the function and its graph, including intervals of upward or downward concavity.</t>
      </text>
    </comment>
    <comment authorId="0" ref="C13">
      <text>
        <t xml:space="preserve">The second derivative of a function may be used to locate points of inflection for the graph of the original function.</t>
      </text>
    </comment>
    <comment authorId="0" ref="C14">
      <text>
        <t xml:space="preserve">The second derivative of a function may determine whether a critical point is the location of a relative (local) maximum or minimum.</t>
      </text>
    </comment>
    <comment authorId="0" ref="C15">
      <text>
        <t xml:space="preserve">When a continuous function has only one critical point on an interval on its domain and
the critical point corresponds to a relative (local) extremum of the function on the interval,
then that critical point also corresponds to the absolute (global) extremum of the function on the interval.</t>
      </text>
    </comment>
    <comment authorId="0" ref="C16">
      <text>
        <t xml:space="preserve">Key features of functions and their derivatives can be identified and related to their graphical, numerical, and analytical representations.</t>
      </text>
    </comment>
    <comment authorId="0" ref="C17">
      <text>
        <t xml:space="preserve">Graphical, numerical, and analytical information from f' and f" can be used to predict and explain the behavior of f.</t>
      </text>
    </comment>
    <comment authorId="0" ref="C18">
      <text>
        <t xml:space="preserve">Key features of the graphs of f, f', and f" are related to one another.</t>
      </text>
    </comment>
    <comment authorId="0" ref="B19">
      <text>
        <t xml:space="preserve">Calculate minimum and maximum values in applied contexts or analysis of functions.</t>
      </text>
    </comment>
    <comment authorId="0" ref="C19">
      <text>
        <t xml:space="preserve">The derivative can be used to solve optimization problems; that is, finding a minimum or maximum value of a function on a given interval.</t>
      </text>
    </comment>
    <comment authorId="0" ref="B20">
      <text>
        <t xml:space="preserve">SWBAT interpret minimum and
maximum values calculated
in applied contexts.</t>
      </text>
    </comment>
    <comment authorId="0" ref="C20">
      <text>
        <t xml:space="preserve">Minimum and maximum values of a function take on specific meanings in applied contexts.</t>
      </text>
    </comment>
    <comment authorId="0" ref="B21">
      <text>
        <t xml:space="preserve">SWBAT determine critical points of
implicit relations.</t>
      </text>
    </comment>
    <comment authorId="0" ref="C21">
      <text>
        <t xml:space="preserve">A point on an implicit relation where the first derivative equals zero or does not exist is a critical point of the function.</t>
      </text>
    </comment>
    <comment authorId="0" ref="B22">
      <text>
        <t xml:space="preserve">SWBAT justify conclusions about
the behavior of an implicitly
defined function based on
evidence from its derivatives.</t>
      </text>
    </comment>
    <comment authorId="0" ref="C22">
      <text>
        <t xml:space="preserve">Applications of derivatives can be extended to implicitly defined functions.</t>
      </text>
    </comment>
    <comment authorId="0" ref="C23">
      <text>
        <t xml:space="preserve">Second derivatives involving implicit
differentiation may be relations of x, y, and dy/dx .</t>
      </text>
    </comment>
  </commentList>
</comments>
</file>

<file path=xl/comments7.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A series of questions to demonstrate mastery directly after covering the material.  This can be made up at any time upon request. This is worth 50% of your grade.</t>
      </text>
    </comment>
    <comment authorId="0" ref="F3">
      <text>
        <t xml:space="preserve">Questions on a quiz or exam, at least 1 day after covering the material, to demonstrate mastery.  This can not be made up, but there may be multiple opportunities to show your mastery. This is worth 30% of your grade. </t>
      </text>
    </comment>
    <comment authorId="0" ref="G3">
      <text>
        <t xml:space="preserve">Questions given at least 2 weeks after covering the material to demonstrate mastery over material.  This is worth 20% of your grade.  It can not be made up, but you will have multiple opportunities to show mastery.</t>
      </text>
    </comment>
    <comment authorId="0" ref="B4">
      <text>
        <t xml:space="preserve">SWBAT interpret the meaning of areas associated with the graph of a rate of change in context.</t>
      </text>
    </comment>
    <comment authorId="0" ref="C4">
      <text>
        <t xml:space="preserve">The area of the region between the graph of a rate of change function and the x axis gives the accumulation of change.</t>
      </text>
    </comment>
    <comment authorId="0" ref="C5">
      <text>
        <t xml:space="preserve">In some cases, accumulation of change can be evaluated by using geometry.</t>
      </text>
    </comment>
    <comment authorId="0" ref="C6">
      <text>
        <t xml:space="preserve">If a rate of change is positive (negative) over an interval, then the accumulated change is positive (negative).</t>
      </text>
    </comment>
    <comment authorId="0" ref="C7">
      <text>
        <t xml:space="preserve">The unit for the area of a region defined by rate of change is the unit for the rate of change multiplied by the unit for the independent variable.</t>
      </text>
    </comment>
    <comment authorId="0" ref="B8">
      <text>
        <t xml:space="preserve">SWBAT approximate a definite integral using geometric and numerical methods.</t>
      </text>
    </comment>
    <comment authorId="0" ref="C8">
      <text>
        <t xml:space="preserve">Definite integrals can be approximated for functions that are represented graphically, numerically, analytically, and verbally.</t>
      </text>
    </comment>
    <comment authorId="0" ref="C9">
      <text>
        <t xml:space="preserve">Definite integrals can be approximated using a left Riemann sum, a right Riemann sum, a midpoint Riemann sum, or a trapezoidal sum; approximations can be computed using either uniform or nonuniform partitions.</t>
      </text>
    </comment>
    <comment authorId="0" ref="C10">
      <text>
        <t xml:space="preserve">Definite integrals can be approximated using numerical methods, with or without technology.</t>
      </text>
    </comment>
    <comment authorId="0" ref="C11">
      <text>
        <t xml:space="preserve">Depending on the behavior of a function, it may be possible to determine whether an approximation for a definite integral is an underestimate or overestimate for the value of
the definite integral.</t>
      </text>
    </comment>
    <comment authorId="0" ref="B12">
      <text>
        <t xml:space="preserve">SWBAT interpret the limiting case
of the Riemann sum as a definite integral.</t>
      </text>
    </comment>
    <comment authorId="0" ref="C12">
      <text>
        <t xml:space="preserve">The limit of an approximating Riemann sum can be interpreted as a definite integral.</t>
      </text>
    </comment>
    <comment authorId="0" ref="C13">
      <text>
        <t xml:space="preserve">A Riemann sum, which requires a partition of an interval I, is the sum of products, each of which is the value of the function at a point in a subinterval multiplied by the length of that subinterval of the partition.</t>
      </text>
    </comment>
    <comment authorId="0" ref="B14">
      <text>
        <t xml:space="preserve">SWBAT represent the limiting case
of the Riemann sum as a definite integral.</t>
      </text>
    </comment>
    <comment authorId="0" ref="C14">
      <text>
        <t xml:space="preserve">The definite integral of a continuous function f(x) over the interval [a, b], is the limit of Riemann sums as the widths of the subintervals approach 0.</t>
      </text>
    </comment>
    <comment authorId="0" ref="C15">
      <text>
        <t xml:space="preserve">A definite integral can be translated into the limit of a related Riemann sum, and the limit of a Riemann sum can be written as a definite integral.</t>
      </text>
    </comment>
    <comment authorId="0" ref="B16">
      <text>
        <t xml:space="preserve">SWBAT represent accumulation functions using definite integrals.</t>
      </text>
    </comment>
    <comment authorId="0" ref="C16">
      <text>
        <t xml:space="preserve">The definite integral can be used to define new functions.</t>
      </text>
    </comment>
    <comment authorId="0" ref="C17">
      <text>
        <t xml:space="preserve">If f(x) is a continuous function on an interval containing a, then derivative of the integral from a to x is f(x).</t>
      </text>
    </comment>
    <comment authorId="0" ref="C18">
      <text>
        <t xml:space="preserve">Graphical, numerical, analytical, and verbal representations of a function f provide information about the function g defined as integral of f(x) from a to x.</t>
      </text>
    </comment>
    <comment authorId="0" ref="B19">
      <text>
        <t xml:space="preserve">SWBAT calculate a definite integral
using areas and properties of definite integrals.</t>
      </text>
    </comment>
    <comment authorId="0" ref="C19">
      <text>
        <t xml:space="preserve">In some cases, a definite integral can be evaluated by using geometry and the connection between the definite integral and area.</t>
      </text>
    </comment>
    <comment authorId="0" ref="C20">
      <text>
        <t xml:space="preserve">Properties of definite integrals include the integral of a constant times a function, the integral of the sum of two functions, reversal
of limits of integration, and the integral of a function over adjacent intervals.</t>
      </text>
    </comment>
    <comment authorId="0" ref="C21">
      <text>
        <t xml:space="preserve">The definition of the definite integral may be extended to functions with removable or jump discontinuities</t>
      </text>
    </comment>
    <comment authorId="0" ref="B22">
      <text>
        <t xml:space="preserve">SWBAT evaluate definite integrals
analytically using the Fundamental Theorem of Calculus.</t>
      </text>
    </comment>
    <comment authorId="0" ref="C22">
      <text>
        <t xml:space="preserve">An antiderivative of a function f is a function g whose derivative is f</t>
      </text>
    </comment>
    <comment authorId="0" ref="C23">
      <text>
        <t xml:space="preserve">If a function f is continuous on an interval containing a, the function F is an antiderivative of f for x in the interval.</t>
      </text>
    </comment>
    <comment authorId="0" ref="C24">
      <text>
        <t xml:space="preserve">If f is continuous on the interval [a, b] and F is an antiderivative of f, then the integral of f(x) from a to b is equal to F(b)-F(a).</t>
      </text>
    </comment>
    <comment authorId="0" ref="B25">
      <text>
        <t xml:space="preserve">SWBAT determine antiderivatives
of functions and indefinite integrals, using knowledge of derivatives.</t>
      </text>
    </comment>
    <comment authorId="0" ref="C25">
      <text>
        <t xml:space="preserve">An indefinite integral of the function f and can be expressed as F(x)+ C.</t>
      </text>
    </comment>
    <comment authorId="0" ref="C26">
      <text>
        <t xml:space="preserve">Differentiation rules provide the foundation for finding antiderivatives.</t>
      </text>
    </comment>
    <comment authorId="0" ref="C27">
      <text>
        <t xml:space="preserve">Many functions do not have closed-form antiderivatives.</t>
      </text>
    </comment>
    <comment authorId="0" ref="B28">
      <text>
        <t xml:space="preserve">SWBAT for integrands requiring substitution or rearrangements into equivalent forms:
(a) Determine indefinite integrals.
(b) Evaluate definite integrals.</t>
      </text>
    </comment>
    <comment authorId="0" ref="C28">
      <text>
        <t xml:space="preserve">Substitution of variables is a technique for finding antiderivatives.</t>
      </text>
    </comment>
    <comment authorId="0" ref="C29">
      <text>
        <t xml:space="preserve">For a definite integral, substitution of variables requires corresponding changes to the limits of integration.</t>
      </text>
    </comment>
    <comment authorId="0" ref="C30">
      <text>
        <t xml:space="preserve">Techniques for finding antiderivatives include rearrangements into equivalent forms, such as long division and completing the square.</t>
      </text>
    </comment>
  </commentList>
</comments>
</file>

<file path=xl/comments8.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A series of questions to demonstrate mastery directly after covering the material.  This can be made up at any time upon request. This is worth 50% of your grade.</t>
      </text>
    </comment>
    <comment authorId="0" ref="F3">
      <text>
        <t xml:space="preserve">Questions on a quiz or exam, at least 1 day after covering the material, to demonstrate mastery.  This can not be made up, but there may be multiple opportunities to show your mastery. This is worth 30% of your grade. </t>
      </text>
    </comment>
    <comment authorId="0" ref="G3">
      <text>
        <t xml:space="preserve">Questions given at least 2 weeks after covering the material to demonstrate mastery over material.  This is worth 20% of your grade.  It can not be made up, but you will have multiple opportunities to show mastery.</t>
      </text>
    </comment>
    <comment authorId="0" ref="B4">
      <text>
        <t xml:space="preserve">SWBAT interpret verbal statements of problems as differential equations involving a derivative expression.</t>
      </text>
    </comment>
    <comment authorId="0" ref="C4">
      <text>
        <t xml:space="preserve">Differential equations relate a function of an independent variable and the function’s derivatives.</t>
      </text>
    </comment>
    <comment authorId="0" ref="B5">
      <text>
        <t xml:space="preserve">SWBAT verify solutions to differential
equations.</t>
      </text>
    </comment>
    <comment authorId="0" ref="C5">
      <text>
        <t xml:space="preserve">Derivatives can be used to verify that a function is a solution to a given differential equation.</t>
      </text>
    </comment>
    <comment authorId="0" ref="C6">
      <text>
        <t xml:space="preserve">There may be infinitely many general solutions to a differential equation.</t>
      </text>
    </comment>
    <comment authorId="0" ref="B7">
      <text>
        <t xml:space="preserve">SWBAT estimate solutions to differential equations.</t>
      </text>
    </comment>
    <comment authorId="0" ref="C7">
      <text>
        <t xml:space="preserve">A slope field is a graphical representation of a differential equation on a finite set of points in
the plane.</t>
      </text>
    </comment>
    <comment authorId="0" ref="C8">
      <text>
        <t xml:space="preserve">Slope fields provide information about the behavior of solutions to first-order differential equations.</t>
      </text>
    </comment>
    <comment authorId="0" ref="C9">
      <text>
        <t xml:space="preserve">Solutions to differential equations are functions or families of functions.</t>
      </text>
    </comment>
    <comment authorId="0" ref="B10">
      <text>
        <t xml:space="preserve">SWBAT determine general solutions
to differential equations.</t>
      </text>
    </comment>
    <comment authorId="0" ref="C10">
      <text>
        <t xml:space="preserve">Some differential equations can be solved by separation of variables.</t>
      </text>
    </comment>
    <comment authorId="0" ref="C11">
      <text>
        <t xml:space="preserve">Antidifferentiation can be used to find general solutions to differential equations.</t>
      </text>
    </comment>
    <comment authorId="0" ref="B12">
      <text>
        <t xml:space="preserve">SWBAT determine particular
solutions to differential equations.</t>
      </text>
    </comment>
    <comment authorId="0" ref="C12">
      <text>
        <t xml:space="preserve">A general solution may describe infinitely many solutions to a differential equation. There is
only one particular solution passing through a given point.</t>
      </text>
    </comment>
    <comment authorId="0" ref="C13">
      <text>
        <t xml:space="preserve">Notation for a particular solution of a integral.</t>
      </text>
    </comment>
    <comment authorId="0" ref="C14">
      <text>
        <t xml:space="preserve">Solutions to differential equations may be subject to domain restrictions.</t>
      </text>
    </comment>
    <comment authorId="0" ref="B15">
      <text>
        <t xml:space="preserve">SWBAT interpret the meaning of a
differential equation and its
variables in context.</t>
      </text>
    </comment>
    <comment authorId="0" ref="C15">
      <text>
        <t xml:space="preserve">Specific applications of finding general and particular solutions to differential equations include motion along a line and exponential growth and decay.</t>
      </text>
    </comment>
    <comment authorId="0" ref="C16">
      <text>
        <t xml:space="preserve">The model for exponential growth and decay that arises from the statement “The rate of change of a quantity is proportional to the size of the quantity” is ky =dy/dt .</t>
      </text>
    </comment>
    <comment authorId="0" ref="B17">
      <text>
        <t xml:space="preserve">SWBAT determine general and
particular solutions
for problems involving
differential equations
in context.</t>
      </text>
    </comment>
    <comment authorId="0" ref="C17">
      <text>
        <t xml:space="preserve">The exponential growth and decay model, ky = dy/dt = , with initial condition y = y0 when t = 0,
has solutions of the form y =y_0e^(kt) = 0 .</t>
      </text>
    </comment>
  </commentList>
</comments>
</file>

<file path=xl/comments9.xml><?xml version="1.0" encoding="utf-8"?>
<comments xmlns:r="http://schemas.openxmlformats.org/officeDocument/2006/relationships" xmlns="http://schemas.openxmlformats.org/spreadsheetml/2006/main">
  <authors>
    <author/>
  </authors>
  <commentList>
    <comment authorId="0" ref="B3">
      <text>
        <t xml:space="preserve">Your grade will be determined by the objectives you have demonstrated mastery over.  We will cover the objectives and key points in class, then you will be given a mastery check that will be graded and recorded on this sheet.  Each exam question is also attached to an objective and will affect you Exam Mastery Score.  After finishing the unit the material will still come up from time to time and will affect your Review Mastery Score.</t>
      </text>
    </comment>
    <comment authorId="0" ref="E3">
      <text>
        <t xml:space="preserve">A series of questions to demonstrate mastery directly after covering the material.  This can be made up at any time upon request. This is worth 50% of your grade.</t>
      </text>
    </comment>
    <comment authorId="0" ref="F3">
      <text>
        <t xml:space="preserve">Questions on a quiz or exam, at least 1 day after covering the material, to demonstrate mastery.  This can not be made up, but there may be multiple opportunities to show your mastery. This is worth 30% of your grade. </t>
      </text>
    </comment>
    <comment authorId="0" ref="G3">
      <text>
        <t xml:space="preserve">Questions given at least 2 weeks after covering the material to demonstrate mastery over material.  This is worth 20% of your grade.  It can not be made up, but you will have multiple opportunities to show mastery.</t>
      </text>
    </comment>
    <comment authorId="0" ref="B4">
      <text>
        <t xml:space="preserve">SWBAT determine the average value of a function using definite integrals.</t>
      </text>
    </comment>
    <comment authorId="0" ref="C4">
      <text>
        <t xml:space="preserve">The average value of a continuous function f over an interval.</t>
      </text>
    </comment>
    <comment authorId="0" ref="B5">
      <text>
        <t xml:space="preserve">SWBAT determine values for positions and rates of change using definite integrals in problems involving
rectilinear motion.</t>
      </text>
    </comment>
    <comment authorId="0" ref="C5">
      <text>
        <t xml:space="preserve">For a particle in rectilinear motion over an interval of time, the definite integral of velocity represents the particle’s displacement over the interval of time, and the definite integral of
speed represents the particle’s total distance traveled over the interval of time.</t>
      </text>
    </comment>
    <comment authorId="0" ref="B6">
      <text>
        <t xml:space="preserve">SWBAT interpret the meaning of a definite integral in accumulation problems.</t>
      </text>
    </comment>
    <comment authorId="0" ref="C6">
      <text>
        <t xml:space="preserve">A function defined as an integral represents an accumulation of a rate of change.</t>
      </text>
    </comment>
    <comment authorId="0" ref="C7">
      <text>
        <t xml:space="preserve">The definite integral of the rate of change of a quantity over an interval gives the net change of that quantity over that interval.</t>
      </text>
    </comment>
    <comment authorId="0" ref="B8">
      <text>
        <t xml:space="preserve">SWBAT determine net change using definite integrals in applied contexts.</t>
      </text>
    </comment>
    <comment authorId="0" ref="C8">
      <text>
        <t xml:space="preserve">The definite integral can be used to express information about accumulation and net change in many applied contexts.</t>
      </text>
    </comment>
    <comment authorId="0" ref="B9">
      <text>
        <t xml:space="preserve">SWBAT calculate areas in the plane
using the definite integral.</t>
      </text>
    </comment>
    <comment authorId="0" ref="C9">
      <text>
        <t xml:space="preserve">Areas of regions in the plane can be calculated with definite integrals.</t>
      </text>
    </comment>
    <comment authorId="0" ref="C10">
      <text>
        <t xml:space="preserve">Areas of regions in the plane can be calculated using functions of either x or y.</t>
      </text>
    </comment>
    <comment authorId="0" ref="C11">
      <text>
        <t xml:space="preserve">Areas of certain regions in the plane may be calculated using a sum of two or more definite
integrals or by evaluating a definite integral of the absolute value of the difference of two functions.</t>
      </text>
    </comment>
    <comment authorId="0" ref="B12">
      <text>
        <t xml:space="preserve">SWBAT calculate volumes of solids
with known cross sections
using definite integrals.</t>
      </text>
    </comment>
    <comment authorId="0" ref="C12">
      <text>
        <t xml:space="preserve">Volumes of solids with square and rectangular cross sections can be found using definite integrals and the area formulas for these shapes.</t>
      </text>
    </comment>
    <comment authorId="0" ref="C13">
      <text>
        <t xml:space="preserve">Volumes of solids with triangular cross sections can be found using definite integrals and the area formulas for these shapes.</t>
      </text>
    </comment>
    <comment authorId="0" ref="C14">
      <text>
        <t xml:space="preserve">Volumes of solids with semicircular and other geometrically defined cross sections can be found using definite integrals and the area
formulas for these shapes.</t>
      </text>
    </comment>
    <comment authorId="0" ref="B15">
      <text>
        <t xml:space="preserve">SWBAT calculate volumes of solids of revolution using definite integrals.</t>
      </text>
    </comment>
    <comment authorId="0" ref="C15">
      <text>
        <t xml:space="preserve">Volumes of solids of revolution around the x- or y-axis may be found by using definite integrals with the disc method.</t>
      </text>
    </comment>
    <comment authorId="0" ref="C16">
      <text>
        <t xml:space="preserve">Volumes of solids of revolution around any horizontal or vertical line in the plane may be found by using definite integrals with the disc method.</t>
      </text>
    </comment>
    <comment authorId="0" ref="C17">
      <text>
        <t xml:space="preserve">Volumes of solids of revolution around the x- or y-axis whose cross sections are ring shaped
may be found using definite integrals with the washer method.</t>
      </text>
    </comment>
    <comment authorId="0" ref="C18">
      <text>
        <t xml:space="preserve">Volumes of solids of revolution around any horizontal or vertical line whose cross sections
are ring shaped may be found using definite integrals with the washer method.</t>
      </text>
    </comment>
  </commentList>
</comments>
</file>

<file path=xl/sharedStrings.xml><?xml version="1.0" encoding="utf-8"?>
<sst xmlns="http://schemas.openxmlformats.org/spreadsheetml/2006/main" count="665" uniqueCount="434">
  <si>
    <t>Scholar Name:</t>
  </si>
  <si>
    <t>Scholar 5</t>
  </si>
  <si>
    <t>Scholar's ID:</t>
  </si>
  <si>
    <t>Scholar's Class #:</t>
  </si>
  <si>
    <t>Q1 Mastery</t>
  </si>
  <si>
    <t>Q2 Mastery</t>
  </si>
  <si>
    <t>Q3 Mastery</t>
  </si>
  <si>
    <t>Q4 Mastery</t>
  </si>
  <si>
    <t>Self</t>
  </si>
  <si>
    <t>Class Average</t>
  </si>
  <si>
    <t>Course Mastery:</t>
  </si>
  <si>
    <t>Unit 1 Mastery:</t>
  </si>
  <si>
    <t>Unit 2 Mastery:</t>
  </si>
  <si>
    <t>Unit 3 Mastery:</t>
  </si>
  <si>
    <t>Unit 4 Mastery:</t>
  </si>
  <si>
    <t>Unit 5 Mastery:</t>
  </si>
  <si>
    <t>Unit 6 Mastery:</t>
  </si>
  <si>
    <t>Unit 7 Mastery:</t>
  </si>
  <si>
    <t>Unit 8 Mastery:</t>
  </si>
  <si>
    <t>Unit 1 Mastery Score:</t>
  </si>
  <si>
    <t>Class Average Mastery Score:</t>
  </si>
  <si>
    <t>Lesson #</t>
  </si>
  <si>
    <t>Objectives</t>
  </si>
  <si>
    <t>Key Points</t>
  </si>
  <si>
    <t>Progress Check</t>
  </si>
  <si>
    <t>Exam</t>
  </si>
  <si>
    <t>Review</t>
  </si>
  <si>
    <t>Flipped Math Material</t>
  </si>
  <si>
    <t>Khan Lessons</t>
  </si>
  <si>
    <t>Lesson 1.1</t>
  </si>
  <si>
    <t>CHA-1.A</t>
  </si>
  <si>
    <t>CHA-1.A.1</t>
  </si>
  <si>
    <t>CHA-1.A.2</t>
  </si>
  <si>
    <t>CHA-1.A.3</t>
  </si>
  <si>
    <t>Lesson 1.2</t>
  </si>
  <si>
    <t>LIM-1.A</t>
  </si>
  <si>
    <t>LIM-1.A.1</t>
  </si>
  <si>
    <t>Define Lim</t>
  </si>
  <si>
    <t>LIM-1.B</t>
  </si>
  <si>
    <t>LIM-1.B.1</t>
  </si>
  <si>
    <t>Lesson 1.3</t>
  </si>
  <si>
    <t>LIM-1.C</t>
  </si>
  <si>
    <t>LIM-1.C.1</t>
  </si>
  <si>
    <t>Est. Lim</t>
  </si>
  <si>
    <t>LIM-1.C.2</t>
  </si>
  <si>
    <t>LIM-1.C.3</t>
  </si>
  <si>
    <t>LIM-1.C.4</t>
  </si>
  <si>
    <t>Lesson 1.4</t>
  </si>
  <si>
    <t>LIM-1.C.5</t>
  </si>
  <si>
    <t>Est. Lim (Table)</t>
  </si>
  <si>
    <t>Lesson 1.5</t>
  </si>
  <si>
    <t>LIM-1.D</t>
  </si>
  <si>
    <t>LIM-1.D.1</t>
  </si>
  <si>
    <r>
      <rPr/>
      <t xml:space="preserve">1. </t>
    </r>
    <r>
      <rPr>
        <color rgb="FF1155CC"/>
        <u/>
      </rPr>
      <t>Lim Properties</t>
    </r>
    <r>
      <rPr>
        <color rgb="FF000000"/>
      </rPr>
      <t xml:space="preserve">
</t>
    </r>
    <r>
      <rPr/>
      <t xml:space="preserve">2. </t>
    </r>
    <r>
      <rPr>
        <color rgb="FF1155CC"/>
        <u/>
      </rPr>
      <t>U-Sub</t>
    </r>
  </si>
  <si>
    <t>LIM-1.D.2</t>
  </si>
  <si>
    <t>Lesson 1.6</t>
  </si>
  <si>
    <t>LIM-1.E</t>
  </si>
  <si>
    <t>LIM-1.E.1</t>
  </si>
  <si>
    <t>Factoring</t>
  </si>
  <si>
    <t>Lesson 1.7</t>
  </si>
  <si>
    <t>Procedure</t>
  </si>
  <si>
    <t>Lesson 1.8</t>
  </si>
  <si>
    <t>LIM-1.E.2</t>
  </si>
  <si>
    <t>Squeeze</t>
  </si>
  <si>
    <t>Lesson 1.9</t>
  </si>
  <si>
    <t>Lesson 1.10</t>
  </si>
  <si>
    <t>LIM-2.A</t>
  </si>
  <si>
    <t>LIM-2.A.1</t>
  </si>
  <si>
    <t>Types of Disc.</t>
  </si>
  <si>
    <t>Lesson 1.11</t>
  </si>
  <si>
    <t>LIM-2.A.2</t>
  </si>
  <si>
    <t>Cont. at a Point</t>
  </si>
  <si>
    <t>Lesson 1.12</t>
  </si>
  <si>
    <t>LIM-2.B</t>
  </si>
  <si>
    <t>LIM-2.B.1</t>
  </si>
  <si>
    <t>Cont. on an Interval</t>
  </si>
  <si>
    <t>LIM-2.B.2</t>
  </si>
  <si>
    <t>Lesson 1.13</t>
  </si>
  <si>
    <t>LIM-2.C</t>
  </si>
  <si>
    <t>LIM-2.C.1</t>
  </si>
  <si>
    <t>Removing Disc.</t>
  </si>
  <si>
    <t>LIM-2.C.2</t>
  </si>
  <si>
    <t>Lesson 1.14</t>
  </si>
  <si>
    <t>LIM-2.D</t>
  </si>
  <si>
    <t>LIM-2.D.1</t>
  </si>
  <si>
    <t>Vert. Asymptotes</t>
  </si>
  <si>
    <t>LIM-2.D.2</t>
  </si>
  <si>
    <t>Lesson 1.15</t>
  </si>
  <si>
    <t>LIM-2.D.3</t>
  </si>
  <si>
    <t>Horiz. Asymptotes</t>
  </si>
  <si>
    <t>LIM-2.D.4</t>
  </si>
  <si>
    <t>LIM-2.D.5</t>
  </si>
  <si>
    <t>Lesson 1.16</t>
  </si>
  <si>
    <t>FUN-1.A</t>
  </si>
  <si>
    <t>FUN-1.A.1</t>
  </si>
  <si>
    <t>IVT</t>
  </si>
  <si>
    <t>Unit 2 Mastery Score:</t>
  </si>
  <si>
    <t>Lesson 2.1</t>
  </si>
  <si>
    <t>CHA-2.A</t>
  </si>
  <si>
    <t>CHA-2.A.1</t>
  </si>
  <si>
    <t>Instaneous Rate of Change
Defining Derivatives</t>
  </si>
  <si>
    <t>CHA-2.B</t>
  </si>
  <si>
    <t>CHA-2.B.1</t>
  </si>
  <si>
    <t>Lesson 2.2</t>
  </si>
  <si>
    <t>CHA-2.B.2</t>
  </si>
  <si>
    <t>CHA-2.B.3</t>
  </si>
  <si>
    <t>CHA-2.B.4</t>
  </si>
  <si>
    <t>CHA-2.C</t>
  </si>
  <si>
    <t xml:space="preserve">CHA-2.C.1 </t>
  </si>
  <si>
    <t>Lesson 2.3</t>
  </si>
  <si>
    <t>CHA-2.D</t>
  </si>
  <si>
    <t>CHA-2.D.1</t>
  </si>
  <si>
    <t>Est. Der.</t>
  </si>
  <si>
    <t>CHA-2.D.2</t>
  </si>
  <si>
    <t>Lesson 2.4</t>
  </si>
  <si>
    <t>FUN-2.A</t>
  </si>
  <si>
    <t xml:space="preserve">FUN-2.A.1 </t>
  </si>
  <si>
    <t>Def versus Cont</t>
  </si>
  <si>
    <t xml:space="preserve">FUN-2.A.2 </t>
  </si>
  <si>
    <t>Lesson 2.5</t>
  </si>
  <si>
    <t>FUN-3.A</t>
  </si>
  <si>
    <t>FUN-3.A.1</t>
  </si>
  <si>
    <t>Power Rule</t>
  </si>
  <si>
    <t>Lesson 2.6</t>
  </si>
  <si>
    <t xml:space="preserve">FUN-3.A.2 </t>
  </si>
  <si>
    <t>Der. Rules</t>
  </si>
  <si>
    <t xml:space="preserve">FUN-3.A.3 </t>
  </si>
  <si>
    <t>Der &amp; Power</t>
  </si>
  <si>
    <t>Lesson 2.7</t>
  </si>
  <si>
    <t>FUN-3.A.4</t>
  </si>
  <si>
    <t>Trig Der.</t>
  </si>
  <si>
    <t>LIM-3.A</t>
  </si>
  <si>
    <t>LIM-3.A.1</t>
  </si>
  <si>
    <t>Lesson 2.8</t>
  </si>
  <si>
    <t xml:space="preserve">FUN-3.B </t>
  </si>
  <si>
    <t xml:space="preserve">FUN-3.B.1 </t>
  </si>
  <si>
    <t>Product Rule</t>
  </si>
  <si>
    <t>Lesson 2.9</t>
  </si>
  <si>
    <t>FUN-3.B.2</t>
  </si>
  <si>
    <t>Quotient Rule</t>
  </si>
  <si>
    <t>Lesson 2.10</t>
  </si>
  <si>
    <t>FUN-3.B.3</t>
  </si>
  <si>
    <t>Unit 3 Mastery Score:</t>
  </si>
  <si>
    <t>Lesson 3.1</t>
  </si>
  <si>
    <t>FUN-3.C</t>
  </si>
  <si>
    <t>FUN-3.C.1</t>
  </si>
  <si>
    <r>
      <rPr/>
      <t xml:space="preserve">1. </t>
    </r>
    <r>
      <rPr>
        <color rgb="FF1155CC"/>
        <u/>
      </rPr>
      <t xml:space="preserve">Chain Rule
</t>
    </r>
    <r>
      <rPr/>
      <t xml:space="preserve">2. </t>
    </r>
    <r>
      <rPr>
        <color rgb="FF1155CC"/>
        <u/>
      </rPr>
      <t>Practice</t>
    </r>
  </si>
  <si>
    <t>Lesson 3.2</t>
  </si>
  <si>
    <t>FUN-3.D</t>
  </si>
  <si>
    <t>FUN-3.D.1</t>
  </si>
  <si>
    <t>Implicit</t>
  </si>
  <si>
    <t>Lesson 3.3</t>
  </si>
  <si>
    <t>FUN-3.E</t>
  </si>
  <si>
    <t>FUN-3.E.1</t>
  </si>
  <si>
    <t>Inverses</t>
  </si>
  <si>
    <t>Lesson 3.4</t>
  </si>
  <si>
    <t>FUN-3.E.2</t>
  </si>
  <si>
    <t>Trig</t>
  </si>
  <si>
    <t>Lesson 3.5</t>
  </si>
  <si>
    <r>
      <rPr/>
      <t xml:space="preserve">1. </t>
    </r>
    <r>
      <rPr>
        <color rgb="FF1155CC"/>
        <u/>
      </rPr>
      <t xml:space="preserve">Practice 1
</t>
    </r>
    <r>
      <rPr/>
      <t xml:space="preserve">2. </t>
    </r>
    <r>
      <rPr>
        <color rgb="FF1155CC"/>
        <u/>
      </rPr>
      <t>Practice 2</t>
    </r>
  </si>
  <si>
    <t>Lesson 3.6</t>
  </si>
  <si>
    <t>FUN-3.F</t>
  </si>
  <si>
    <t>FUN-3.F.1</t>
  </si>
  <si>
    <t>High Order</t>
  </si>
  <si>
    <t>FUN-3.F.2</t>
  </si>
  <si>
    <t>Unit 4 Mastery Score:</t>
  </si>
  <si>
    <t>Mastery Check</t>
  </si>
  <si>
    <t>Lesson 4.1</t>
  </si>
  <si>
    <t>CHA-3.A</t>
  </si>
  <si>
    <t>CHA-3.A.1</t>
  </si>
  <si>
    <t>Interpreting Meaning</t>
  </si>
  <si>
    <t>CHA-3.A.2</t>
  </si>
  <si>
    <t>CHA-3.A.3</t>
  </si>
  <si>
    <t>Lesson 4.2</t>
  </si>
  <si>
    <t>CHA-3.B</t>
  </si>
  <si>
    <t>CHA-3.B.1</t>
  </si>
  <si>
    <t>Motion</t>
  </si>
  <si>
    <t>Lesson 4.3</t>
  </si>
  <si>
    <t>CHA-3.C</t>
  </si>
  <si>
    <t>CHA-3.C.1</t>
  </si>
  <si>
    <t>Rate of Change</t>
  </si>
  <si>
    <t>Lesson 4.4</t>
  </si>
  <si>
    <t>CHA-3.D</t>
  </si>
  <si>
    <t>CHA-3.D.1</t>
  </si>
  <si>
    <t>Related Rates</t>
  </si>
  <si>
    <t>CHA-3.D.2</t>
  </si>
  <si>
    <t>Lesson 4.5</t>
  </si>
  <si>
    <t>CHA-3.E</t>
  </si>
  <si>
    <t>CHA-3.E.1</t>
  </si>
  <si>
    <t>Related Rates Cont.</t>
  </si>
  <si>
    <t>Lesson 4.6</t>
  </si>
  <si>
    <t>CHA-3.F</t>
  </si>
  <si>
    <t>CHA-3.F.1</t>
  </si>
  <si>
    <t>Approximating</t>
  </si>
  <si>
    <t>CHA-3.F.2</t>
  </si>
  <si>
    <t>Lesson 4.7</t>
  </si>
  <si>
    <t>LIM-4.A</t>
  </si>
  <si>
    <t>LIM-4.A.1</t>
  </si>
  <si>
    <t>L'Hospital</t>
  </si>
  <si>
    <t>LIM-4.A.2</t>
  </si>
  <si>
    <t>Unit 5 Mastery Score:</t>
  </si>
  <si>
    <t>Lesson 5.1</t>
  </si>
  <si>
    <t>FUN-1.B</t>
  </si>
  <si>
    <t>FUN-1.B.1</t>
  </si>
  <si>
    <t>Mean Value</t>
  </si>
  <si>
    <t>Lesson 5.2</t>
  </si>
  <si>
    <t>FUN-1.C</t>
  </si>
  <si>
    <t>FUN-1.C.1</t>
  </si>
  <si>
    <t>Extrema</t>
  </si>
  <si>
    <t>FUN-1.C.2</t>
  </si>
  <si>
    <t>FUN-1.C.3</t>
  </si>
  <si>
    <t>Lesson 5.3</t>
  </si>
  <si>
    <t>FUN-4.A</t>
  </si>
  <si>
    <t>FUN-4.A.1</t>
  </si>
  <si>
    <t>Increasing/ Decreasing</t>
  </si>
  <si>
    <t>Lesson 5.4</t>
  </si>
  <si>
    <t>FUN-4.A.2</t>
  </si>
  <si>
    <t>1st Der. Test</t>
  </si>
  <si>
    <t>Lesson 5.5</t>
  </si>
  <si>
    <t>FUN-4.A.3</t>
  </si>
  <si>
    <t>Canadidate Test</t>
  </si>
  <si>
    <t>Lesson 5.6</t>
  </si>
  <si>
    <t>FUN-4.A.4</t>
  </si>
  <si>
    <t>Concavity</t>
  </si>
  <si>
    <t>FUN-4.A.5</t>
  </si>
  <si>
    <t>FUN-4.A.6</t>
  </si>
  <si>
    <t>Inflection Points</t>
  </si>
  <si>
    <t>Lesson 5.7</t>
  </si>
  <si>
    <t>FUN-4.A.7</t>
  </si>
  <si>
    <t>2nd Der. Test</t>
  </si>
  <si>
    <t>FUN-4.A.8</t>
  </si>
  <si>
    <t>Lesson 5.8</t>
  </si>
  <si>
    <t>FUN-4.A.9</t>
  </si>
  <si>
    <t>Sketching</t>
  </si>
  <si>
    <t>FUN-4.A.10</t>
  </si>
  <si>
    <t>Lesson 5.9</t>
  </si>
  <si>
    <t>FUN-4.A.11</t>
  </si>
  <si>
    <t>Connecting Derivatives</t>
  </si>
  <si>
    <t>Lesson 5.10</t>
  </si>
  <si>
    <t>FUN-4.B</t>
  </si>
  <si>
    <t>FUN-4.B.1</t>
  </si>
  <si>
    <t>Optimization</t>
  </si>
  <si>
    <t>Lesson 5.11</t>
  </si>
  <si>
    <t>FUN-4.C</t>
  </si>
  <si>
    <t>FUN-4.C.1</t>
  </si>
  <si>
    <t>Lesson 5.12</t>
  </si>
  <si>
    <t>FUN-4.D</t>
  </si>
  <si>
    <t>FUN-4.D.1</t>
  </si>
  <si>
    <t>Implicit Behaviours</t>
  </si>
  <si>
    <t>FUN-4.E</t>
  </si>
  <si>
    <t>FUN-4.E.1</t>
  </si>
  <si>
    <t>FUN-4.E.2</t>
  </si>
  <si>
    <t>Unit 6 Mastery Score:</t>
  </si>
  <si>
    <t>Lesson 6.1</t>
  </si>
  <si>
    <t>CHA-4.A</t>
  </si>
  <si>
    <t>CHA-4.A.1</t>
  </si>
  <si>
    <t>Accumelation of Change</t>
  </si>
  <si>
    <t>CHA-4.A.2</t>
  </si>
  <si>
    <t>CHA-4.A.3</t>
  </si>
  <si>
    <t>CHA-4.A.4</t>
  </si>
  <si>
    <t>Lesson 6.2</t>
  </si>
  <si>
    <t>LIM-5.A</t>
  </si>
  <si>
    <t>LIM-5.A.1</t>
  </si>
  <si>
    <t xml:space="preserve">Approximating Riemann Sums </t>
  </si>
  <si>
    <t>LIM-5.A.2</t>
  </si>
  <si>
    <t>LIM-5.A.3</t>
  </si>
  <si>
    <t>LIM-5.A.4</t>
  </si>
  <si>
    <t>Lesson 6.3</t>
  </si>
  <si>
    <t>LIM-5.B</t>
  </si>
  <si>
    <t>LIM-5.B.1</t>
  </si>
  <si>
    <t>Definite Integrals</t>
  </si>
  <si>
    <t>LIM-5.B.2</t>
  </si>
  <si>
    <t>LIM-5.C</t>
  </si>
  <si>
    <t>LIM-5.C.1</t>
  </si>
  <si>
    <t>LIM-5.C.2</t>
  </si>
  <si>
    <t>Lesson 6.4</t>
  </si>
  <si>
    <t>FUN-5.A</t>
  </si>
  <si>
    <t>FUN-5.A.1</t>
  </si>
  <si>
    <t>Fundamental Theorem of Calculus</t>
  </si>
  <si>
    <t>FUN-5.A.2</t>
  </si>
  <si>
    <t>Lesson 6.5</t>
  </si>
  <si>
    <t>FUN-5.A.3</t>
  </si>
  <si>
    <t>Integral Behaviour</t>
  </si>
  <si>
    <t>Lesson 6.6</t>
  </si>
  <si>
    <t>FUN-6.A</t>
  </si>
  <si>
    <t>FUN-6.A.1</t>
  </si>
  <si>
    <t>Properties of Definite Integrals</t>
  </si>
  <si>
    <t>FUN-6.A.2</t>
  </si>
  <si>
    <t>FUN-6.A.3</t>
  </si>
  <si>
    <t>Lesson 6.7</t>
  </si>
  <si>
    <t xml:space="preserve">FUN-6.B </t>
  </si>
  <si>
    <t>FUN-6.B.1</t>
  </si>
  <si>
    <t>FTC &amp; Integrals</t>
  </si>
  <si>
    <t>FUN-6.B.2</t>
  </si>
  <si>
    <t>FUN-6.B.3</t>
  </si>
  <si>
    <t>Lesson 6.8</t>
  </si>
  <si>
    <t>FUN-6.C</t>
  </si>
  <si>
    <t>FUN-6.C.1</t>
  </si>
  <si>
    <r>
      <rPr/>
      <t xml:space="preserve">1. </t>
    </r>
    <r>
      <rPr>
        <color rgb="FF1155CC"/>
        <u/>
      </rPr>
      <t xml:space="preserve">Reverse Power Rule
</t>
    </r>
    <r>
      <rPr/>
      <t xml:space="preserve">2. </t>
    </r>
    <r>
      <rPr>
        <color rgb="FF1155CC"/>
        <u/>
      </rPr>
      <t xml:space="preserve">Common Integrals
</t>
    </r>
    <r>
      <rPr/>
      <t xml:space="preserve">3. </t>
    </r>
    <r>
      <rPr>
        <color rgb="FF1155CC"/>
        <u/>
      </rPr>
      <t>Practice</t>
    </r>
  </si>
  <si>
    <t>FUN-6.C.2</t>
  </si>
  <si>
    <t>FUN-6.C.3</t>
  </si>
  <si>
    <t>Lesson 6.9</t>
  </si>
  <si>
    <t>FUN-6.D</t>
  </si>
  <si>
    <t>FUN-6.D.1</t>
  </si>
  <si>
    <t>U-Sub</t>
  </si>
  <si>
    <t>FUN-6.D.2</t>
  </si>
  <si>
    <t>Lesson 6.10</t>
  </si>
  <si>
    <t xml:space="preserve">FUN-6.D.3 </t>
  </si>
  <si>
    <t xml:space="preserve">CTS </t>
  </si>
  <si>
    <t>Unit 7 Mastery Score:</t>
  </si>
  <si>
    <t>Lesson 7.1</t>
  </si>
  <si>
    <t>FUN-7.A</t>
  </si>
  <si>
    <t>FUN-7.A.1</t>
  </si>
  <si>
    <t>Modeling</t>
  </si>
  <si>
    <t>Lesson 7.2</t>
  </si>
  <si>
    <t>FUN-7.B</t>
  </si>
  <si>
    <t>FUN-7.B.1</t>
  </si>
  <si>
    <t>Verifying Solutions</t>
  </si>
  <si>
    <t>FUN-7.B.2</t>
  </si>
  <si>
    <t>Lesson 7.3</t>
  </si>
  <si>
    <t>FUN-7.C</t>
  </si>
  <si>
    <t>FUN-7.C.1</t>
  </si>
  <si>
    <t>Slope Fields</t>
  </si>
  <si>
    <t>FUN-7.C.2</t>
  </si>
  <si>
    <t>Reasoning with Slope Fields</t>
  </si>
  <si>
    <t>Lesson 7.4</t>
  </si>
  <si>
    <t>FUN-7.C.3</t>
  </si>
  <si>
    <t>Lesson 7.6</t>
  </si>
  <si>
    <t>FUN-7.D</t>
  </si>
  <si>
    <t>FUN-7.D.1</t>
  </si>
  <si>
    <t>Seperation of variables</t>
  </si>
  <si>
    <t>FUN-7.D.2</t>
  </si>
  <si>
    <t>Lesson 7.7</t>
  </si>
  <si>
    <t>FUN-7.E</t>
  </si>
  <si>
    <t>FUN-7.E.1</t>
  </si>
  <si>
    <t>Particular Solutions</t>
  </si>
  <si>
    <t>FUN-7.E.2</t>
  </si>
  <si>
    <t>FUN-7.E.3</t>
  </si>
  <si>
    <t>Lesson 7.8</t>
  </si>
  <si>
    <t>FUN-7.F</t>
  </si>
  <si>
    <t>FUN-7.F.1</t>
  </si>
  <si>
    <t>Expotential Models</t>
  </si>
  <si>
    <t>FUN-7.F.2</t>
  </si>
  <si>
    <t>FUN-7.G</t>
  </si>
  <si>
    <t>FUN-7.G.1</t>
  </si>
  <si>
    <t>Unit 8 Mastery Score:</t>
  </si>
  <si>
    <t>Lesson 8.1</t>
  </si>
  <si>
    <t>CHA-4.B</t>
  </si>
  <si>
    <t>CHA-4.B.1</t>
  </si>
  <si>
    <t>Average Value</t>
  </si>
  <si>
    <t>Lesson 8.2</t>
  </si>
  <si>
    <t>CHA-4.C</t>
  </si>
  <si>
    <t>CHA-4.C.1</t>
  </si>
  <si>
    <t>Lesson 8.3</t>
  </si>
  <si>
    <t>CHA-4.D</t>
  </si>
  <si>
    <t>CHA-4.D.1</t>
  </si>
  <si>
    <t>Context</t>
  </si>
  <si>
    <t>CHA-4.D.2</t>
  </si>
  <si>
    <t>CHA-4.E</t>
  </si>
  <si>
    <t>CHA-4.E.1</t>
  </si>
  <si>
    <t>Lesson 8.4</t>
  </si>
  <si>
    <t>CHA-5.A</t>
  </si>
  <si>
    <t>CHA-5.A.1</t>
  </si>
  <si>
    <t>Area Between Curves</t>
  </si>
  <si>
    <t>Lesson 8.5</t>
  </si>
  <si>
    <t>CHA-5.A.2</t>
  </si>
  <si>
    <t>Area Between Curves Part 2</t>
  </si>
  <si>
    <t>Lesson 8.6</t>
  </si>
  <si>
    <t>CHA-5.A.3</t>
  </si>
  <si>
    <t>Area Between Curves Part 3</t>
  </si>
  <si>
    <t>Lesson 8.7</t>
  </si>
  <si>
    <t>CHA-5.B</t>
  </si>
  <si>
    <t>CHA-5.B.1</t>
  </si>
  <si>
    <t>Volume of Squares and Triangles</t>
  </si>
  <si>
    <t>Lesson 8.8</t>
  </si>
  <si>
    <t>CHA-5.B.2</t>
  </si>
  <si>
    <t>Volume of Semicircles</t>
  </si>
  <si>
    <t>CHA-5.B.3</t>
  </si>
  <si>
    <t>Lesson 8.9</t>
  </si>
  <si>
    <t>CHA-5.C</t>
  </si>
  <si>
    <t>CHA-5.C.1</t>
  </si>
  <si>
    <t>Volume by Rotation</t>
  </si>
  <si>
    <t>Lesson 8.10</t>
  </si>
  <si>
    <t>CHA-5.C.2</t>
  </si>
  <si>
    <t>Disc Method</t>
  </si>
  <si>
    <t>Lesson 8.11</t>
  </si>
  <si>
    <t>CHA-5.C.3</t>
  </si>
  <si>
    <t>X and Y Rotations</t>
  </si>
  <si>
    <t>Lesson 8.12</t>
  </si>
  <si>
    <t>CHA-5.C.4</t>
  </si>
  <si>
    <t>Washer Method</t>
  </si>
  <si>
    <t>Unit 1!</t>
  </si>
  <si>
    <t>Unit 2!</t>
  </si>
  <si>
    <t>Unit 3!</t>
  </si>
  <si>
    <t>Unit 4!</t>
  </si>
  <si>
    <t>Unit 5!</t>
  </si>
  <si>
    <t>Unit 6!</t>
  </si>
  <si>
    <t>Unit 7!</t>
  </si>
  <si>
    <t>Unit 8!</t>
  </si>
  <si>
    <t>E</t>
  </si>
  <si>
    <t>:G</t>
  </si>
  <si>
    <t>I</t>
  </si>
  <si>
    <t>:K</t>
  </si>
  <si>
    <t>M</t>
  </si>
  <si>
    <t>:O</t>
  </si>
  <si>
    <t>Q</t>
  </si>
  <si>
    <t>:Q</t>
  </si>
  <si>
    <t>:S</t>
  </si>
  <si>
    <t>S</t>
  </si>
  <si>
    <t>:T</t>
  </si>
  <si>
    <t>U</t>
  </si>
  <si>
    <t>:W</t>
  </si>
  <si>
    <t>V</t>
  </si>
  <si>
    <t>:X</t>
  </si>
  <si>
    <t>Y</t>
  </si>
  <si>
    <t>:AA</t>
  </si>
  <si>
    <t>Z</t>
  </si>
  <si>
    <t>:AB</t>
  </si>
  <si>
    <t>AC</t>
  </si>
  <si>
    <t>:AE</t>
  </si>
  <si>
    <t>AD</t>
  </si>
  <si>
    <t>:AF</t>
  </si>
  <si>
    <t>AG</t>
  </si>
  <si>
    <t>:AI</t>
  </si>
  <si>
    <t>AH</t>
  </si>
  <si>
    <t>:AJ</t>
  </si>
  <si>
    <t>AK</t>
  </si>
  <si>
    <t>:AM</t>
  </si>
  <si>
    <t>AL</t>
  </si>
  <si>
    <t>:AN</t>
  </si>
  <si>
    <t>AP</t>
  </si>
  <si>
    <t>:AR</t>
  </si>
  <si>
    <t>AT</t>
  </si>
  <si>
    <t>:AV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</si>
</sst>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sz val="12.0"/>
      <color rgb="FFFFFFFF"/>
      <name val="Arial"/>
      <scheme val="minor"/>
    </font>
    <font>
      <sz val="12.0"/>
      <color rgb="FF000000"/>
      <name val="Arial"/>
      <scheme val="minor"/>
    </font>
    <font/>
    <font>
      <sz val="12.0"/>
      <color theme="0"/>
      <name val="Arial"/>
      <scheme val="minor"/>
    </font>
    <font>
      <sz val="12.0"/>
      <color theme="1"/>
      <name val="Arial"/>
      <scheme val="minor"/>
    </font>
    <font>
      <color theme="1"/>
      <name val="Arial"/>
      <scheme val="minor"/>
    </font>
    <font>
      <color theme="0"/>
      <name val="Arial"/>
      <scheme val="minor"/>
    </font>
    <font>
      <sz val="10.0"/>
      <color theme="1"/>
      <name val="Arial"/>
      <scheme val="minor"/>
    </font>
    <font>
      <u/>
      <color rgb="FF0000FF"/>
    </font>
    <font>
      <u/>
      <color rgb="FF0000FF"/>
    </font>
    <font>
      <u/>
      <color rgb="FF0000FF"/>
    </font>
    <font>
      <sz val="11.0"/>
      <color rgb="FF000000"/>
      <name val="Arial"/>
      <scheme val="minor"/>
    </font>
    <font>
      <u/>
      <color rgb="FF1155CC"/>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sz val="11.0"/>
      <color rgb="FF000000"/>
      <name val="Inconsolata"/>
    </font>
  </fonts>
  <fills count="14">
    <fill>
      <patternFill patternType="none"/>
    </fill>
    <fill>
      <patternFill patternType="lightGray"/>
    </fill>
    <fill>
      <patternFill patternType="solid">
        <fgColor rgb="FF8E7CC3"/>
        <bgColor rgb="FF8E7CC3"/>
      </patternFill>
    </fill>
    <fill>
      <patternFill patternType="solid">
        <fgColor rgb="FFFFFFFF"/>
        <bgColor rgb="FFFFFFFF"/>
      </patternFill>
    </fill>
    <fill>
      <patternFill patternType="solid">
        <fgColor theme="1"/>
        <bgColor theme="1"/>
      </patternFill>
    </fill>
    <fill>
      <patternFill patternType="solid">
        <fgColor rgb="FF000000"/>
        <bgColor rgb="FF000000"/>
      </patternFill>
    </fill>
    <fill>
      <patternFill patternType="solid">
        <fgColor rgb="FF0B5394"/>
        <bgColor rgb="FF0B5394"/>
      </patternFill>
    </fill>
    <fill>
      <patternFill patternType="solid">
        <fgColor rgb="FFA4C2F4"/>
        <bgColor rgb="FFA4C2F4"/>
      </patternFill>
    </fill>
    <fill>
      <patternFill patternType="solid">
        <fgColor rgb="FFEFEFEF"/>
        <bgColor rgb="FFEFEFEF"/>
      </patternFill>
    </fill>
    <fill>
      <patternFill patternType="solid">
        <fgColor rgb="FFC9DAF8"/>
        <bgColor rgb="FFC9DAF8"/>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center"/>
    </xf>
    <xf borderId="2" fillId="2" fontId="2" numFmtId="0" xfId="0" applyAlignment="1" applyBorder="1" applyFont="1">
      <alignment horizontal="right" readingOrder="0" vertical="center"/>
    </xf>
    <xf borderId="3" fillId="0" fontId="3" numFmtId="0" xfId="0" applyBorder="1" applyFont="1"/>
    <xf borderId="1" fillId="2" fontId="4" numFmtId="0" xfId="0" applyAlignment="1" applyBorder="1" applyFont="1">
      <alignment horizontal="right" readingOrder="0" vertical="center"/>
    </xf>
    <xf borderId="1" fillId="2" fontId="2" numFmtId="0" xfId="0" applyAlignment="1" applyBorder="1" applyFont="1">
      <alignment horizontal="right" vertical="center"/>
    </xf>
    <xf borderId="2" fillId="2" fontId="2" numFmtId="0" xfId="0" applyAlignment="1" applyBorder="1" applyFont="1">
      <alignment horizontal="center" readingOrder="0" vertical="center"/>
    </xf>
    <xf borderId="3" fillId="2" fontId="2" numFmtId="0" xfId="0" applyAlignment="1" applyBorder="1" applyFont="1">
      <alignment horizontal="center" readingOrder="0" vertical="center"/>
    </xf>
    <xf borderId="1" fillId="2" fontId="5" numFmtId="9" xfId="0" applyAlignment="1" applyBorder="1" applyFont="1" applyNumberFormat="1">
      <alignment horizontal="right" readingOrder="0" shrinkToFit="0" vertical="center" wrapText="1"/>
    </xf>
    <xf borderId="1" fillId="2" fontId="5" numFmtId="9" xfId="0" applyAlignment="1" applyBorder="1" applyFont="1" applyNumberFormat="1">
      <alignment horizontal="right" shrinkToFit="0" vertical="center" wrapText="1"/>
    </xf>
    <xf borderId="0" fillId="3" fontId="2" numFmtId="9" xfId="0" applyAlignment="1" applyFill="1" applyFont="1" applyNumberFormat="1">
      <alignment horizontal="center" vertical="center"/>
    </xf>
    <xf borderId="1" fillId="4" fontId="6" numFmtId="0" xfId="0" applyAlignment="1" applyBorder="1" applyFill="1" applyFont="1">
      <alignment readingOrder="0"/>
    </xf>
    <xf borderId="1" fillId="4" fontId="6" numFmtId="0" xfId="0" applyBorder="1" applyFont="1"/>
    <xf borderId="1" fillId="2" fontId="1" numFmtId="0" xfId="0" applyBorder="1" applyFont="1"/>
    <xf borderId="1" fillId="2" fontId="1" numFmtId="0" xfId="0" applyAlignment="1" applyBorder="1" applyFont="1">
      <alignment horizontal="center" readingOrder="0" vertical="center"/>
    </xf>
    <xf borderId="1" fillId="0" fontId="6" numFmtId="0" xfId="0" applyBorder="1" applyFont="1"/>
    <xf borderId="1" fillId="0" fontId="5" numFmtId="9" xfId="0" applyAlignment="1" applyBorder="1" applyFont="1" applyNumberFormat="1">
      <alignment horizontal="center" vertical="center"/>
    </xf>
    <xf borderId="1" fillId="0" fontId="5" numFmtId="9" xfId="0" applyAlignment="1" applyBorder="1" applyFont="1" applyNumberFormat="1">
      <alignment horizontal="center" readingOrder="0" vertical="center"/>
    </xf>
    <xf borderId="2" fillId="2" fontId="1" numFmtId="0" xfId="0" applyAlignment="1" applyBorder="1" applyFont="1">
      <alignment horizontal="right" readingOrder="0" vertical="center"/>
    </xf>
    <xf borderId="2" fillId="2" fontId="5" numFmtId="9" xfId="0" applyAlignment="1" applyBorder="1" applyFont="1" applyNumberFormat="1">
      <alignment horizontal="right" vertical="center"/>
    </xf>
    <xf borderId="4" fillId="0" fontId="3" numFmtId="0" xfId="0" applyBorder="1" applyFont="1"/>
    <xf borderId="1" fillId="2" fontId="2" numFmtId="9" xfId="0" applyAlignment="1" applyBorder="1" applyFont="1" applyNumberFormat="1">
      <alignment horizontal="right" readingOrder="0" vertical="center"/>
    </xf>
    <xf borderId="1" fillId="2" fontId="5" numFmtId="2" xfId="0" applyAlignment="1" applyBorder="1" applyFont="1" applyNumberFormat="1">
      <alignment horizontal="right" readingOrder="0" vertical="center"/>
    </xf>
    <xf borderId="1" fillId="5" fontId="6" numFmtId="0" xfId="0" applyBorder="1" applyFill="1" applyFont="1"/>
    <xf borderId="1" fillId="2" fontId="1"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1" fillId="4" fontId="1" numFmtId="0" xfId="0" applyAlignment="1" applyBorder="1" applyFont="1">
      <alignment shrinkToFit="0" wrapText="1"/>
    </xf>
    <xf borderId="5" fillId="6" fontId="7" numFmtId="0" xfId="0" applyAlignment="1" applyBorder="1" applyFill="1" applyFont="1">
      <alignment horizontal="center" readingOrder="0" vertical="center"/>
    </xf>
    <xf borderId="5" fillId="7" fontId="6" numFmtId="0" xfId="0" applyAlignment="1" applyBorder="1" applyFill="1" applyFont="1">
      <alignment horizontal="center" readingOrder="0" vertical="center"/>
    </xf>
    <xf borderId="1" fillId="7" fontId="6" numFmtId="0" xfId="0" applyAlignment="1" applyBorder="1" applyFont="1">
      <alignment horizontal="center" readingOrder="0" vertical="center"/>
    </xf>
    <xf borderId="1" fillId="4" fontId="6" numFmtId="0" xfId="0" applyAlignment="1" applyBorder="1" applyFont="1">
      <alignment horizontal="center" vertical="center"/>
    </xf>
    <xf borderId="5" fillId="0" fontId="8" numFmtId="9" xfId="0" applyAlignment="1" applyBorder="1" applyFont="1" applyNumberFormat="1">
      <alignment horizontal="center" readingOrder="0" vertical="center"/>
    </xf>
    <xf borderId="5" fillId="8" fontId="9" numFmtId="0" xfId="0" applyAlignment="1" applyBorder="1" applyFill="1" applyFont="1">
      <alignment horizontal="center" readingOrder="0" vertical="center"/>
    </xf>
    <xf borderId="5" fillId="4" fontId="6" numFmtId="0" xfId="0" applyAlignment="1" applyBorder="1" applyFont="1">
      <alignment horizontal="center" vertical="center"/>
    </xf>
    <xf borderId="6" fillId="0" fontId="3" numFmtId="0" xfId="0" applyBorder="1" applyFont="1"/>
    <xf borderId="1" fillId="9" fontId="6" numFmtId="0" xfId="0" applyAlignment="1" applyBorder="1" applyFill="1" applyFont="1">
      <alignment horizontal="center" readingOrder="0" vertical="center"/>
    </xf>
    <xf borderId="6" fillId="10" fontId="3" numFmtId="0" xfId="0" applyBorder="1" applyFill="1" applyFont="1"/>
    <xf borderId="7" fillId="0" fontId="3" numFmtId="0" xfId="0" applyBorder="1" applyFont="1"/>
    <xf borderId="7" fillId="3" fontId="3" numFmtId="0" xfId="0" applyBorder="1" applyFont="1"/>
    <xf borderId="1" fillId="11" fontId="6" numFmtId="0" xfId="0" applyAlignment="1" applyBorder="1" applyFill="1" applyFont="1">
      <alignment horizontal="center" readingOrder="0" vertical="center"/>
    </xf>
    <xf borderId="1" fillId="3" fontId="0" numFmtId="9" xfId="0" applyAlignment="1" applyBorder="1" applyFont="1" applyNumberFormat="1">
      <alignment horizontal="center" vertical="center"/>
    </xf>
    <xf borderId="1" fillId="0" fontId="8" numFmtId="9" xfId="0" applyAlignment="1" applyBorder="1" applyFont="1" applyNumberFormat="1">
      <alignment horizontal="center" readingOrder="0" vertical="center"/>
    </xf>
    <xf borderId="1" fillId="12" fontId="6" numFmtId="0" xfId="0" applyAlignment="1" applyBorder="1" applyFill="1" applyFont="1">
      <alignment horizontal="center" readingOrder="0" vertical="center"/>
    </xf>
    <xf borderId="5" fillId="6" fontId="7" numFmtId="0" xfId="0" applyAlignment="1" applyBorder="1" applyFont="1">
      <alignment horizontal="center" readingOrder="0" vertical="center"/>
    </xf>
    <xf borderId="5" fillId="11" fontId="6" numFmtId="0" xfId="0" applyAlignment="1" applyBorder="1" applyFont="1">
      <alignment horizontal="center" readingOrder="0" vertical="center"/>
    </xf>
    <xf borderId="8" fillId="3" fontId="0" numFmtId="9" xfId="0" applyAlignment="1" applyBorder="1" applyFont="1" applyNumberFormat="1">
      <alignment horizontal="center" vertical="center"/>
    </xf>
    <xf borderId="1" fillId="8" fontId="6" numFmtId="0" xfId="0" applyAlignment="1" applyBorder="1" applyFont="1">
      <alignment horizontal="center" readingOrder="0" vertical="center"/>
    </xf>
    <xf borderId="8" fillId="0" fontId="3" numFmtId="0" xfId="0" applyBorder="1" applyFont="1"/>
    <xf borderId="6" fillId="3" fontId="3" numFmtId="0" xfId="0" applyBorder="1" applyFont="1"/>
    <xf borderId="1" fillId="6" fontId="7" numFmtId="0" xfId="0" applyAlignment="1" applyBorder="1" applyFont="1">
      <alignment horizontal="center" readingOrder="0" vertical="center"/>
    </xf>
    <xf borderId="9" fillId="0" fontId="3" numFmtId="0" xfId="0" applyBorder="1" applyFont="1"/>
    <xf borderId="1" fillId="8" fontId="10" numFmtId="0" xfId="0" applyAlignment="1" applyBorder="1" applyFont="1">
      <alignment horizontal="center" readingOrder="0" vertical="center"/>
    </xf>
    <xf borderId="1" fillId="13" fontId="6" numFmtId="0" xfId="0" applyAlignment="1" applyBorder="1" applyFill="1" applyFont="1">
      <alignment horizontal="center" readingOrder="0" vertical="center"/>
    </xf>
    <xf borderId="7" fillId="10" fontId="3" numFmtId="0" xfId="0" applyBorder="1" applyFont="1"/>
    <xf borderId="1" fillId="8" fontId="6" numFmtId="0" xfId="0" applyAlignment="1" applyBorder="1" applyFont="1">
      <alignment horizontal="center" vertical="center"/>
    </xf>
    <xf borderId="5" fillId="8" fontId="11" numFmtId="0" xfId="0" applyAlignment="1" applyBorder="1" applyFont="1">
      <alignment horizontal="center" readingOrder="0" shrinkToFit="0" vertical="center" wrapText="1"/>
    </xf>
    <xf borderId="1" fillId="2" fontId="6" numFmtId="0" xfId="0" applyBorder="1" applyFont="1"/>
    <xf borderId="2" fillId="5" fontId="6" numFmtId="0" xfId="0" applyBorder="1" applyFont="1"/>
    <xf borderId="1" fillId="7" fontId="6" numFmtId="0" xfId="0" applyAlignment="1" applyBorder="1" applyFont="1">
      <alignment readingOrder="0"/>
    </xf>
    <xf borderId="5" fillId="4" fontId="6" numFmtId="0" xfId="0" applyBorder="1" applyFont="1"/>
    <xf borderId="1" fillId="3" fontId="12" numFmtId="9" xfId="0" applyAlignment="1" applyBorder="1" applyFont="1" applyNumberFormat="1">
      <alignment horizontal="center" vertical="center"/>
    </xf>
    <xf borderId="1" fillId="0" fontId="6" numFmtId="9" xfId="0" applyAlignment="1" applyBorder="1" applyFont="1" applyNumberFormat="1">
      <alignment horizontal="center" readingOrder="0" vertical="center"/>
    </xf>
    <xf borderId="5" fillId="8" fontId="13" numFmtId="0" xfId="0" applyAlignment="1" applyBorder="1" applyFont="1">
      <alignment horizontal="center" readingOrder="0" shrinkToFit="0" vertical="center" wrapText="1"/>
    </xf>
    <xf borderId="1" fillId="11" fontId="6" numFmtId="0" xfId="0" applyAlignment="1" applyBorder="1" applyFont="1">
      <alignment readingOrder="0"/>
    </xf>
    <xf borderId="5" fillId="3" fontId="12" numFmtId="9" xfId="0" applyAlignment="1" applyBorder="1" applyFont="1" applyNumberFormat="1">
      <alignment horizontal="center" vertical="center"/>
    </xf>
    <xf borderId="5" fillId="0" fontId="6" numFmtId="9" xfId="0" applyAlignment="1" applyBorder="1" applyFont="1" applyNumberFormat="1">
      <alignment horizontal="center" readingOrder="0" vertical="center"/>
    </xf>
    <xf borderId="1" fillId="8" fontId="6" numFmtId="0" xfId="0" applyAlignment="1" applyBorder="1" applyFont="1">
      <alignment readingOrder="0"/>
    </xf>
    <xf borderId="1" fillId="8" fontId="14" numFmtId="0" xfId="0" applyAlignment="1" applyBorder="1" applyFont="1">
      <alignment horizontal="center" readingOrder="0" shrinkToFit="0" vertical="center" wrapText="1"/>
    </xf>
    <xf borderId="1" fillId="8" fontId="6" numFmtId="0" xfId="0" applyAlignment="1" applyBorder="1" applyFont="1">
      <alignment horizontal="center" shrinkToFit="0" vertical="center" wrapText="1"/>
    </xf>
    <xf borderId="1" fillId="9" fontId="6" numFmtId="0" xfId="0" applyAlignment="1" applyBorder="1" applyFont="1">
      <alignment readingOrder="0"/>
    </xf>
    <xf borderId="1" fillId="2" fontId="5" numFmtId="9" xfId="0" applyAlignment="1" applyBorder="1" applyFont="1" applyNumberFormat="1">
      <alignment horizontal="right" readingOrder="0" vertical="center"/>
    </xf>
    <xf borderId="1" fillId="0" fontId="15" numFmtId="0" xfId="0" applyAlignment="1" applyBorder="1" applyFont="1">
      <alignment horizontal="center" readingOrder="0" vertical="center"/>
    </xf>
    <xf borderId="5" fillId="3" fontId="0" numFmtId="9" xfId="0" applyAlignment="1" applyBorder="1" applyFont="1" applyNumberFormat="1">
      <alignment horizontal="center" vertical="center"/>
    </xf>
    <xf borderId="1" fillId="7" fontId="6" numFmtId="0" xfId="0" applyBorder="1" applyFont="1"/>
    <xf borderId="5" fillId="0" fontId="16" numFmtId="0" xfId="0" applyAlignment="1" applyBorder="1" applyFont="1">
      <alignment horizontal="center" readingOrder="0" vertical="center"/>
    </xf>
    <xf borderId="1" fillId="2" fontId="1" numFmtId="0" xfId="0" applyAlignment="1" applyBorder="1" applyFont="1">
      <alignment readingOrder="0" shrinkToFit="0" wrapText="1"/>
    </xf>
    <xf borderId="1" fillId="4" fontId="6" numFmtId="0" xfId="0" applyAlignment="1" applyBorder="1" applyFont="1">
      <alignment horizontal="center" shrinkToFit="0" vertical="center" wrapText="1"/>
    </xf>
    <xf borderId="6" fillId="8" fontId="17" numFmtId="0" xfId="0" applyAlignment="1" applyBorder="1" applyFont="1">
      <alignment horizontal="center" readingOrder="0" vertical="center"/>
    </xf>
    <xf borderId="6" fillId="4" fontId="6" numFmtId="0" xfId="0" applyAlignment="1" applyBorder="1" applyFont="1">
      <alignment horizontal="center" vertical="center"/>
    </xf>
    <xf borderId="7" fillId="8" fontId="18" numFmtId="0" xfId="0" applyAlignment="1" applyBorder="1" applyFont="1">
      <alignment horizontal="center" readingOrder="0" vertical="center"/>
    </xf>
    <xf borderId="7" fillId="8" fontId="19" numFmtId="0" xfId="0" applyAlignment="1" applyBorder="1" applyFont="1">
      <alignment horizontal="center" readingOrder="0" shrinkToFit="0" vertical="center" wrapText="1"/>
    </xf>
    <xf borderId="5" fillId="7" fontId="6" numFmtId="0" xfId="0" applyAlignment="1" applyBorder="1" applyFont="1">
      <alignment readingOrder="0"/>
    </xf>
    <xf borderId="5" fillId="11" fontId="6" numFmtId="0" xfId="0" applyAlignment="1" applyBorder="1" applyFont="1">
      <alignment readingOrder="0"/>
    </xf>
    <xf borderId="7" fillId="5"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1"/>
    </xf>
    <xf borderId="6" fillId="4" fontId="6" numFmtId="0" xfId="0" applyAlignment="1" applyBorder="1" applyFont="1">
      <alignment horizontal="center" shrinkToFit="0" vertical="center" wrapText="1"/>
    </xf>
    <xf borderId="6" fillId="8" fontId="20" numFmtId="0" xfId="0" applyAlignment="1" applyBorder="1" applyFont="1">
      <alignment horizontal="center" readingOrder="0" shrinkToFit="0" vertical="center" wrapText="1"/>
    </xf>
    <xf borderId="1" fillId="10" fontId="21" numFmtId="0" xfId="0" applyAlignment="1" applyBorder="1" applyFont="1">
      <alignment horizontal="center" readingOrder="0" vertical="center"/>
    </xf>
    <xf borderId="5" fillId="10" fontId="22" numFmtId="0" xfId="0" applyAlignment="1" applyBorder="1" applyFont="1">
      <alignment horizontal="center" readingOrder="0" vertical="center"/>
    </xf>
    <xf borderId="5" fillId="10" fontId="23" numFmtId="0" xfId="0" applyAlignment="1" applyBorder="1" applyFont="1">
      <alignment horizontal="center" readingOrder="0" shrinkToFit="0" vertical="center" wrapText="1"/>
    </xf>
    <xf borderId="6" fillId="10" fontId="24" numFmtId="0" xfId="0" applyAlignment="1" applyBorder="1" applyFont="1">
      <alignment horizontal="center" readingOrder="0" shrinkToFit="0" vertical="center" wrapText="1"/>
    </xf>
    <xf borderId="7" fillId="10" fontId="25" numFmtId="0" xfId="0" applyAlignment="1" applyBorder="1" applyFont="1">
      <alignment horizontal="center" readingOrder="0" shrinkToFit="0" vertical="center" wrapText="1"/>
    </xf>
    <xf borderId="0" fillId="0" fontId="6" numFmtId="0" xfId="0" applyFont="1"/>
    <xf borderId="0" fillId="0" fontId="6" numFmtId="0" xfId="0" applyAlignment="1" applyFont="1">
      <alignment readingOrder="0"/>
    </xf>
    <xf borderId="0" fillId="3" fontId="26" numFmtId="0" xfId="0" applyAlignment="1" applyFont="1">
      <alignment horizontal="left" readingOrder="0"/>
    </xf>
    <xf borderId="0" fillId="3" fontId="26" numFmtId="0" xfId="0" applyAlignment="1" applyFont="1">
      <alignment horizontal="lef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Unit Scores</a:t>
            </a:r>
          </a:p>
        </c:rich>
      </c:tx>
      <c:overlay val="0"/>
    </c:title>
    <c:plotArea>
      <c:layout/>
      <c:barChart>
        <c:barDir val="col"/>
        <c:ser>
          <c:idx val="0"/>
          <c:order val="0"/>
          <c:tx>
            <c:strRef>
              <c:f>'Course Totals'!$B$4</c:f>
            </c:strRef>
          </c:tx>
          <c:spPr>
            <a:solidFill>
              <a:srgbClr val="0000FF"/>
            </a:solidFill>
            <a:ln cmpd="sng">
              <a:solidFill>
                <a:schemeClr val="lt1"/>
              </a:solidFill>
            </a:ln>
          </c:spPr>
          <c:cat>
            <c:strRef>
              <c:f>'Course Totals'!$A$5:$A$13</c:f>
            </c:strRef>
          </c:cat>
          <c:val>
            <c:numRef>
              <c:f>'Course Totals'!$B$5:$B$13</c:f>
              <c:numCache/>
            </c:numRef>
          </c:val>
        </c:ser>
        <c:ser>
          <c:idx val="1"/>
          <c:order val="1"/>
          <c:tx>
            <c:strRef>
              <c:f>'Course Totals'!$C$4</c:f>
            </c:strRef>
          </c:tx>
          <c:spPr>
            <a:solidFill>
              <a:schemeClr val="accent2"/>
            </a:solidFill>
            <a:ln cmpd="sng">
              <a:solidFill>
                <a:srgbClr val="000000"/>
              </a:solidFill>
            </a:ln>
          </c:spPr>
          <c:cat>
            <c:strRef>
              <c:f>'Course Totals'!$A$5:$A$13</c:f>
            </c:strRef>
          </c:cat>
          <c:val>
            <c:numRef>
              <c:f>'Course Totals'!$C$5:$C$13</c:f>
              <c:numCache/>
            </c:numRef>
          </c:val>
        </c:ser>
        <c:axId val="375301480"/>
        <c:axId val="1400064659"/>
      </c:barChart>
      <c:catAx>
        <c:axId val="3753014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0064659"/>
      </c:catAx>
      <c:valAx>
        <c:axId val="1400064659"/>
        <c:scaling>
          <c:orientation val="minMax"/>
          <c:max val="1.0"/>
        </c:scaling>
        <c:delete val="0"/>
        <c:axPos val="l"/>
        <c:majorGridlines>
          <c:spPr>
            <a:ln>
              <a:solidFill>
                <a:srgbClr val="000000"/>
              </a:solidFill>
            </a:ln>
          </c:spPr>
        </c:majorGridlines>
        <c:minorGridlines>
          <c:spPr>
            <a:ln>
              <a:solidFill>
                <a:srgbClr val="D9D9D9"/>
              </a:solidFill>
            </a:ln>
          </c:spPr>
        </c:minorGridlines>
        <c:title>
          <c:tx>
            <c:rich>
              <a:bodyPr/>
              <a:lstStyle/>
              <a:p>
                <a:pPr lvl="0">
                  <a:defRPr b="0">
                    <a:solidFill>
                      <a:srgbClr val="000000"/>
                    </a:solidFill>
                    <a:latin typeface="+mn-lt"/>
                  </a:defRPr>
                </a:pPr>
                <a:r>
                  <a:rPr b="0">
                    <a:solidFill>
                      <a:srgbClr val="000000"/>
                    </a:solidFill>
                    <a:latin typeface="+mn-lt"/>
                  </a:rPr>
                  <a:t>% Mastery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5301480"/>
        <c:majorUnit val="0.1"/>
        <c:minorUnit val="0.05"/>
      </c:valAx>
    </c:plotArea>
    <c:legend>
      <c:legendPos val="b"/>
      <c:overlay val="0"/>
      <c:txPr>
        <a:bodyPr/>
        <a:lstStyle/>
        <a:p>
          <a:pPr lvl="0">
            <a:defRPr b="0">
              <a:solidFill>
                <a:srgbClr val="1A1A1A"/>
              </a:solidFill>
              <a:latin typeface="+mn-lt"/>
            </a:defRPr>
          </a:pPr>
        </a:p>
      </c:txPr>
    </c:legend>
    <c:plotVisOnly val="1"/>
  </c:chart>
  <c:spPr>
    <a:solidFill>
      <a:srgbClr val="D9D9D9"/>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1038225</xdr:colOff>
      <xdr:row>2</xdr:row>
      <xdr:rowOff>114300</xdr:rowOff>
    </xdr:from>
    <xdr:ext cx="6619875" cy="4486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s://calculus.flippedmath.com/111-defining-continuity-at-a-point.html" TargetMode="External"/><Relationship Id="rId22" Type="http://schemas.openxmlformats.org/officeDocument/2006/relationships/hyperlink" Target="https://calculus.flippedmath.com/112-confirming-continuity-over-an-interval.html" TargetMode="External"/><Relationship Id="rId21" Type="http://schemas.openxmlformats.org/officeDocument/2006/relationships/hyperlink" Target="https://www.khanacademy.org/math/ap-calculus-ab/ab-limits-new/ab-1-11/v/continuity-at-a-point" TargetMode="External"/><Relationship Id="rId24" Type="http://schemas.openxmlformats.org/officeDocument/2006/relationships/hyperlink" Target="https://calculus.flippedmath.com/113-removing-discontinuities.html" TargetMode="External"/><Relationship Id="rId23" Type="http://schemas.openxmlformats.org/officeDocument/2006/relationships/hyperlink" Target="https://www.khanacademy.org/math/ap-calculus-ab/ab-limits-new/ab-1-12/v/continuity-over-an-interval" TargetMode="External"/><Relationship Id="rId1" Type="http://schemas.openxmlformats.org/officeDocument/2006/relationships/comments" Target="../comments2.xml"/><Relationship Id="rId2" Type="http://schemas.openxmlformats.org/officeDocument/2006/relationships/hyperlink" Target="https://calculus.flippedmath.com/11-can-change-occur-at-an-instant.html" TargetMode="External"/><Relationship Id="rId3" Type="http://schemas.openxmlformats.org/officeDocument/2006/relationships/hyperlink" Target="https://calculus.flippedmath.com/12-defining-limits-and-using-limit-notation.html" TargetMode="External"/><Relationship Id="rId4" Type="http://schemas.openxmlformats.org/officeDocument/2006/relationships/hyperlink" Target="https://www.khanacademy.org/math/ap-calculus-ab/ab-limits-new/ab-1-2/v/introduction-to-limits-hd" TargetMode="External"/><Relationship Id="rId9" Type="http://schemas.openxmlformats.org/officeDocument/2006/relationships/hyperlink" Target="https://calculus.flippedmath.com/15-determining-limits-using-algebraic-properties.html" TargetMode="External"/><Relationship Id="rId26" Type="http://schemas.openxmlformats.org/officeDocument/2006/relationships/hyperlink" Target="https://calculus.flippedmath.com/114-infinite-limits-and-vertical-asymptotes.html" TargetMode="External"/><Relationship Id="rId25" Type="http://schemas.openxmlformats.org/officeDocument/2006/relationships/hyperlink" Target="https://www.khanacademy.org/math/ap-calculus-ab/ab-limits-new/ab-1-13/v/defining-a-function-at-a-point-to-make-it-continuous" TargetMode="External"/><Relationship Id="rId28" Type="http://schemas.openxmlformats.org/officeDocument/2006/relationships/hyperlink" Target="https://calculus.flippedmath.com/115-limits-at-infinity-and-horizontal-asymptotes.html" TargetMode="External"/><Relationship Id="rId27" Type="http://schemas.openxmlformats.org/officeDocument/2006/relationships/hyperlink" Target="https://www.khanacademy.org/math/ap-calculus-ab/ab-limits-new/ab-1-14/v/introduction-to-infinite-limits" TargetMode="External"/><Relationship Id="rId5" Type="http://schemas.openxmlformats.org/officeDocument/2006/relationships/hyperlink" Target="https://calculus.flippedmath.com/13-limit-values-from-graphs.html" TargetMode="External"/><Relationship Id="rId6" Type="http://schemas.openxmlformats.org/officeDocument/2006/relationships/hyperlink" Target="https://www.khanacademy.org/math/ap-calculus-ab/ab-limits-new/ab-1-3/v/limits-from-graphs" TargetMode="External"/><Relationship Id="rId29" Type="http://schemas.openxmlformats.org/officeDocument/2006/relationships/hyperlink" Target="https://www.khanacademy.org/math/ap-calculus-ab/ab-limits-new/ab-1-15/v/introduction-to-limits-at-infinity" TargetMode="External"/><Relationship Id="rId7" Type="http://schemas.openxmlformats.org/officeDocument/2006/relationships/hyperlink" Target="https://calculus.flippedmath.com/14-limit-values-from-tables.html" TargetMode="External"/><Relationship Id="rId8" Type="http://schemas.openxmlformats.org/officeDocument/2006/relationships/hyperlink" Target="https://www.khanacademy.org/math/ap-calculus-ab/ab-limits-new/ab-1-4/v/approximating-limit-from-table" TargetMode="External"/><Relationship Id="rId31" Type="http://schemas.openxmlformats.org/officeDocument/2006/relationships/hyperlink" Target="https://www.khanacademy.org/math/ap-calculus-ab/ab-limits-new/ab-1-16/v/intermediate-value-theorem" TargetMode="External"/><Relationship Id="rId30" Type="http://schemas.openxmlformats.org/officeDocument/2006/relationships/hyperlink" Target="https://calculus.flippedmath.com/116-intermediate-value-theorem.html" TargetMode="External"/><Relationship Id="rId11" Type="http://schemas.openxmlformats.org/officeDocument/2006/relationships/hyperlink" Target="https://calculus.flippedmath.com/16-determining-limits-using-algebraic-manipulation.html" TargetMode="External"/><Relationship Id="rId33" Type="http://schemas.openxmlformats.org/officeDocument/2006/relationships/vmlDrawing" Target="../drawings/vmlDrawing2.vml"/><Relationship Id="rId10" Type="http://schemas.openxmlformats.org/officeDocument/2006/relationships/hyperlink" Target="https://www.khanacademy.org/math/ap-calculus-ab/ab-limits-new/ab-1-5a/v/limit-properties" TargetMode="External"/><Relationship Id="rId32" Type="http://schemas.openxmlformats.org/officeDocument/2006/relationships/drawing" Target="../drawings/drawing2.xml"/><Relationship Id="rId13" Type="http://schemas.openxmlformats.org/officeDocument/2006/relationships/hyperlink" Target="https://calculus.flippedmath.com/17-selecting-procedures-for-determining-limits.html" TargetMode="External"/><Relationship Id="rId12" Type="http://schemas.openxmlformats.org/officeDocument/2006/relationships/hyperlink" Target="https://www.khanacademy.org/math/ap-calculus-ab/ab-limits-new/ab-1-6/v/limit-example-1" TargetMode="External"/><Relationship Id="rId15" Type="http://schemas.openxmlformats.org/officeDocument/2006/relationships/hyperlink" Target="https://calculus.flippedmath.com/18-determining-limits-using-the-squeeze-theorem.html" TargetMode="External"/><Relationship Id="rId14" Type="http://schemas.openxmlformats.org/officeDocument/2006/relationships/hyperlink" Target="https://www.khanacademy.org/math/ap-calculus-ab/ab-limits-new/ab-1-7/v/flow-chart-of-limit-strategies" TargetMode="External"/><Relationship Id="rId17" Type="http://schemas.openxmlformats.org/officeDocument/2006/relationships/hyperlink" Target="https://calculus.flippedmath.com/19-connecting-multiple-representations-of-limits.html" TargetMode="External"/><Relationship Id="rId16" Type="http://schemas.openxmlformats.org/officeDocument/2006/relationships/hyperlink" Target="https://www.khanacademy.org/math/ap-calculus-ab/ab-limits-new/ab-1-8/v/squeeze-sandwich-theorem" TargetMode="External"/><Relationship Id="rId19" Type="http://schemas.openxmlformats.org/officeDocument/2006/relationships/hyperlink" Target="https://www.khanacademy.org/math/ap-calculus-ab/ab-limits-new/ab-1-10/v/types-of-discontinuities" TargetMode="External"/><Relationship Id="rId18" Type="http://schemas.openxmlformats.org/officeDocument/2006/relationships/hyperlink" Target="https://calculus.flippedmath.com/110-exploring-types-of-discontinuiti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calculus.flippedmath.com/210-derivatives-of-tanx-cotx-secx-cscx.html" TargetMode="External"/><Relationship Id="rId22" Type="http://schemas.openxmlformats.org/officeDocument/2006/relationships/drawing" Target="../drawings/drawing3.xml"/><Relationship Id="rId21" Type="http://schemas.openxmlformats.org/officeDocument/2006/relationships/hyperlink" Target="https://www.khanacademy.org/math/ap-calculus-ab/ab-differentiation-1-new/ab-2-10/v/derivatives-of-tanx-and-cotx" TargetMode="External"/><Relationship Id="rId2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calculus.flippedmath.com/21-defining-average-and-instantaneous-rate-of-change-at-a-point.html" TargetMode="External"/><Relationship Id="rId3" Type="http://schemas.openxmlformats.org/officeDocument/2006/relationships/hyperlink" Target="https://www.khanacademy.org/math/ap-calculus-ab/ab-differentiation-1-new/ab-2-1/v/newton-leibniz-and-usain-bolt" TargetMode="External"/><Relationship Id="rId4" Type="http://schemas.openxmlformats.org/officeDocument/2006/relationships/hyperlink" Target="https://calculus.flippedmath.com/22-defining-the-derivative-of-a-function-and-using-derivative-notation.html" TargetMode="External"/><Relationship Id="rId9" Type="http://schemas.openxmlformats.org/officeDocument/2006/relationships/hyperlink" Target="https://calculus.flippedmath.com/25-applying-the-power-rule.html" TargetMode="External"/><Relationship Id="rId5" Type="http://schemas.openxmlformats.org/officeDocument/2006/relationships/hyperlink" Target="https://calculus.flippedmath.com/23-estimating-derivatives-of-a-function-at-a-point.html" TargetMode="External"/><Relationship Id="rId6" Type="http://schemas.openxmlformats.org/officeDocument/2006/relationships/hyperlink" Target="https://www.khanacademy.org/math/ap-calculus-ab/ab-differentiation-1-new/ab-2-3/v/estimating-derivative-at-a-point" TargetMode="External"/><Relationship Id="rId7" Type="http://schemas.openxmlformats.org/officeDocument/2006/relationships/hyperlink" Target="https://calculus.flippedmath.com/24-connecting-differentiability-and-continuity.html" TargetMode="External"/><Relationship Id="rId8" Type="http://schemas.openxmlformats.org/officeDocument/2006/relationships/hyperlink" Target="https://www.khanacademy.org/math/ap-calculus-ab/ab-differentiation-1-new/ab-2-4/v/differentiability" TargetMode="External"/><Relationship Id="rId11" Type="http://schemas.openxmlformats.org/officeDocument/2006/relationships/hyperlink" Target="https://calculus.flippedmath.com/26-derivative-rules-constant-sum-difference-and-constant-multiple.html" TargetMode="External"/><Relationship Id="rId10" Type="http://schemas.openxmlformats.org/officeDocument/2006/relationships/hyperlink" Target="https://www.khanacademy.org/math/ap-calculus-ab/ab-differentiation-1-new/ab-2-5/v/power-rule" TargetMode="External"/><Relationship Id="rId13" Type="http://schemas.openxmlformats.org/officeDocument/2006/relationships/hyperlink" Target="https://www.khanacademy.org/math/ap-calculus-ab/ab-differentiation-1-new/ab-2-6b/v/differentiating-polynomials-example" TargetMode="External"/><Relationship Id="rId12" Type="http://schemas.openxmlformats.org/officeDocument/2006/relationships/hyperlink" Target="https://www.khanacademy.org/math/ap-calculus-ab/ab-differentiation-1-new/ab-2-6a/v/derivative-properties-and-polynomial-derivatives" TargetMode="External"/><Relationship Id="rId15" Type="http://schemas.openxmlformats.org/officeDocument/2006/relationships/hyperlink" Target="https://www.khanacademy.org/math/ap-calculus-ab/ab-differentiation-1-new/ab-2-7/v/derivatives-of-sinx-and-cosx" TargetMode="External"/><Relationship Id="rId14" Type="http://schemas.openxmlformats.org/officeDocument/2006/relationships/hyperlink" Target="https://calculus.flippedmath.com/27-derivatives-of-cosx-sinx-ex-and-lnx.html" TargetMode="External"/><Relationship Id="rId17" Type="http://schemas.openxmlformats.org/officeDocument/2006/relationships/hyperlink" Target="https://www.khanacademy.org/math/ap-calculus-ab/ab-differentiation-1-new/ab-2-8/v/applying-the-product-rule-for-derivatives" TargetMode="External"/><Relationship Id="rId16" Type="http://schemas.openxmlformats.org/officeDocument/2006/relationships/hyperlink" Target="https://calculus.flippedmath.com/28-the-product-rule.html" TargetMode="External"/><Relationship Id="rId19" Type="http://schemas.openxmlformats.org/officeDocument/2006/relationships/hyperlink" Target="https://www.khanacademy.org/math/ap-calculus-ab/ab-differentiation-1-new/ab-2-9/v/quotient-rule" TargetMode="External"/><Relationship Id="rId18" Type="http://schemas.openxmlformats.org/officeDocument/2006/relationships/hyperlink" Target="https://calculus.flippedmath.com/29-the-quotient-rule.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calculus.flippedmath.com/31-the-chain-rule.html" TargetMode="External"/><Relationship Id="rId3" Type="http://schemas.openxmlformats.org/officeDocument/2006/relationships/hyperlink" Target="https://www.khanacademy.org/math/ap-calculus-ab/ab-differentiation-2-new/ab-3-1a/v/chain-rule-introduction" TargetMode="External"/><Relationship Id="rId4" Type="http://schemas.openxmlformats.org/officeDocument/2006/relationships/hyperlink" Target="https://calculus.flippedmath.com/32-implicit-differentiation.html" TargetMode="External"/><Relationship Id="rId9" Type="http://schemas.openxmlformats.org/officeDocument/2006/relationships/hyperlink" Target="https://www.khanacademy.org/math/ap-calculus-ab/ab-differentiation-2-new/ab-3-4/v/derivative-inverse-sine" TargetMode="External"/><Relationship Id="rId5" Type="http://schemas.openxmlformats.org/officeDocument/2006/relationships/hyperlink" Target="https://www.khanacademy.org/math/ap-calculus-ab/ab-differentiation-2-new/ab-3-2/v/implicit-differentiation-1" TargetMode="External"/><Relationship Id="rId6" Type="http://schemas.openxmlformats.org/officeDocument/2006/relationships/hyperlink" Target="https://calculus.flippedmath.com/33-differentiating-inverse-functions.html" TargetMode="External"/><Relationship Id="rId7" Type="http://schemas.openxmlformats.org/officeDocument/2006/relationships/hyperlink" Target="https://www.khanacademy.org/math/ap-calculus-ab/ab-differentiation-2-new/ab-3-3/v/derivatives-of-inverse-functions" TargetMode="External"/><Relationship Id="rId8" Type="http://schemas.openxmlformats.org/officeDocument/2006/relationships/hyperlink" Target="https://calculus.flippedmath.com/34-differentiating-inverse-trigonometric-functions.html" TargetMode="External"/><Relationship Id="rId11" Type="http://schemas.openxmlformats.org/officeDocument/2006/relationships/hyperlink" Target="https://www.khanacademy.org/math/ap-calculus-ab/ab-differentiation-2-new/ab-3-5a/v/correcting-work-on-derivative-strategies" TargetMode="External"/><Relationship Id="rId10" Type="http://schemas.openxmlformats.org/officeDocument/2006/relationships/hyperlink" Target="https://calculus.flippedmath.com/35-selecting-procedures-for-calculating-derivatives.html" TargetMode="External"/><Relationship Id="rId13" Type="http://schemas.openxmlformats.org/officeDocument/2006/relationships/hyperlink" Target="https://www.khanacademy.org/math/ap-calculus-ab/ab-differentiation-2-new/ab-3-6/v/second-derivatives" TargetMode="External"/><Relationship Id="rId12" Type="http://schemas.openxmlformats.org/officeDocument/2006/relationships/hyperlink" Target="https://calculus.flippedmath.com/36-calculating-higher-order-derivatives.html" TargetMode="External"/><Relationship Id="rId15" Type="http://schemas.openxmlformats.org/officeDocument/2006/relationships/vmlDrawing" Target="../drawings/vmlDrawing4.vm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calculus.flippedmath.com/41-interpreting-the-meaning-of-the-derivative-in-context.html" TargetMode="External"/><Relationship Id="rId3" Type="http://schemas.openxmlformats.org/officeDocument/2006/relationships/hyperlink" Target="https://www.khanacademy.org/math/ap-calculus-ab/ab-diff-contextual-applications-new/ab-4-1/v/interpreting-the-meaning-of-the-derivative-in-context" TargetMode="External"/><Relationship Id="rId4" Type="http://schemas.openxmlformats.org/officeDocument/2006/relationships/hyperlink" Target="https://calculus.flippedmath.com/42-straight-line-motion-connecting-position-velocity-and-acceleration.html" TargetMode="External"/><Relationship Id="rId9" Type="http://schemas.openxmlformats.org/officeDocument/2006/relationships/hyperlink" Target="https://www.khanacademy.org/math/ap-calculus-ab/ab-diff-contextual-applications-new/ab-4-4/v/rates-of-change-between-radius-and-area-of-circle" TargetMode="External"/><Relationship Id="rId5" Type="http://schemas.openxmlformats.org/officeDocument/2006/relationships/hyperlink" Target="https://www.khanacademy.org/math/ap-calculus-ab/ab-diff-contextual-applications-new/ab-4-2/v/one-dimensional-motion-with-calculus" TargetMode="External"/><Relationship Id="rId6" Type="http://schemas.openxmlformats.org/officeDocument/2006/relationships/hyperlink" Target="https://calculus.flippedmath.com/43-rates-of-change-in-applied-contexts-other-than-motion.html" TargetMode="External"/><Relationship Id="rId7" Type="http://schemas.openxmlformats.org/officeDocument/2006/relationships/hyperlink" Target="https://www.khanacademy.org/math/ap-calculus-ab/ab-diff-contextual-applications-new/ab-4-3/v/modeling-a-forgetting-curve" TargetMode="External"/><Relationship Id="rId8" Type="http://schemas.openxmlformats.org/officeDocument/2006/relationships/hyperlink" Target="https://calculus.flippedmath.com/44-introduction-to-related-rates.html" TargetMode="External"/><Relationship Id="rId11" Type="http://schemas.openxmlformats.org/officeDocument/2006/relationships/hyperlink" Target="https://www.khanacademy.org/math/ap-calculus-ab/ab-diff-contextual-applications-new/ab-4-5/e/related-rates" TargetMode="External"/><Relationship Id="rId10" Type="http://schemas.openxmlformats.org/officeDocument/2006/relationships/hyperlink" Target="https://calculus.flippedmath.com/45-solving-related-rates-problems.html" TargetMode="External"/><Relationship Id="rId13" Type="http://schemas.openxmlformats.org/officeDocument/2006/relationships/hyperlink" Target="https://www.khanacademy.org/math/ap-calculus-ab/ab-diff-contextual-applications-new/ab-4-6/v/local-linearization-intro" TargetMode="External"/><Relationship Id="rId12" Type="http://schemas.openxmlformats.org/officeDocument/2006/relationships/hyperlink" Target="https://calculus.flippedmath.com/46-approximating-values-of-a-function-using-local-linearity-and-linearization.html" TargetMode="External"/><Relationship Id="rId15" Type="http://schemas.openxmlformats.org/officeDocument/2006/relationships/hyperlink" Target="https://www.khanacademy.org/math/ap-calculus-ab/ab-diff-contextual-applications-new/ab-4-7/v/introduction-to-l-hopital-s-rule" TargetMode="External"/><Relationship Id="rId14" Type="http://schemas.openxmlformats.org/officeDocument/2006/relationships/hyperlink" Target="https://calculus.flippedmath.com/47-using-lhopitals-rule-for-determining-limits-of-indeterminate-forms.html" TargetMode="External"/><Relationship Id="rId17" Type="http://schemas.openxmlformats.org/officeDocument/2006/relationships/vmlDrawing" Target="../drawings/vmlDrawing5.vml"/><Relationship Id="rId1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khanacademy.org/math/ap-calculus-ab/ab-diff-analytical-applications-new/ab-5-9/v/calculus-based-justification-for-function-increasing" TargetMode="External"/><Relationship Id="rId22" Type="http://schemas.openxmlformats.org/officeDocument/2006/relationships/hyperlink" Target="https://www.khanacademy.org/math/ap-calculus-ab/ab-diff-analytical-applications-new/ab-5-11/v/minimizing-sum-of-squares" TargetMode="External"/><Relationship Id="rId21" Type="http://schemas.openxmlformats.org/officeDocument/2006/relationships/hyperlink" Target="https://calculus.flippedmath.com/510-introduction-to-optimization-problems.html" TargetMode="External"/><Relationship Id="rId24" Type="http://schemas.openxmlformats.org/officeDocument/2006/relationships/hyperlink" Target="https://calculus.flippedmath.com/512-exploring-behaviors-of-implicit-relations.html" TargetMode="External"/><Relationship Id="rId23" Type="http://schemas.openxmlformats.org/officeDocument/2006/relationships/hyperlink" Target="https://calculus.flippedmath.com/511-solving-optimization-problems.html" TargetMode="External"/><Relationship Id="rId1" Type="http://schemas.openxmlformats.org/officeDocument/2006/relationships/comments" Target="../comments6.xml"/><Relationship Id="rId2" Type="http://schemas.openxmlformats.org/officeDocument/2006/relationships/hyperlink" Target="https://calculus.flippedmath.com/51-using-the-mean-value-theorem.html" TargetMode="External"/><Relationship Id="rId3" Type="http://schemas.openxmlformats.org/officeDocument/2006/relationships/hyperlink" Target="https://www.khanacademy.org/math/ap-calculus-ab/ab-diff-analytical-applications-new/ab-5-1/v/mean-value-theorem-1" TargetMode="External"/><Relationship Id="rId4" Type="http://schemas.openxmlformats.org/officeDocument/2006/relationships/hyperlink" Target="https://calculus.flippedmath.com/52-extreme-value-theorem-global-versus-local-extrema-and-critical-points.html" TargetMode="External"/><Relationship Id="rId9" Type="http://schemas.openxmlformats.org/officeDocument/2006/relationships/hyperlink" Target="https://www.khanacademy.org/math/ap-calculus-ab/ab-diff-analytical-applications-new/ab-5-4/v/relative-minima-maxima" TargetMode="External"/><Relationship Id="rId26" Type="http://schemas.openxmlformats.org/officeDocument/2006/relationships/drawing" Target="../drawings/drawing6.xml"/><Relationship Id="rId25" Type="http://schemas.openxmlformats.org/officeDocument/2006/relationships/hyperlink" Target="https://www.khanacademy.org/math/ap-calculus-ab/ab-diff-analytical-applications-new/ab-5-12/v/implicit-curve-horizontal-tangent" TargetMode="External"/><Relationship Id="rId27" Type="http://schemas.openxmlformats.org/officeDocument/2006/relationships/vmlDrawing" Target="../drawings/vmlDrawing6.vml"/><Relationship Id="rId5" Type="http://schemas.openxmlformats.org/officeDocument/2006/relationships/hyperlink" Target="https://www.khanacademy.org/math/ap-calculus-ab/ab-diff-analytical-applications-new/ab-5-2/v/extreme-value-theorem" TargetMode="External"/><Relationship Id="rId6" Type="http://schemas.openxmlformats.org/officeDocument/2006/relationships/hyperlink" Target="https://calculus.flippedmath.com/53-determining-intervals-on-which-a-function-is-increasing-or-decreasing.html" TargetMode="External"/><Relationship Id="rId7" Type="http://schemas.openxmlformats.org/officeDocument/2006/relationships/hyperlink" Target="https://www.khanacademy.org/math/ap-calculus-ab/ab-diff-analytical-applications-new/ab-5-3/v/increasing-decreasing-intervals-given-the-function" TargetMode="External"/><Relationship Id="rId8" Type="http://schemas.openxmlformats.org/officeDocument/2006/relationships/hyperlink" Target="https://calculus.flippedmath.com/54-using-the-first-derivative-test-to-determine-relative-local-extrema.html" TargetMode="External"/><Relationship Id="rId11" Type="http://schemas.openxmlformats.org/officeDocument/2006/relationships/hyperlink" Target="https://www.khanacademy.org/math/ap-calculus-ab/ab-diff-analytical-applications-new/ab-5-5/v/using-extreme-value-theorem" TargetMode="External"/><Relationship Id="rId10" Type="http://schemas.openxmlformats.org/officeDocument/2006/relationships/hyperlink" Target="https://calculus.flippedmath.com/55-using-the-candidates-test-to-determine-absolute-global-extrema.html" TargetMode="External"/><Relationship Id="rId13" Type="http://schemas.openxmlformats.org/officeDocument/2006/relationships/hyperlink" Target="https://www.khanacademy.org/math/ap-calculus-ab/ab-diff-analytical-applications-new/ab-5-6a/v/concavity-concave-upwards-and-concave-downwards-intervals" TargetMode="External"/><Relationship Id="rId12" Type="http://schemas.openxmlformats.org/officeDocument/2006/relationships/hyperlink" Target="https://calculus.flippedmath.com/56-determining-concavity-of-functions-over-their-domains.html" TargetMode="External"/><Relationship Id="rId15" Type="http://schemas.openxmlformats.org/officeDocument/2006/relationships/hyperlink" Target="https://calculus.flippedmath.com/57-using-the-second-derivative-test-to-determine-extrema.html" TargetMode="External"/><Relationship Id="rId14" Type="http://schemas.openxmlformats.org/officeDocument/2006/relationships/hyperlink" Target="https://www.khanacademy.org/math/ap-calculus-ab/ab-diff-analytical-applications-new/ab-5-6b/v/analyzing-concavity-algebraically" TargetMode="External"/><Relationship Id="rId17" Type="http://schemas.openxmlformats.org/officeDocument/2006/relationships/hyperlink" Target="https://calculus.flippedmath.com/58-sketching-graphs-of-functions-and-their-derivatives.html" TargetMode="External"/><Relationship Id="rId16" Type="http://schemas.openxmlformats.org/officeDocument/2006/relationships/hyperlink" Target="https://www.khanacademy.org/math/ap-calculus-ab/ab-diff-analytical-applications-new/ab-5-7/v/second-derivative-test" TargetMode="External"/><Relationship Id="rId19" Type="http://schemas.openxmlformats.org/officeDocument/2006/relationships/hyperlink" Target="https://calculus.flippedmath.com/59-connecting-a-function-its-first-derivative-and-its-second-derivative.html" TargetMode="External"/><Relationship Id="rId18" Type="http://schemas.openxmlformats.org/officeDocument/2006/relationships/hyperlink" Target="https://www.khanacademy.org/math/ap-calculus-ab/ab-diff-analytical-applications-new/ab-5-8/v/calculus-graphing-using-derivatives"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calculus.flippedmath.com/610-integrating-functions-using-long-division-and-completing-the-square.html" TargetMode="External"/><Relationship Id="rId22" Type="http://schemas.openxmlformats.org/officeDocument/2006/relationships/drawing" Target="../drawings/drawing7.xml"/><Relationship Id="rId21" Type="http://schemas.openxmlformats.org/officeDocument/2006/relationships/hyperlink" Target="https://www.khanacademy.org/math/ap-calculus-ab/ab-integration-new/ab-6-10/v/integral-partial-fraction" TargetMode="External"/><Relationship Id="rId2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s://calculus.flippedmath.com/61-exploring-accumulation-of-change.html" TargetMode="External"/><Relationship Id="rId3" Type="http://schemas.openxmlformats.org/officeDocument/2006/relationships/hyperlink" Target="https://www.khanacademy.org/math/ap-calculus-ab/ab-integration-new/ab-6-1/v/introduction-to-integral-calculus" TargetMode="External"/><Relationship Id="rId4" Type="http://schemas.openxmlformats.org/officeDocument/2006/relationships/hyperlink" Target="https://calculus.flippedmath.com/62-approximating-areas-with-riemann-sums.html" TargetMode="External"/><Relationship Id="rId9" Type="http://schemas.openxmlformats.org/officeDocument/2006/relationships/hyperlink" Target="https://www.khanacademy.org/math/ap-calculus-ab/ab-integration-new/ab-6-4/v/fundamental-theorem-of-calculus" TargetMode="External"/><Relationship Id="rId5" Type="http://schemas.openxmlformats.org/officeDocument/2006/relationships/hyperlink" Target="https://www.khanacademy.org/math/ap-calculus-ab/ab-integration-new/ab-6-2/v/simple-riemann-approximation-using-rectangles" TargetMode="External"/><Relationship Id="rId6" Type="http://schemas.openxmlformats.org/officeDocument/2006/relationships/hyperlink" Target="https://calculus.flippedmath.com/63-riemann-sums-summation-notation-and-definite-integral-notation.html" TargetMode="External"/><Relationship Id="rId7" Type="http://schemas.openxmlformats.org/officeDocument/2006/relationships/hyperlink" Target="https://www.khanacademy.org/math/ap-calculus-ab/ab-integration-new/ab-6-3/v/sigma-notation-sum" TargetMode="External"/><Relationship Id="rId8" Type="http://schemas.openxmlformats.org/officeDocument/2006/relationships/hyperlink" Target="https://calculus.flippedmath.com/64-the-fundamental-theorem-of-calculus-and-accumulation-functions.html" TargetMode="External"/><Relationship Id="rId11" Type="http://schemas.openxmlformats.org/officeDocument/2006/relationships/hyperlink" Target="https://www.khanacademy.org/math/ap-calculus-ab/ab-integration-new/ab-6-5/v/interpreting-behavior-of-antiderivative" TargetMode="External"/><Relationship Id="rId10" Type="http://schemas.openxmlformats.org/officeDocument/2006/relationships/hyperlink" Target="https://calculus.flippedmath.com/65-interpreting-the-behavior-of-accumulation-functions-involving-area.html" TargetMode="External"/><Relationship Id="rId13" Type="http://schemas.openxmlformats.org/officeDocument/2006/relationships/hyperlink" Target="https://www.khanacademy.org/math/ap-calculus-ab/ab-integration-new/ab-6-6/v/negative-definite-integrals" TargetMode="External"/><Relationship Id="rId12" Type="http://schemas.openxmlformats.org/officeDocument/2006/relationships/hyperlink" Target="https://calculus.flippedmath.com/66-applying-properties-of-definite-integrals.html" TargetMode="External"/><Relationship Id="rId15" Type="http://schemas.openxmlformats.org/officeDocument/2006/relationships/hyperlink" Target="https://www.khanacademy.org/math/ap-calculus-ab/ab-integration-new/ab-6-7/v/connecting-the-first-and-second-fundamental-theorems-of-calculus" TargetMode="External"/><Relationship Id="rId14" Type="http://schemas.openxmlformats.org/officeDocument/2006/relationships/hyperlink" Target="https://calculus.flippedmath.com/67-the-fundamental-theorem-of-calculus-and-definite-integrals.html" TargetMode="External"/><Relationship Id="rId17" Type="http://schemas.openxmlformats.org/officeDocument/2006/relationships/hyperlink" Target="https://www.khanacademy.org/math/ap-calculus-ab/ab-integration-new/ab-6-8a/v/indefinite-integrals-of-x-raised-to-a-power" TargetMode="External"/><Relationship Id="rId16" Type="http://schemas.openxmlformats.org/officeDocument/2006/relationships/hyperlink" Target="https://calculus.flippedmath.com/68-finding-antiderivatives-and-indefinite-integrals-basic-rules-and-notation.html" TargetMode="External"/><Relationship Id="rId19" Type="http://schemas.openxmlformats.org/officeDocument/2006/relationships/hyperlink" Target="https://www.khanacademy.org/math/ap-calculus-ab/ab-integration-new/ab-6-9/v/u-substitution" TargetMode="External"/><Relationship Id="rId18" Type="http://schemas.openxmlformats.org/officeDocument/2006/relationships/hyperlink" Target="https://calculus.flippedmath.com/69-integrating-using-substitution.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alculus.flippedmath.com/71-modeling-situations-with-differential-equations.html" TargetMode="External"/><Relationship Id="rId3" Type="http://schemas.openxmlformats.org/officeDocument/2006/relationships/hyperlink" Target="https://www.khanacademy.org/math/ap-calculus-ab/ab-differential-equations-new/ab-7-1/v/differential-equation-introduction" TargetMode="External"/><Relationship Id="rId4" Type="http://schemas.openxmlformats.org/officeDocument/2006/relationships/hyperlink" Target="https://calculus.flippedmath.com/72-verifying-solutions-for-differential-equations.html" TargetMode="External"/><Relationship Id="rId9" Type="http://schemas.openxmlformats.org/officeDocument/2006/relationships/hyperlink" Target="https://calculus.flippedmath.com/74-reasoning-using-slope-fields.html" TargetMode="External"/><Relationship Id="rId5" Type="http://schemas.openxmlformats.org/officeDocument/2006/relationships/hyperlink" Target="https://www.khanacademy.org/math/ap-calculus-ab/ab-differential-equations-new/ab-7-2/v/verifying-solutions-to-differential-equations" TargetMode="External"/><Relationship Id="rId6" Type="http://schemas.openxmlformats.org/officeDocument/2006/relationships/hyperlink" Target="https://calculus.flippedmath.com/73-sketching-slope-fields.html" TargetMode="External"/><Relationship Id="rId7" Type="http://schemas.openxmlformats.org/officeDocument/2006/relationships/hyperlink" Target="https://www.khanacademy.org/math/ap-calculus-ab/ab-differential-equations-new/ab-7-3/v/creating-a-slope-field" TargetMode="External"/><Relationship Id="rId8" Type="http://schemas.openxmlformats.org/officeDocument/2006/relationships/hyperlink" Target="https://www.khanacademy.org/math/ap-calculus-ab/ab-differential-equations-new/ab-7-4/v/slope-field-to-visualize-solutions" TargetMode="External"/><Relationship Id="rId11" Type="http://schemas.openxmlformats.org/officeDocument/2006/relationships/hyperlink" Target="https://www.khanacademy.org/math/ap-calculus-ab/ab-differential-equations-new/ab-7-6/v/separable-differential-equations-introduction" TargetMode="External"/><Relationship Id="rId10" Type="http://schemas.openxmlformats.org/officeDocument/2006/relationships/hyperlink" Target="https://calculus.flippedmath.com/76-general-solutions-using-separation-of-variables.html" TargetMode="External"/><Relationship Id="rId13" Type="http://schemas.openxmlformats.org/officeDocument/2006/relationships/hyperlink" Target="https://www.khanacademy.org/math/ap-calculus-ab/ab-differential-equations-new/ab-7-7/v/finding-constant-of-integration-rational" TargetMode="External"/><Relationship Id="rId12" Type="http://schemas.openxmlformats.org/officeDocument/2006/relationships/hyperlink" Target="https://calculus.flippedmath.com/77-particular-solutions-using-initial-conditions-and-separation-of-variables.html" TargetMode="External"/><Relationship Id="rId15" Type="http://schemas.openxmlformats.org/officeDocument/2006/relationships/hyperlink" Target="https://www.khanacademy.org/math/ap-calculus-ab/ab-differential-equations-new/ab-7-8/v/modeling-population-with-simple-differential-equation" TargetMode="External"/><Relationship Id="rId14" Type="http://schemas.openxmlformats.org/officeDocument/2006/relationships/hyperlink" Target="https://calculus.flippedmath.com/78-exponential-models-with-differential-equations.html" TargetMode="External"/><Relationship Id="rId17" Type="http://schemas.openxmlformats.org/officeDocument/2006/relationships/vmlDrawing" Target="../drawings/vmlDrawing8.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calculus.flippedmath.com/810-volume-with-disc-method-revolving-around-other-axes.html" TargetMode="External"/><Relationship Id="rId22" Type="http://schemas.openxmlformats.org/officeDocument/2006/relationships/hyperlink" Target="https://calculus.flippedmath.com/811-volume-with-washer-method-revolving-around-the-x--or-y-axis.html" TargetMode="External"/><Relationship Id="rId21" Type="http://schemas.openxmlformats.org/officeDocument/2006/relationships/hyperlink" Target="https://www.khanacademy.org/math/ap-calculus-ab/ab-applications-of-integration-new/ab-8-10/v/disc-method-rotation-around-horizontal-line" TargetMode="External"/><Relationship Id="rId24" Type="http://schemas.openxmlformats.org/officeDocument/2006/relationships/hyperlink" Target="https://calculus.flippedmath.com/812-volume-with-washer-method-revolving-around-other-axes.html" TargetMode="External"/><Relationship Id="rId23" Type="http://schemas.openxmlformats.org/officeDocument/2006/relationships/hyperlink" Target="https://www.khanacademy.org/math/ap-calculus-ab/ab-applications-of-integration-new/ab-8-11/v/disc-method-washer-method-for-rotation-around-x-axis" TargetMode="External"/><Relationship Id="rId1" Type="http://schemas.openxmlformats.org/officeDocument/2006/relationships/comments" Target="../comments9.xml"/><Relationship Id="rId2" Type="http://schemas.openxmlformats.org/officeDocument/2006/relationships/hyperlink" Target="https://calculus.flippedmath.com/81-average-value-of-a-function-on-an-interval.html" TargetMode="External"/><Relationship Id="rId3" Type="http://schemas.openxmlformats.org/officeDocument/2006/relationships/hyperlink" Target="https://www.khanacademy.org/math/ap-calculus-ab/ab-applications-of-integration-new/ab-8-1/v/average-function-value-closed-interval" TargetMode="External"/><Relationship Id="rId4" Type="http://schemas.openxmlformats.org/officeDocument/2006/relationships/hyperlink" Target="https://calculus.flippedmath.com/82-connecting-position-velocity-and-acceleration-of-functions-using-integrals.html" TargetMode="External"/><Relationship Id="rId9" Type="http://schemas.openxmlformats.org/officeDocument/2006/relationships/hyperlink" Target="https://www.khanacademy.org/math/ap-calculus-ab/ab-applications-of-integration-new/ab-8-4/v/evaluating-simple-definite-integral" TargetMode="External"/><Relationship Id="rId26" Type="http://schemas.openxmlformats.org/officeDocument/2006/relationships/drawing" Target="../drawings/drawing9.xml"/><Relationship Id="rId25" Type="http://schemas.openxmlformats.org/officeDocument/2006/relationships/hyperlink" Target="https://www.khanacademy.org/math/ap-calculus-ab/ab-applications-of-integration-new/ab-8-12/v/washer-method-rotating-around-non-axis" TargetMode="External"/><Relationship Id="rId27" Type="http://schemas.openxmlformats.org/officeDocument/2006/relationships/vmlDrawing" Target="../drawings/vmlDrawing9.vml"/><Relationship Id="rId5" Type="http://schemas.openxmlformats.org/officeDocument/2006/relationships/hyperlink" Target="https://www.khanacademy.org/math/ap-calculus-ab/ab-applications-of-integration-new/ab-8-2/v/motion-problems-with-integrals" TargetMode="External"/><Relationship Id="rId6" Type="http://schemas.openxmlformats.org/officeDocument/2006/relationships/hyperlink" Target="https://calculus.flippedmath.com/83-using-accumulation-functions-and-definite-integrals-in-applied-contexts.html" TargetMode="External"/><Relationship Id="rId7" Type="http://schemas.openxmlformats.org/officeDocument/2006/relationships/hyperlink" Target="https://www.khanacademy.org/math/ap-calculus-ab/ab-applications-of-integration-new/ab-8-3/v/area-under-rate-net-change" TargetMode="External"/><Relationship Id="rId8" Type="http://schemas.openxmlformats.org/officeDocument/2006/relationships/hyperlink" Target="https://calculus.flippedmath.com/84-finding-the-area-between-curves-expressed-as-functions-of-x.html" TargetMode="External"/><Relationship Id="rId11" Type="http://schemas.openxmlformats.org/officeDocument/2006/relationships/hyperlink" Target="https://www.khanacademy.org/math/ap-calculus-ab/ab-applications-of-integration-new/ab-8-5/v/area-between-curve-and-y-axis" TargetMode="External"/><Relationship Id="rId10" Type="http://schemas.openxmlformats.org/officeDocument/2006/relationships/hyperlink" Target="https://calculus.flippedmath.com/85-finding-area-between-curves-expressed-as-functions-of-y.html" TargetMode="External"/><Relationship Id="rId13" Type="http://schemas.openxmlformats.org/officeDocument/2006/relationships/hyperlink" Target="https://www.khanacademy.org/math/ap-calculus-ab/ab-applications-of-integration-new/ab-8-6/e/area-between-curves-that-intersect-at-more-than-two-points" TargetMode="External"/><Relationship Id="rId12" Type="http://schemas.openxmlformats.org/officeDocument/2006/relationships/hyperlink" Target="https://calculus.flippedmath.com/86-finding-the-area-between-curves-that-intersect-at-more-than-two-points.html" TargetMode="External"/><Relationship Id="rId15" Type="http://schemas.openxmlformats.org/officeDocument/2006/relationships/hyperlink" Target="http://v/" TargetMode="External"/><Relationship Id="rId14" Type="http://schemas.openxmlformats.org/officeDocument/2006/relationships/hyperlink" Target="https://calculus.flippedmath.com/87-volumes-with-cross-sections-squares-and-rectangles.html" TargetMode="External"/><Relationship Id="rId17" Type="http://schemas.openxmlformats.org/officeDocument/2006/relationships/hyperlink" Target="https://www.khanacademy.org/math/ap-calculus-ab/ab-applications-of-integration-new/ab-8-8/v/volume-solid-semicircle-cross-section" TargetMode="External"/><Relationship Id="rId16" Type="http://schemas.openxmlformats.org/officeDocument/2006/relationships/hyperlink" Target="https://calculus.flippedmath.com/88-volumes-with-cross-sections-triangles-and-semicircles.html" TargetMode="External"/><Relationship Id="rId19" Type="http://schemas.openxmlformats.org/officeDocument/2006/relationships/hyperlink" Target="https://www.khanacademy.org/math/ap-calculus-ab/ab-applications-of-integration-new/ab-8-9/v/disk-method-around-x-axis" TargetMode="External"/><Relationship Id="rId18" Type="http://schemas.openxmlformats.org/officeDocument/2006/relationships/hyperlink" Target="https://calculus.flippedmath.com/89-volume-with-disc-method-revolving-around-the-x--or-y-axi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3.5"/>
    <col customWidth="1" min="3" max="3" width="13.75"/>
    <col customWidth="1" min="4" max="4" width="17.38"/>
    <col customWidth="1" min="5" max="5" width="14.63"/>
    <col customWidth="1" min="6" max="6" width="16.88"/>
    <col customWidth="1" min="7" max="7" width="23.38"/>
    <col customWidth="1" min="8" max="8" width="14.5"/>
  </cols>
  <sheetData>
    <row r="1" ht="21.0" customHeight="1">
      <c r="A1" s="1" t="s">
        <v>0</v>
      </c>
      <c r="B1" s="2" t="s">
        <v>1</v>
      </c>
      <c r="C1" s="3"/>
      <c r="D1" s="4" t="s">
        <v>2</v>
      </c>
      <c r="E1" s="5">
        <f>vlookup(B1,Hidden!A1:C21,3,false)</f>
        <v>5</v>
      </c>
      <c r="F1" s="4" t="s">
        <v>3</v>
      </c>
      <c r="G1" s="6" t="str">
        <f>VLOOKUP(B1,Hidden!A1:D21,4)</f>
        <v/>
      </c>
      <c r="H1" s="7"/>
    </row>
    <row r="2" ht="34.5" customHeight="1">
      <c r="A2" s="1" t="s">
        <v>4</v>
      </c>
      <c r="B2" s="8">
        <f>average(B5:B6)</f>
        <v>0.5847973363</v>
      </c>
      <c r="C2" s="1" t="s">
        <v>5</v>
      </c>
      <c r="D2" s="9">
        <f>average(B5:B9)</f>
        <v>0.5918549133</v>
      </c>
      <c r="E2" s="1" t="s">
        <v>6</v>
      </c>
      <c r="F2" s="10">
        <f>average(B5:B13)</f>
        <v>0.5904813969</v>
      </c>
      <c r="G2" s="1" t="s">
        <v>7</v>
      </c>
      <c r="H2" s="10">
        <f>average(B5:B13)</f>
        <v>0.5904813969</v>
      </c>
    </row>
    <row r="3" ht="11.25" customHeight="1">
      <c r="A3" s="11"/>
      <c r="B3" s="12"/>
      <c r="C3" s="12"/>
      <c r="D3" s="11"/>
      <c r="E3" s="12"/>
      <c r="F3" s="11"/>
      <c r="G3" s="11"/>
      <c r="H3" s="11"/>
    </row>
    <row r="4" ht="35.25" customHeight="1">
      <c r="A4" s="13"/>
      <c r="B4" s="14" t="s">
        <v>8</v>
      </c>
      <c r="C4" s="14" t="s">
        <v>9</v>
      </c>
      <c r="D4" s="15"/>
      <c r="E4" s="15"/>
      <c r="F4" s="15"/>
      <c r="G4" s="15"/>
      <c r="H4" s="15"/>
    </row>
    <row r="5" ht="35.25" customHeight="1">
      <c r="A5" s="14" t="s">
        <v>10</v>
      </c>
      <c r="B5" s="16">
        <f t="shared" ref="B5:C5" si="1">AVERAGE(B6:B13)</f>
        <v>0.5904813969</v>
      </c>
      <c r="C5" s="16">
        <f t="shared" si="1"/>
        <v>0.5834796933</v>
      </c>
      <c r="D5" s="15"/>
      <c r="E5" s="15"/>
      <c r="F5" s="15"/>
      <c r="G5" s="15"/>
      <c r="H5" s="15"/>
    </row>
    <row r="6" ht="35.25" customHeight="1">
      <c r="A6" s="14" t="s">
        <v>11</v>
      </c>
      <c r="B6" s="10">
        <f>'Unit 1'!C1</f>
        <v>0.5791132756</v>
      </c>
      <c r="C6" s="17">
        <f>IFERROR(__xludf.DUMMYFUNCTION("TRANSPOSE(IMPORTRANGE(""https://docs.google.com/spreadsheets/d/1wUVtOyO-XNnsM2MyNUqaz7fUtRybTxAZb80EBpwMKGA/edit#gid=0"", ""Course Totals!F2:M2""))"),0.5672004612451043)</f>
        <v>0.5672004612</v>
      </c>
      <c r="D6" s="15"/>
      <c r="E6" s="15"/>
      <c r="F6" s="15"/>
      <c r="G6" s="15"/>
      <c r="H6" s="15"/>
    </row>
    <row r="7" ht="35.25" customHeight="1">
      <c r="A7" s="14" t="s">
        <v>12</v>
      </c>
      <c r="B7" s="17">
        <f>'Unit 2'!C1</f>
        <v>0.5984424603</v>
      </c>
      <c r="C7" s="17">
        <f>IFERROR(__xludf.DUMMYFUNCTION("""COMPUTED_VALUE"""),0.5859914473035592)</f>
        <v>0.5859914473</v>
      </c>
      <c r="D7" s="15"/>
      <c r="E7" s="15"/>
      <c r="F7" s="15"/>
      <c r="G7" s="15"/>
      <c r="H7" s="15"/>
    </row>
    <row r="8" ht="35.25" customHeight="1">
      <c r="A8" s="14" t="s">
        <v>13</v>
      </c>
      <c r="B8" s="17">
        <f>'Unit 3'!C1</f>
        <v>0.5884623016</v>
      </c>
      <c r="C8" s="17">
        <f>IFERROR(__xludf.DUMMYFUNCTION("""COMPUTED_VALUE"""),0.5724015237408094)</f>
        <v>0.5724015237</v>
      </c>
      <c r="D8" s="15"/>
      <c r="E8" s="15"/>
      <c r="F8" s="15"/>
      <c r="G8" s="15"/>
      <c r="H8" s="15"/>
    </row>
    <row r="9" ht="35.25" customHeight="1">
      <c r="A9" s="14" t="s">
        <v>14</v>
      </c>
      <c r="B9" s="17">
        <f>'Unit 4'!C1</f>
        <v>0.6027751323</v>
      </c>
      <c r="C9" s="17">
        <f>IFERROR(__xludf.DUMMYFUNCTION("""COMPUTED_VALUE"""),0.5878425947377002)</f>
        <v>0.5878425947</v>
      </c>
      <c r="D9" s="15"/>
      <c r="E9" s="15"/>
      <c r="F9" s="15"/>
      <c r="G9" s="15"/>
      <c r="H9" s="15"/>
    </row>
    <row r="10" ht="35.25" customHeight="1">
      <c r="A10" s="14" t="s">
        <v>15</v>
      </c>
      <c r="B10" s="17">
        <f>'Unit 5'!C1</f>
        <v>0.5805488095</v>
      </c>
      <c r="C10" s="17">
        <f>IFERROR(__xludf.DUMMYFUNCTION("""COMPUTED_VALUE"""),0.5816315192743764)</f>
        <v>0.5816315193</v>
      </c>
      <c r="D10" s="15"/>
      <c r="E10" s="15"/>
      <c r="F10" s="15"/>
      <c r="G10" s="15"/>
      <c r="H10" s="15"/>
    </row>
    <row r="11" ht="35.25" customHeight="1">
      <c r="A11" s="14" t="s">
        <v>16</v>
      </c>
      <c r="B11" s="17">
        <f>'Unit 6'!C1</f>
        <v>0.599186067</v>
      </c>
      <c r="C11" s="17">
        <f>IFERROR(__xludf.DUMMYFUNCTION("""COMPUTED_VALUE"""),0.597989417989418)</f>
        <v>0.597989418</v>
      </c>
      <c r="D11" s="15"/>
      <c r="E11" s="15"/>
      <c r="F11" s="15"/>
      <c r="G11" s="15"/>
      <c r="H11" s="15"/>
    </row>
    <row r="12" ht="35.25" customHeight="1">
      <c r="A12" s="14" t="s">
        <v>17</v>
      </c>
      <c r="B12" s="17">
        <f>'Unit 7'!C1</f>
        <v>0.5920861678</v>
      </c>
      <c r="C12" s="17">
        <f>IFERROR(__xludf.DUMMYFUNCTION("""COMPUTED_VALUE"""),0.593298722997971)</f>
        <v>0.593298723</v>
      </c>
      <c r="D12" s="15"/>
      <c r="E12" s="15"/>
      <c r="F12" s="15"/>
      <c r="G12" s="15"/>
      <c r="H12" s="15"/>
    </row>
    <row r="13" ht="35.25" customHeight="1">
      <c r="A13" s="14" t="s">
        <v>18</v>
      </c>
      <c r="B13" s="17">
        <f>'Unit 8'!C1</f>
        <v>0.5832369615</v>
      </c>
      <c r="C13" s="17">
        <f>IFERROR(__xludf.DUMMYFUNCTION("""COMPUTED_VALUE"""),0.5814818594104307)</f>
        <v>0.5814818594</v>
      </c>
      <c r="D13" s="15"/>
      <c r="E13" s="15"/>
      <c r="F13" s="15"/>
      <c r="G13" s="15"/>
      <c r="H13" s="15"/>
    </row>
  </sheetData>
  <mergeCells count="1">
    <mergeCell ref="B1:C1"/>
  </mergeCells>
  <conditionalFormatting sqref="B5:C13">
    <cfRule type="colorScale" priority="1">
      <colorScale>
        <cfvo type="formula" val="0"/>
        <cfvo type="formula" val="0.7"/>
        <cfvo type="formula" val="1"/>
        <color rgb="FFFF0000"/>
        <color rgb="FFFFE599"/>
        <color rgb="FF34A853"/>
      </colorScale>
    </cfRule>
  </conditionalFormatting>
  <conditionalFormatting sqref="B2 D2 F2 H2">
    <cfRule type="colorScale" priority="2">
      <colorScale>
        <cfvo type="formula" val="0"/>
        <cfvo type="percentile" val="0.7"/>
        <cfvo type="formula" val="1"/>
        <color rgb="FFE67C73"/>
        <color rgb="FFFFF2CC"/>
        <color rgb="FF57BB8A"/>
      </colorScale>
    </cfRule>
  </conditionalFormatting>
  <dataValidations>
    <dataValidation type="list" allowBlank="1" sqref="B1">
      <formula1>Hidden!$A$1:$A$21</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7" width="16.0"/>
    <col customWidth="1" min="10" max="10" width="15.25"/>
    <col customWidth="1" min="16" max="16" width="14.0"/>
    <col customWidth="1" min="19" max="19" width="16.38"/>
    <col customWidth="1" min="22" max="22" width="15.5"/>
    <col customWidth="1" min="25" max="25" width="16.0"/>
  </cols>
  <sheetData>
    <row r="1">
      <c r="A1" s="92" t="str">
        <f>IFERROR(__xludf.DUMMYFUNCTION("importrange(""https://docs.google.com/spreadsheets/d/1wUVtOyO-XNnsM2MyNUqaz7fUtRybTxAZb80EBpwMKGA/edit#gid=0"",""Course Totals!A3:C23"")"),"Scholar 1")</f>
        <v>Scholar 1</v>
      </c>
      <c r="B1" s="92"/>
      <c r="C1" s="92">
        <f>IFERROR(__xludf.DUMMYFUNCTION("""COMPUTED_VALUE"""),1.0)</f>
        <v>1</v>
      </c>
      <c r="D1" s="93">
        <v>1.0</v>
      </c>
      <c r="E1" s="94" t="s">
        <v>391</v>
      </c>
      <c r="F1" s="92">
        <f>'Course Totals'!G1+5</f>
        <v>5</v>
      </c>
      <c r="H1" s="93" t="s">
        <v>392</v>
      </c>
      <c r="K1" s="93" t="s">
        <v>393</v>
      </c>
      <c r="N1" s="93" t="s">
        <v>394</v>
      </c>
      <c r="Q1" s="93" t="s">
        <v>395</v>
      </c>
      <c r="T1" s="93" t="s">
        <v>396</v>
      </c>
      <c r="W1" s="93" t="s">
        <v>397</v>
      </c>
      <c r="Z1" s="93" t="s">
        <v>398</v>
      </c>
    </row>
    <row r="2">
      <c r="A2" s="92" t="str">
        <f>IFERROR(__xludf.DUMMYFUNCTION("""COMPUTED_VALUE"""),"Scholar 2")</f>
        <v>Scholar 2</v>
      </c>
      <c r="B2" s="92"/>
      <c r="C2" s="92">
        <f>IFERROR(__xludf.DUMMYFUNCTION("""COMPUTED_VALUE"""),2.0)</f>
        <v>2</v>
      </c>
      <c r="D2" s="93">
        <v>2.0</v>
      </c>
      <c r="E2" s="93" t="s">
        <v>399</v>
      </c>
      <c r="F2" s="93" t="s">
        <v>400</v>
      </c>
      <c r="G2" s="95" t="str">
        <f t="shared" ref="G2:G13" si="1">CONCATENATE($E$1,E2,$F$1,F2,$F$1)</f>
        <v>Unit 1!E5:G5</v>
      </c>
      <c r="H2" s="93" t="s">
        <v>399</v>
      </c>
      <c r="I2" s="93" t="s">
        <v>400</v>
      </c>
      <c r="J2" s="95" t="str">
        <f t="shared" ref="J2:J9" si="2">CONCATENATE($H$1,H2,$F$1,I2,$F$1)</f>
        <v>Unit 2!E5:G5</v>
      </c>
      <c r="K2" s="93" t="s">
        <v>399</v>
      </c>
      <c r="L2" s="93" t="s">
        <v>400</v>
      </c>
      <c r="M2" s="95" t="str">
        <f t="shared" ref="M2:M5" si="3">CONCATENATE($K$1,K2,$F$1,L2,$F$1)</f>
        <v>Unit 3!E5:G5</v>
      </c>
      <c r="N2" s="93" t="s">
        <v>399</v>
      </c>
      <c r="O2" s="93" t="s">
        <v>400</v>
      </c>
      <c r="P2" s="95" t="str">
        <f t="shared" ref="P2:P8" si="4">CONCATENATE($N$1,N2,$F$1,O2,$F$1)</f>
        <v>Unit 4!E5:G5</v>
      </c>
      <c r="Q2" s="93" t="s">
        <v>399</v>
      </c>
      <c r="R2" s="93" t="s">
        <v>400</v>
      </c>
      <c r="S2" s="95" t="str">
        <f t="shared" ref="S2:S8" si="5">CONCATENATE($Q$1,Q2,$F$1,R2,$F$1)</f>
        <v>Unit 5!E5:G5</v>
      </c>
      <c r="T2" s="93" t="s">
        <v>399</v>
      </c>
      <c r="U2" s="93" t="s">
        <v>400</v>
      </c>
      <c r="V2" s="95" t="str">
        <f t="shared" ref="V2:V10" si="6">CONCATENATE($T$1,T2,$F$1,U2,$F$1)</f>
        <v>Unit 6!E5:G5</v>
      </c>
      <c r="W2" s="93" t="s">
        <v>399</v>
      </c>
      <c r="X2" s="93" t="s">
        <v>400</v>
      </c>
      <c r="Y2" s="95" t="str">
        <f t="shared" ref="Y2:Y8" si="7">CONCATENATE($W$1,W2,$F$1,X2,$F$1)</f>
        <v>Unit 7!E5:G5</v>
      </c>
      <c r="Z2" s="93" t="s">
        <v>399</v>
      </c>
      <c r="AA2" s="93" t="s">
        <v>400</v>
      </c>
      <c r="AB2" s="95" t="str">
        <f t="shared" ref="AB2:AB8" si="8">CONCATENATE($Z$1,Z2,$F$1,AA2,$F$1)</f>
        <v>Unit 8!E5:G5</v>
      </c>
    </row>
    <row r="3">
      <c r="A3" s="92" t="str">
        <f>IFERROR(__xludf.DUMMYFUNCTION("""COMPUTED_VALUE"""),"Scholar 3")</f>
        <v>Scholar 3</v>
      </c>
      <c r="B3" s="92"/>
      <c r="C3" s="92">
        <f>IFERROR(__xludf.DUMMYFUNCTION("""COMPUTED_VALUE"""),3.0)</f>
        <v>3</v>
      </c>
      <c r="D3" s="93">
        <v>3.0</v>
      </c>
      <c r="E3" s="93" t="s">
        <v>401</v>
      </c>
      <c r="F3" s="93" t="s">
        <v>402</v>
      </c>
      <c r="G3" s="95" t="str">
        <f t="shared" si="1"/>
        <v>Unit 1!I5:K5</v>
      </c>
      <c r="H3" s="93" t="s">
        <v>401</v>
      </c>
      <c r="I3" s="93" t="s">
        <v>402</v>
      </c>
      <c r="J3" s="95" t="str">
        <f t="shared" si="2"/>
        <v>Unit 2!I5:K5</v>
      </c>
      <c r="K3" s="93" t="s">
        <v>401</v>
      </c>
      <c r="L3" s="93" t="s">
        <v>402</v>
      </c>
      <c r="M3" s="95" t="str">
        <f t="shared" si="3"/>
        <v>Unit 3!I5:K5</v>
      </c>
      <c r="N3" s="93" t="s">
        <v>401</v>
      </c>
      <c r="O3" s="93" t="s">
        <v>402</v>
      </c>
      <c r="P3" s="95" t="str">
        <f t="shared" si="4"/>
        <v>Unit 4!I5:K5</v>
      </c>
      <c r="Q3" s="93" t="s">
        <v>401</v>
      </c>
      <c r="R3" s="93" t="s">
        <v>402</v>
      </c>
      <c r="S3" s="95" t="str">
        <f t="shared" si="5"/>
        <v>Unit 5!I5:K5</v>
      </c>
      <c r="T3" s="93" t="s">
        <v>401</v>
      </c>
      <c r="U3" s="93" t="s">
        <v>402</v>
      </c>
      <c r="V3" s="95" t="str">
        <f t="shared" si="6"/>
        <v>Unit 6!I5:K5</v>
      </c>
      <c r="W3" s="93" t="s">
        <v>401</v>
      </c>
      <c r="X3" s="93" t="s">
        <v>402</v>
      </c>
      <c r="Y3" s="95" t="str">
        <f t="shared" si="7"/>
        <v>Unit 7!I5:K5</v>
      </c>
      <c r="Z3" s="93" t="s">
        <v>401</v>
      </c>
      <c r="AA3" s="93" t="s">
        <v>402</v>
      </c>
      <c r="AB3" s="95" t="str">
        <f t="shared" si="8"/>
        <v>Unit 8!I5:K5</v>
      </c>
    </row>
    <row r="4">
      <c r="A4" s="92" t="str">
        <f>IFERROR(__xludf.DUMMYFUNCTION("""COMPUTED_VALUE"""),"Scholar 4")</f>
        <v>Scholar 4</v>
      </c>
      <c r="B4" s="92"/>
      <c r="C4" s="92">
        <f>IFERROR(__xludf.DUMMYFUNCTION("""COMPUTED_VALUE"""),4.0)</f>
        <v>4</v>
      </c>
      <c r="D4" s="93">
        <v>4.0</v>
      </c>
      <c r="E4" s="93" t="s">
        <v>403</v>
      </c>
      <c r="F4" s="93" t="s">
        <v>404</v>
      </c>
      <c r="G4" s="95" t="str">
        <f t="shared" si="1"/>
        <v>Unit 1!M5:O5</v>
      </c>
      <c r="H4" s="93" t="s">
        <v>403</v>
      </c>
      <c r="I4" s="93" t="s">
        <v>404</v>
      </c>
      <c r="J4" s="95" t="str">
        <f t="shared" si="2"/>
        <v>Unit 2!M5:O5</v>
      </c>
      <c r="K4" s="93" t="s">
        <v>403</v>
      </c>
      <c r="L4" s="93" t="s">
        <v>404</v>
      </c>
      <c r="M4" s="95" t="str">
        <f t="shared" si="3"/>
        <v>Unit 3!M5:O5</v>
      </c>
      <c r="N4" s="93" t="s">
        <v>403</v>
      </c>
      <c r="O4" s="93" t="s">
        <v>404</v>
      </c>
      <c r="P4" s="95" t="str">
        <f t="shared" si="4"/>
        <v>Unit 4!M5:O5</v>
      </c>
      <c r="Q4" s="93" t="s">
        <v>403</v>
      </c>
      <c r="R4" s="93" t="s">
        <v>404</v>
      </c>
      <c r="S4" s="95" t="str">
        <f t="shared" si="5"/>
        <v>Unit 5!M5:O5</v>
      </c>
      <c r="T4" s="93" t="s">
        <v>403</v>
      </c>
      <c r="U4" s="93" t="s">
        <v>404</v>
      </c>
      <c r="V4" s="95" t="str">
        <f t="shared" si="6"/>
        <v>Unit 6!M5:O5</v>
      </c>
      <c r="W4" s="93" t="s">
        <v>403</v>
      </c>
      <c r="X4" s="93" t="s">
        <v>404</v>
      </c>
      <c r="Y4" s="95" t="str">
        <f t="shared" si="7"/>
        <v>Unit 7!M5:O5</v>
      </c>
      <c r="Z4" s="93" t="s">
        <v>403</v>
      </c>
      <c r="AA4" s="93" t="s">
        <v>404</v>
      </c>
      <c r="AB4" s="95" t="str">
        <f t="shared" si="8"/>
        <v>Unit 8!M5:O5</v>
      </c>
    </row>
    <row r="5">
      <c r="A5" s="92" t="str">
        <f>IFERROR(__xludf.DUMMYFUNCTION("""COMPUTED_VALUE"""),"Scholar 5")</f>
        <v>Scholar 5</v>
      </c>
      <c r="B5" s="92"/>
      <c r="C5" s="92">
        <f>IFERROR(__xludf.DUMMYFUNCTION("""COMPUTED_VALUE"""),5.0)</f>
        <v>5</v>
      </c>
      <c r="D5" s="93">
        <v>5.0</v>
      </c>
      <c r="E5" s="93" t="s">
        <v>405</v>
      </c>
      <c r="F5" s="93" t="s">
        <v>406</v>
      </c>
      <c r="G5" s="95" t="str">
        <f t="shared" si="1"/>
        <v>Unit 1!Q5:Q5</v>
      </c>
      <c r="H5" s="93" t="s">
        <v>405</v>
      </c>
      <c r="I5" s="93" t="s">
        <v>407</v>
      </c>
      <c r="J5" s="95" t="str">
        <f t="shared" si="2"/>
        <v>Unit 2!Q5:S5</v>
      </c>
      <c r="K5" s="93" t="s">
        <v>405</v>
      </c>
      <c r="L5" s="93" t="s">
        <v>407</v>
      </c>
      <c r="M5" s="95" t="str">
        <f t="shared" si="3"/>
        <v>Unit 3!Q5:S5</v>
      </c>
      <c r="N5" s="93" t="s">
        <v>405</v>
      </c>
      <c r="O5" s="93" t="s">
        <v>407</v>
      </c>
      <c r="P5" s="95" t="str">
        <f t="shared" si="4"/>
        <v>Unit 4!Q5:S5</v>
      </c>
      <c r="Q5" s="93" t="s">
        <v>405</v>
      </c>
      <c r="R5" s="93" t="s">
        <v>407</v>
      </c>
      <c r="S5" s="95" t="str">
        <f t="shared" si="5"/>
        <v>Unit 5!Q5:S5</v>
      </c>
      <c r="T5" s="93" t="s">
        <v>405</v>
      </c>
      <c r="U5" s="93" t="s">
        <v>407</v>
      </c>
      <c r="V5" s="95" t="str">
        <f t="shared" si="6"/>
        <v>Unit 6!Q5:S5</v>
      </c>
      <c r="W5" s="93" t="s">
        <v>405</v>
      </c>
      <c r="X5" s="93" t="s">
        <v>407</v>
      </c>
      <c r="Y5" s="95" t="str">
        <f t="shared" si="7"/>
        <v>Unit 7!Q5:S5</v>
      </c>
      <c r="Z5" s="93" t="s">
        <v>405</v>
      </c>
      <c r="AA5" s="93" t="s">
        <v>407</v>
      </c>
      <c r="AB5" s="95" t="str">
        <f t="shared" si="8"/>
        <v>Unit 8!Q5:S5</v>
      </c>
    </row>
    <row r="6">
      <c r="A6" s="92" t="str">
        <f>IFERROR(__xludf.DUMMYFUNCTION("""COMPUTED_VALUE"""),"Scholar 6")</f>
        <v>Scholar 6</v>
      </c>
      <c r="B6" s="92"/>
      <c r="C6" s="92">
        <f>IFERROR(__xludf.DUMMYFUNCTION("""COMPUTED_VALUE"""),6.0)</f>
        <v>6</v>
      </c>
      <c r="D6" s="93">
        <v>6.0</v>
      </c>
      <c r="E6" s="93" t="s">
        <v>408</v>
      </c>
      <c r="F6" s="93" t="s">
        <v>409</v>
      </c>
      <c r="G6" s="95" t="str">
        <f t="shared" si="1"/>
        <v>Unit 1!S5:T5</v>
      </c>
      <c r="H6" s="93" t="s">
        <v>410</v>
      </c>
      <c r="I6" s="93" t="s">
        <v>411</v>
      </c>
      <c r="J6" s="95" t="str">
        <f t="shared" si="2"/>
        <v>Unit 2!U5:W5</v>
      </c>
      <c r="N6" s="93" t="s">
        <v>410</v>
      </c>
      <c r="O6" s="93" t="s">
        <v>411</v>
      </c>
      <c r="P6" s="95" t="str">
        <f t="shared" si="4"/>
        <v>Unit 4!U5:W5</v>
      </c>
      <c r="Q6" s="93" t="s">
        <v>410</v>
      </c>
      <c r="R6" s="93" t="s">
        <v>411</v>
      </c>
      <c r="S6" s="95" t="str">
        <f t="shared" si="5"/>
        <v>Unit 5!U5:W5</v>
      </c>
      <c r="T6" s="93" t="s">
        <v>410</v>
      </c>
      <c r="U6" s="93" t="s">
        <v>411</v>
      </c>
      <c r="V6" s="95" t="str">
        <f t="shared" si="6"/>
        <v>Unit 6!U5:W5</v>
      </c>
      <c r="W6" s="93" t="s">
        <v>410</v>
      </c>
      <c r="X6" s="93" t="s">
        <v>411</v>
      </c>
      <c r="Y6" s="95" t="str">
        <f t="shared" si="7"/>
        <v>Unit 7!U5:W5</v>
      </c>
      <c r="Z6" s="93" t="s">
        <v>410</v>
      </c>
      <c r="AA6" s="93" t="s">
        <v>411</v>
      </c>
      <c r="AB6" s="95" t="str">
        <f t="shared" si="8"/>
        <v>Unit 8!U5:W5</v>
      </c>
    </row>
    <row r="7">
      <c r="A7" s="92" t="str">
        <f>IFERROR(__xludf.DUMMYFUNCTION("""COMPUTED_VALUE"""),"Scholar 7")</f>
        <v>Scholar 7</v>
      </c>
      <c r="B7" s="92"/>
      <c r="C7" s="92">
        <f>IFERROR(__xludf.DUMMYFUNCTION("""COMPUTED_VALUE"""),7.0)</f>
        <v>7</v>
      </c>
      <c r="D7" s="93">
        <v>7.0</v>
      </c>
      <c r="E7" s="93" t="s">
        <v>412</v>
      </c>
      <c r="F7" s="93" t="s">
        <v>413</v>
      </c>
      <c r="G7" s="95" t="str">
        <f t="shared" si="1"/>
        <v>Unit 1!V5:X5</v>
      </c>
      <c r="H7" s="93" t="s">
        <v>414</v>
      </c>
      <c r="I7" s="93" t="s">
        <v>415</v>
      </c>
      <c r="J7" s="95" t="str">
        <f t="shared" si="2"/>
        <v>Unit 2!Y5:AA5</v>
      </c>
      <c r="N7" s="93" t="s">
        <v>414</v>
      </c>
      <c r="O7" s="93" t="s">
        <v>415</v>
      </c>
      <c r="P7" s="95" t="str">
        <f t="shared" si="4"/>
        <v>Unit 4!Y5:AA5</v>
      </c>
      <c r="Q7" s="93" t="s">
        <v>414</v>
      </c>
      <c r="R7" s="93" t="s">
        <v>415</v>
      </c>
      <c r="S7" s="95" t="str">
        <f t="shared" si="5"/>
        <v>Unit 5!Y5:AA5</v>
      </c>
      <c r="T7" s="93" t="s">
        <v>414</v>
      </c>
      <c r="U7" s="93" t="s">
        <v>415</v>
      </c>
      <c r="V7" s="95" t="str">
        <f t="shared" si="6"/>
        <v>Unit 6!Y5:AA5</v>
      </c>
      <c r="W7" s="93" t="s">
        <v>414</v>
      </c>
      <c r="X7" s="93" t="s">
        <v>415</v>
      </c>
      <c r="Y7" s="95" t="str">
        <f t="shared" si="7"/>
        <v>Unit 7!Y5:AA5</v>
      </c>
      <c r="Z7" s="93" t="s">
        <v>414</v>
      </c>
      <c r="AA7" s="93" t="s">
        <v>415</v>
      </c>
      <c r="AB7" s="95" t="str">
        <f t="shared" si="8"/>
        <v>Unit 8!Y5:AA5</v>
      </c>
    </row>
    <row r="8">
      <c r="A8" s="92" t="str">
        <f>IFERROR(__xludf.DUMMYFUNCTION("""COMPUTED_VALUE"""),"Scholar 8")</f>
        <v>Scholar 8</v>
      </c>
      <c r="B8" s="92"/>
      <c r="C8" s="92">
        <f>IFERROR(__xludf.DUMMYFUNCTION("""COMPUTED_VALUE"""),8.0)</f>
        <v>8</v>
      </c>
      <c r="D8" s="93">
        <v>8.0</v>
      </c>
      <c r="E8" s="93" t="s">
        <v>416</v>
      </c>
      <c r="F8" s="93" t="s">
        <v>417</v>
      </c>
      <c r="G8" s="95" t="str">
        <f t="shared" si="1"/>
        <v>Unit 1!Z5:AB5</v>
      </c>
      <c r="H8" s="93" t="s">
        <v>418</v>
      </c>
      <c r="I8" s="93" t="s">
        <v>419</v>
      </c>
      <c r="J8" s="95" t="str">
        <f t="shared" si="2"/>
        <v>Unit 2!AC5:AE5</v>
      </c>
      <c r="N8" s="93" t="s">
        <v>418</v>
      </c>
      <c r="O8" s="93" t="s">
        <v>419</v>
      </c>
      <c r="P8" s="95" t="str">
        <f t="shared" si="4"/>
        <v>Unit 4!AC5:AE5</v>
      </c>
      <c r="Q8" s="93" t="s">
        <v>418</v>
      </c>
      <c r="R8" s="93" t="s">
        <v>419</v>
      </c>
      <c r="S8" s="95" t="str">
        <f t="shared" si="5"/>
        <v>Unit 5!AC5:AE5</v>
      </c>
      <c r="T8" s="93" t="s">
        <v>418</v>
      </c>
      <c r="U8" s="93" t="s">
        <v>419</v>
      </c>
      <c r="V8" s="95" t="str">
        <f t="shared" si="6"/>
        <v>Unit 6!AC5:AE5</v>
      </c>
      <c r="W8" s="93" t="s">
        <v>418</v>
      </c>
      <c r="X8" s="93" t="s">
        <v>419</v>
      </c>
      <c r="Y8" s="95" t="str">
        <f t="shared" si="7"/>
        <v>Unit 7!AC5:AE5</v>
      </c>
      <c r="Z8" s="93" t="s">
        <v>418</v>
      </c>
      <c r="AA8" s="93" t="s">
        <v>419</v>
      </c>
      <c r="AB8" s="95" t="str">
        <f t="shared" si="8"/>
        <v>Unit 8!AC5:AE5</v>
      </c>
    </row>
    <row r="9">
      <c r="A9" s="92" t="str">
        <f>IFERROR(__xludf.DUMMYFUNCTION("""COMPUTED_VALUE"""),"Scholar 9")</f>
        <v>Scholar 9</v>
      </c>
      <c r="B9" s="92"/>
      <c r="C9" s="92">
        <f>IFERROR(__xludf.DUMMYFUNCTION("""COMPUTED_VALUE"""),9.0)</f>
        <v>9</v>
      </c>
      <c r="D9" s="93">
        <v>9.0</v>
      </c>
      <c r="E9" s="93" t="s">
        <v>420</v>
      </c>
      <c r="F9" s="93" t="s">
        <v>421</v>
      </c>
      <c r="G9" s="95" t="str">
        <f t="shared" si="1"/>
        <v>Unit 1!AD5:AF5</v>
      </c>
      <c r="H9" s="93" t="s">
        <v>422</v>
      </c>
      <c r="I9" s="93" t="s">
        <v>423</v>
      </c>
      <c r="J9" s="95" t="str">
        <f t="shared" si="2"/>
        <v>Unit 2!AG5:AI5</v>
      </c>
      <c r="T9" s="93" t="s">
        <v>422</v>
      </c>
      <c r="U9" s="93" t="s">
        <v>423</v>
      </c>
      <c r="V9" s="95" t="str">
        <f t="shared" si="6"/>
        <v>Unit 6!AG5:AI5</v>
      </c>
    </row>
    <row r="10">
      <c r="A10" s="92" t="str">
        <f>IFERROR(__xludf.DUMMYFUNCTION("""COMPUTED_VALUE"""),"Scholar 10")</f>
        <v>Scholar 10</v>
      </c>
      <c r="B10" s="92"/>
      <c r="C10" s="92">
        <f>IFERROR(__xludf.DUMMYFUNCTION("""COMPUTED_VALUE"""),10.0)</f>
        <v>10</v>
      </c>
      <c r="D10" s="93">
        <v>10.0</v>
      </c>
      <c r="E10" s="93" t="s">
        <v>424</v>
      </c>
      <c r="F10" s="93" t="s">
        <v>425</v>
      </c>
      <c r="G10" s="95" t="str">
        <f t="shared" si="1"/>
        <v>Unit 1!AH5:AJ5</v>
      </c>
      <c r="T10" s="93" t="s">
        <v>426</v>
      </c>
      <c r="U10" s="93" t="s">
        <v>427</v>
      </c>
      <c r="V10" s="95" t="str">
        <f t="shared" si="6"/>
        <v>Unit 6!AK5:AM5</v>
      </c>
    </row>
    <row r="11">
      <c r="A11" s="92" t="str">
        <f>IFERROR(__xludf.DUMMYFUNCTION("""COMPUTED_VALUE"""),"Scholar 11")</f>
        <v>Scholar 11</v>
      </c>
      <c r="B11" s="92"/>
      <c r="C11" s="92">
        <f>IFERROR(__xludf.DUMMYFUNCTION("""COMPUTED_VALUE"""),11.0)</f>
        <v>11</v>
      </c>
      <c r="D11" s="93">
        <v>11.0</v>
      </c>
      <c r="E11" s="93" t="s">
        <v>428</v>
      </c>
      <c r="F11" s="93" t="s">
        <v>429</v>
      </c>
      <c r="G11" s="95" t="str">
        <f t="shared" si="1"/>
        <v>Unit 1!AL5:AN5</v>
      </c>
    </row>
    <row r="12">
      <c r="A12" s="92" t="str">
        <f>IFERROR(__xludf.DUMMYFUNCTION("""COMPUTED_VALUE"""),"Scholar 12")</f>
        <v>Scholar 12</v>
      </c>
      <c r="B12" s="92"/>
      <c r="C12" s="92">
        <f>IFERROR(__xludf.DUMMYFUNCTION("""COMPUTED_VALUE"""),12.0)</f>
        <v>12</v>
      </c>
      <c r="D12" s="93">
        <v>12.0</v>
      </c>
      <c r="E12" s="93" t="s">
        <v>430</v>
      </c>
      <c r="F12" s="93" t="s">
        <v>431</v>
      </c>
      <c r="G12" s="95" t="str">
        <f t="shared" si="1"/>
        <v>Unit 1!AP5:AR5</v>
      </c>
    </row>
    <row r="13">
      <c r="A13" s="92" t="str">
        <f>IFERROR(__xludf.DUMMYFUNCTION("""COMPUTED_VALUE"""),"Scholar 13")</f>
        <v>Scholar 13</v>
      </c>
      <c r="B13" s="92"/>
      <c r="C13" s="92">
        <f>IFERROR(__xludf.DUMMYFUNCTION("""COMPUTED_VALUE"""),13.0)</f>
        <v>13</v>
      </c>
      <c r="D13" s="93">
        <v>13.0</v>
      </c>
      <c r="E13" s="93" t="s">
        <v>432</v>
      </c>
      <c r="F13" s="93" t="s">
        <v>433</v>
      </c>
      <c r="G13" s="95" t="str">
        <f t="shared" si="1"/>
        <v>Unit 1!AT5:AV5</v>
      </c>
    </row>
    <row r="14">
      <c r="A14" s="92" t="str">
        <f>IFERROR(__xludf.DUMMYFUNCTION("""COMPUTED_VALUE"""),"Scholar 14")</f>
        <v>Scholar 14</v>
      </c>
      <c r="B14" s="92"/>
      <c r="C14" s="92">
        <f>IFERROR(__xludf.DUMMYFUNCTION("""COMPUTED_VALUE"""),14.0)</f>
        <v>14</v>
      </c>
      <c r="D14" s="93">
        <v>14.0</v>
      </c>
      <c r="G14" s="95"/>
    </row>
    <row r="15">
      <c r="A15" s="92" t="str">
        <f>IFERROR(__xludf.DUMMYFUNCTION("""COMPUTED_VALUE"""),"Scholar 15")</f>
        <v>Scholar 15</v>
      </c>
      <c r="B15" s="92"/>
      <c r="C15" s="92">
        <f>IFERROR(__xludf.DUMMYFUNCTION("""COMPUTED_VALUE"""),15.0)</f>
        <v>15</v>
      </c>
      <c r="D15" s="93">
        <v>15.0</v>
      </c>
      <c r="G15" s="95"/>
    </row>
    <row r="16">
      <c r="A16" s="92" t="str">
        <f>IFERROR(__xludf.DUMMYFUNCTION("""COMPUTED_VALUE"""),"Scholar 16")</f>
        <v>Scholar 16</v>
      </c>
      <c r="B16" s="92"/>
      <c r="C16" s="92">
        <f>IFERROR(__xludf.DUMMYFUNCTION("""COMPUTED_VALUE"""),16.0)</f>
        <v>16</v>
      </c>
      <c r="D16" s="93">
        <v>16.0</v>
      </c>
      <c r="G16" s="95"/>
    </row>
    <row r="17">
      <c r="A17" s="92" t="str">
        <f>IFERROR(__xludf.DUMMYFUNCTION("""COMPUTED_VALUE"""),"Scholar 17")</f>
        <v>Scholar 17</v>
      </c>
      <c r="B17" s="92"/>
      <c r="C17" s="92">
        <f>IFERROR(__xludf.DUMMYFUNCTION("""COMPUTED_VALUE"""),17.0)</f>
        <v>17</v>
      </c>
      <c r="D17" s="93">
        <v>17.0</v>
      </c>
      <c r="G17" s="95"/>
    </row>
    <row r="18">
      <c r="A18" s="92" t="str">
        <f>IFERROR(__xludf.DUMMYFUNCTION("""COMPUTED_VALUE"""),"Scholar 18")</f>
        <v>Scholar 18</v>
      </c>
      <c r="B18" s="92"/>
      <c r="C18" s="92">
        <f>IFERROR(__xludf.DUMMYFUNCTION("""COMPUTED_VALUE"""),18.0)</f>
        <v>18</v>
      </c>
      <c r="D18" s="93">
        <v>18.0</v>
      </c>
    </row>
    <row r="19">
      <c r="A19" s="92" t="str">
        <f>IFERROR(__xludf.DUMMYFUNCTION("""COMPUTED_VALUE"""),"Scholar 19")</f>
        <v>Scholar 19</v>
      </c>
      <c r="B19" s="92"/>
      <c r="C19" s="92">
        <f>IFERROR(__xludf.DUMMYFUNCTION("""COMPUTED_VALUE"""),19.0)</f>
        <v>19</v>
      </c>
      <c r="D19" s="93">
        <v>19.0</v>
      </c>
    </row>
    <row r="20">
      <c r="A20" s="92" t="str">
        <f>IFERROR(__xludf.DUMMYFUNCTION("""COMPUTED_VALUE"""),"Scholar 20")</f>
        <v>Scholar 20</v>
      </c>
      <c r="B20" s="92"/>
      <c r="C20" s="92">
        <f>IFERROR(__xludf.DUMMYFUNCTION("""COMPUTED_VALUE"""),20.0)</f>
        <v>20</v>
      </c>
      <c r="D20" s="93">
        <v>20.0</v>
      </c>
    </row>
    <row r="21">
      <c r="A21" s="92" t="str">
        <f>IFERROR(__xludf.DUMMYFUNCTION("""COMPUTED_VALUE"""),"Scholar 21")</f>
        <v>Scholar 21</v>
      </c>
      <c r="B21" s="92"/>
      <c r="C21" s="92">
        <f>IFERROR(__xludf.DUMMYFUNCTION("""COMPUTED_VALUE"""),21.0)</f>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2" width="17.88"/>
    <col customWidth="1" min="4" max="4" width="2.0"/>
    <col customWidth="1" min="5" max="5" width="9.38"/>
    <col customWidth="1" min="6" max="7" width="8.75"/>
    <col customWidth="1" min="8" max="8" width="2.38"/>
  </cols>
  <sheetData>
    <row r="1">
      <c r="A1" s="18" t="s">
        <v>19</v>
      </c>
      <c r="B1" s="3"/>
      <c r="C1" s="19">
        <f>if(countif(E4:G31,"=0")=counta(E4:G31),0, averageif(E4:G31,"&gt;0"))</f>
        <v>0.5791132756</v>
      </c>
      <c r="D1" s="3"/>
      <c r="E1" s="18" t="s">
        <v>20</v>
      </c>
      <c r="F1" s="20"/>
      <c r="G1" s="20"/>
      <c r="H1" s="3"/>
      <c r="I1" s="21">
        <f>'Course Totals'!C6</f>
        <v>0.5672004612</v>
      </c>
      <c r="J1" s="22"/>
    </row>
    <row r="2" ht="11.25" customHeight="1">
      <c r="A2" s="23"/>
      <c r="B2" s="23"/>
      <c r="C2" s="23"/>
      <c r="D2" s="12"/>
      <c r="E2" s="23"/>
      <c r="F2" s="23"/>
      <c r="G2" s="23"/>
      <c r="H2" s="12"/>
      <c r="I2" s="23"/>
      <c r="J2" s="23"/>
    </row>
    <row r="3" ht="33.75" customHeight="1">
      <c r="A3" s="24" t="s">
        <v>21</v>
      </c>
      <c r="B3" s="24" t="s">
        <v>22</v>
      </c>
      <c r="C3" s="24" t="s">
        <v>23</v>
      </c>
      <c r="D3" s="25"/>
      <c r="E3" s="24" t="s">
        <v>24</v>
      </c>
      <c r="F3" s="24" t="s">
        <v>25</v>
      </c>
      <c r="G3" s="24" t="s">
        <v>26</v>
      </c>
      <c r="H3" s="26"/>
      <c r="I3" s="24" t="s">
        <v>27</v>
      </c>
      <c r="J3" s="24" t="s">
        <v>28</v>
      </c>
    </row>
    <row r="4">
      <c r="A4" s="27" t="s">
        <v>29</v>
      </c>
      <c r="B4" s="28" t="s">
        <v>30</v>
      </c>
      <c r="C4" s="29" t="s">
        <v>31</v>
      </c>
      <c r="D4" s="30"/>
      <c r="E4" s="31">
        <f>IFERROR(__xludf.DUMMYFUNCTION("IMPORTRANGE(""https://docs.google.com/spreadsheets/d/1wUVtOyO-XNnsM2MyNUqaz7fUtRybTxAZb80EBpwMKGA/edit#gid=0"", Hidden!G2)"),0.5385714285714286)</f>
        <v>0.5385714286</v>
      </c>
      <c r="F4" s="31">
        <f>IFERROR(__xludf.DUMMYFUNCTION("""COMPUTED_VALUE"""),0.6147619047619047)</f>
        <v>0.6147619048</v>
      </c>
      <c r="G4" s="31">
        <f>IFERROR(__xludf.DUMMYFUNCTION("""COMPUTED_VALUE"""),0.5485714285714287)</f>
        <v>0.5485714286</v>
      </c>
      <c r="H4" s="30"/>
      <c r="I4" s="32" t="s">
        <v>29</v>
      </c>
      <c r="J4" s="33"/>
    </row>
    <row r="5">
      <c r="A5" s="34"/>
      <c r="B5" s="34"/>
      <c r="C5" s="35" t="s">
        <v>32</v>
      </c>
      <c r="D5" s="30"/>
      <c r="E5" s="34"/>
      <c r="F5" s="34"/>
      <c r="G5" s="34"/>
      <c r="H5" s="30"/>
      <c r="I5" s="36"/>
      <c r="J5" s="36"/>
    </row>
    <row r="6">
      <c r="A6" s="37"/>
      <c r="B6" s="37"/>
      <c r="C6" s="29" t="s">
        <v>33</v>
      </c>
      <c r="D6" s="30"/>
      <c r="E6" s="37"/>
      <c r="F6" s="37"/>
      <c r="G6" s="37"/>
      <c r="H6" s="30"/>
      <c r="I6" s="38"/>
      <c r="J6" s="38"/>
    </row>
    <row r="7">
      <c r="A7" s="27" t="s">
        <v>34</v>
      </c>
      <c r="B7" s="39" t="s">
        <v>35</v>
      </c>
      <c r="C7" s="39" t="s">
        <v>36</v>
      </c>
      <c r="D7" s="30"/>
      <c r="E7" s="40">
        <f>IFERROR(__xludf.DUMMYFUNCTION("IMPORTRANGE(""https://docs.google.com/spreadsheets/d/1wUVtOyO-XNnsM2MyNUqaz7fUtRybTxAZb80EBpwMKGA/edit#gid=0"", Hidden!G3)"),0.6380952380952382)</f>
        <v>0.6380952381</v>
      </c>
      <c r="F7" s="41">
        <f>IFERROR(__xludf.DUMMYFUNCTION("""COMPUTED_VALUE"""),0.638)</f>
        <v>0.638</v>
      </c>
      <c r="G7" s="41">
        <f>IFERROR(__xludf.DUMMYFUNCTION("""COMPUTED_VALUE"""),0.5080952380952382)</f>
        <v>0.5080952381</v>
      </c>
      <c r="H7" s="30"/>
      <c r="I7" s="32" t="s">
        <v>34</v>
      </c>
      <c r="J7" s="32" t="s">
        <v>37</v>
      </c>
    </row>
    <row r="8">
      <c r="A8" s="37"/>
      <c r="B8" s="29" t="s">
        <v>38</v>
      </c>
      <c r="C8" s="42" t="s">
        <v>39</v>
      </c>
      <c r="D8" s="30"/>
      <c r="E8" s="40">
        <f>IFERROR(__xludf.DUMMYFUNCTION("IMPORTRANGE(""https://docs.google.com/spreadsheets/d/1wUVtOyO-XNnsM2MyNUqaz7fUtRybTxAZb80EBpwMKGA/edit#gid=0"", Hidden!G4)"),0.6195238095238095)</f>
        <v>0.6195238095</v>
      </c>
      <c r="F8" s="41">
        <f>IFERROR(__xludf.DUMMYFUNCTION("""COMPUTED_VALUE"""),0.5276190476190475)</f>
        <v>0.5276190476</v>
      </c>
      <c r="G8" s="41">
        <f>IFERROR(__xludf.DUMMYFUNCTION("""COMPUTED_VALUE"""),0.5685714285714285)</f>
        <v>0.5685714286</v>
      </c>
      <c r="H8" s="30"/>
      <c r="I8" s="38"/>
      <c r="J8" s="38"/>
    </row>
    <row r="9">
      <c r="A9" s="43" t="s">
        <v>40</v>
      </c>
      <c r="B9" s="44" t="s">
        <v>41</v>
      </c>
      <c r="C9" s="39" t="s">
        <v>42</v>
      </c>
      <c r="D9" s="30"/>
      <c r="E9" s="31">
        <f>IFERROR(__xludf.DUMMYFUNCTION("IMPORTRANGE(""https://docs.google.com/spreadsheets/d/1wUVtOyO-XNnsM2MyNUqaz7fUtRybTxAZb80EBpwMKGA/edit#gid=0"", Hidden!G5)"),0.6595238095238095)</f>
        <v>0.6595238095</v>
      </c>
      <c r="F9" s="45">
        <f>IFERROR(__xludf.DUMMYFUNCTION("IMPORTRANGE(""https://docs.google.com/spreadsheets/d/1wUVtOyO-XNnsM2MyNUqaz7fUtRybTxAZb80EBpwMKGA/edit#gid=0"", Hidden!G6)"),0.5638095238095238)</f>
        <v>0.5638095238</v>
      </c>
      <c r="G9" s="31">
        <f>IFERROR(__xludf.DUMMYFUNCTION("""COMPUTED_VALUE"""),0.6323809523809525)</f>
        <v>0.6323809524</v>
      </c>
      <c r="H9" s="30"/>
      <c r="I9" s="32" t="s">
        <v>40</v>
      </c>
      <c r="J9" s="32" t="s">
        <v>43</v>
      </c>
    </row>
    <row r="10">
      <c r="A10" s="34"/>
      <c r="B10" s="34"/>
      <c r="C10" s="46" t="s">
        <v>44</v>
      </c>
      <c r="D10" s="30"/>
      <c r="E10" s="34"/>
      <c r="F10" s="47"/>
      <c r="G10" s="34"/>
      <c r="H10" s="30"/>
      <c r="I10" s="48"/>
      <c r="J10" s="48"/>
    </row>
    <row r="11">
      <c r="A11" s="34"/>
      <c r="B11" s="34"/>
      <c r="C11" s="39" t="s">
        <v>45</v>
      </c>
      <c r="D11" s="30"/>
      <c r="E11" s="34"/>
      <c r="F11" s="47"/>
      <c r="G11" s="34"/>
      <c r="H11" s="30"/>
      <c r="I11" s="36"/>
      <c r="J11" s="36"/>
    </row>
    <row r="12">
      <c r="A12" s="37"/>
      <c r="B12" s="34"/>
      <c r="C12" s="46" t="s">
        <v>46</v>
      </c>
      <c r="D12" s="30"/>
      <c r="E12" s="34"/>
      <c r="F12" s="47"/>
      <c r="G12" s="34"/>
      <c r="H12" s="30"/>
      <c r="I12" s="38"/>
      <c r="J12" s="38"/>
    </row>
    <row r="13">
      <c r="A13" s="49" t="s">
        <v>47</v>
      </c>
      <c r="B13" s="37"/>
      <c r="C13" s="39" t="s">
        <v>48</v>
      </c>
      <c r="D13" s="30"/>
      <c r="E13" s="37"/>
      <c r="F13" s="50"/>
      <c r="G13" s="37"/>
      <c r="H13" s="30"/>
      <c r="I13" s="51" t="s">
        <v>47</v>
      </c>
      <c r="J13" s="51" t="s">
        <v>49</v>
      </c>
    </row>
    <row r="14">
      <c r="A14" s="43" t="s">
        <v>50</v>
      </c>
      <c r="B14" s="28" t="s">
        <v>51</v>
      </c>
      <c r="C14" s="42" t="s">
        <v>52</v>
      </c>
      <c r="D14" s="30"/>
      <c r="E14" s="45">
        <f>IFERROR(__xludf.DUMMYFUNCTION("IMPORTRANGE(""https://docs.google.com/spreadsheets/d/1wUVtOyO-XNnsM2MyNUqaz7fUtRybTxAZb80EBpwMKGA/edit#gid=0"", Hidden!G7)"),0.5561904761904761)</f>
        <v>0.5561904762</v>
      </c>
      <c r="F14" s="31">
        <f>IFERROR(__xludf.DUMMYFUNCTION("""COMPUTED_VALUE"""),0.5728571428571426)</f>
        <v>0.5728571429</v>
      </c>
      <c r="G14" s="31">
        <f>IFERROR(__xludf.DUMMYFUNCTION("""COMPUTED_VALUE"""),0.5695238095238094)</f>
        <v>0.5695238095</v>
      </c>
      <c r="H14" s="30"/>
      <c r="I14" s="32" t="s">
        <v>50</v>
      </c>
      <c r="J14" s="32" t="s">
        <v>53</v>
      </c>
    </row>
    <row r="15">
      <c r="A15" s="37"/>
      <c r="B15" s="37"/>
      <c r="C15" s="52" t="s">
        <v>54</v>
      </c>
      <c r="D15" s="30"/>
      <c r="E15" s="50"/>
      <c r="F15" s="37"/>
      <c r="G15" s="37"/>
      <c r="H15" s="30"/>
      <c r="I15" s="53"/>
      <c r="J15" s="53"/>
    </row>
    <row r="16">
      <c r="A16" s="49" t="s">
        <v>55</v>
      </c>
      <c r="B16" s="44" t="s">
        <v>56</v>
      </c>
      <c r="C16" s="39" t="s">
        <v>57</v>
      </c>
      <c r="D16" s="30"/>
      <c r="E16" s="45">
        <f>IFERROR(__xludf.DUMMYFUNCTION("IMPORTRANGE(""https://docs.google.com/spreadsheets/d/1wUVtOyO-XNnsM2MyNUqaz7fUtRybTxAZb80EBpwMKGA/edit#gid=0"", Hidden!G8)"),0.5971428571428571)</f>
        <v>0.5971428571</v>
      </c>
      <c r="F16" s="31">
        <f>IFERROR(__xludf.DUMMYFUNCTION("""COMPUTED_VALUE"""),0.5933333333333334)</f>
        <v>0.5933333333</v>
      </c>
      <c r="G16" s="31">
        <f>IFERROR(__xludf.DUMMYFUNCTION("""COMPUTED_VALUE"""),0.5304761904761905)</f>
        <v>0.5304761905</v>
      </c>
      <c r="H16" s="30"/>
      <c r="I16" s="51" t="s">
        <v>55</v>
      </c>
      <c r="J16" s="51" t="s">
        <v>58</v>
      </c>
    </row>
    <row r="17">
      <c r="A17" s="49" t="s">
        <v>59</v>
      </c>
      <c r="B17" s="34"/>
      <c r="C17" s="54"/>
      <c r="D17" s="30"/>
      <c r="E17" s="47"/>
      <c r="F17" s="34"/>
      <c r="G17" s="34"/>
      <c r="H17" s="30"/>
      <c r="I17" s="51" t="s">
        <v>59</v>
      </c>
      <c r="J17" s="51" t="s">
        <v>60</v>
      </c>
    </row>
    <row r="18">
      <c r="A18" s="49" t="s">
        <v>61</v>
      </c>
      <c r="B18" s="34"/>
      <c r="C18" s="39" t="s">
        <v>62</v>
      </c>
      <c r="D18" s="30"/>
      <c r="E18" s="47"/>
      <c r="F18" s="34"/>
      <c r="G18" s="34"/>
      <c r="H18" s="30"/>
      <c r="I18" s="51" t="s">
        <v>61</v>
      </c>
      <c r="J18" s="32" t="s">
        <v>63</v>
      </c>
    </row>
    <row r="19">
      <c r="A19" s="49" t="s">
        <v>64</v>
      </c>
      <c r="B19" s="37"/>
      <c r="C19" s="54"/>
      <c r="D19" s="30"/>
      <c r="E19" s="50"/>
      <c r="F19" s="37"/>
      <c r="G19" s="37"/>
      <c r="H19" s="30"/>
      <c r="I19" s="51" t="s">
        <v>64</v>
      </c>
      <c r="J19" s="53"/>
    </row>
    <row r="20">
      <c r="A20" s="49" t="s">
        <v>65</v>
      </c>
      <c r="B20" s="28" t="s">
        <v>66</v>
      </c>
      <c r="C20" s="42" t="s">
        <v>67</v>
      </c>
      <c r="D20" s="30"/>
      <c r="E20" s="45">
        <f>IFERROR(__xludf.DUMMYFUNCTION("IMPORTRANGE(""https://docs.google.com/spreadsheets/d/1wUVtOyO-XNnsM2MyNUqaz7fUtRybTxAZb80EBpwMKGA/edit#gid=0"", Hidden!G9)"),0.6375)</f>
        <v>0.6375</v>
      </c>
      <c r="F20" s="31">
        <f>IFERROR(__xludf.DUMMYFUNCTION("""COMPUTED_VALUE"""),0.6661904761904761)</f>
        <v>0.6661904762</v>
      </c>
      <c r="G20" s="31">
        <f>IFERROR(__xludf.DUMMYFUNCTION("""COMPUTED_VALUE"""),0.5395238095238094)</f>
        <v>0.5395238095</v>
      </c>
      <c r="H20" s="30"/>
      <c r="I20" s="51" t="s">
        <v>65</v>
      </c>
      <c r="J20" s="51" t="s">
        <v>68</v>
      </c>
    </row>
    <row r="21">
      <c r="A21" s="49" t="s">
        <v>69</v>
      </c>
      <c r="B21" s="37"/>
      <c r="C21" s="52" t="s">
        <v>70</v>
      </c>
      <c r="D21" s="30"/>
      <c r="E21" s="50"/>
      <c r="F21" s="37"/>
      <c r="G21" s="37"/>
      <c r="H21" s="30"/>
      <c r="I21" s="51" t="s">
        <v>69</v>
      </c>
      <c r="J21" s="51" t="s">
        <v>71</v>
      </c>
    </row>
    <row r="22">
      <c r="A22" s="43" t="s">
        <v>72</v>
      </c>
      <c r="B22" s="44" t="s">
        <v>73</v>
      </c>
      <c r="C22" s="39" t="s">
        <v>74</v>
      </c>
      <c r="D22" s="30"/>
      <c r="E22" s="45">
        <f>IFERROR(__xludf.DUMMYFUNCTION("IMPORTRANGE(""https://docs.google.com/spreadsheets/d/1wUVtOyO-XNnsM2MyNUqaz7fUtRybTxAZb80EBpwMKGA/edit#gid=0"", Hidden!G10)"),0.4814285714285715)</f>
        <v>0.4814285714</v>
      </c>
      <c r="F22" s="31">
        <f>IFERROR(__xludf.DUMMYFUNCTION("""COMPUTED_VALUE"""),0.5776190476190476)</f>
        <v>0.5776190476</v>
      </c>
      <c r="G22" s="31">
        <f>IFERROR(__xludf.DUMMYFUNCTION("""COMPUTED_VALUE"""),0.5304761904761905)</f>
        <v>0.5304761905</v>
      </c>
      <c r="H22" s="30"/>
      <c r="I22" s="32" t="s">
        <v>72</v>
      </c>
      <c r="J22" s="55" t="s">
        <v>75</v>
      </c>
    </row>
    <row r="23">
      <c r="A23" s="37"/>
      <c r="B23" s="37"/>
      <c r="C23" s="46" t="s">
        <v>76</v>
      </c>
      <c r="D23" s="30"/>
      <c r="E23" s="50"/>
      <c r="F23" s="37"/>
      <c r="G23" s="37"/>
      <c r="H23" s="30"/>
      <c r="I23" s="53"/>
      <c r="J23" s="53"/>
    </row>
    <row r="24">
      <c r="A24" s="43" t="s">
        <v>77</v>
      </c>
      <c r="B24" s="28" t="s">
        <v>78</v>
      </c>
      <c r="C24" s="42" t="s">
        <v>79</v>
      </c>
      <c r="D24" s="30"/>
      <c r="E24" s="45">
        <f>IFERROR(__xludf.DUMMYFUNCTION("IMPORTRANGE(""https://docs.google.com/spreadsheets/d/1wUVtOyO-XNnsM2MyNUqaz7fUtRybTxAZb80EBpwMKGA/edit#gid=0"", Hidden!G12)"),0.5766666666666668)</f>
        <v>0.5766666667</v>
      </c>
      <c r="F24" s="31">
        <f>IFERROR(__xludf.DUMMYFUNCTION("""COMPUTED_VALUE"""),0.6090476190476191)</f>
        <v>0.609047619</v>
      </c>
      <c r="G24" s="31">
        <f>IFERROR(__xludf.DUMMYFUNCTION("""COMPUTED_VALUE"""),0.559047619047619)</f>
        <v>0.559047619</v>
      </c>
      <c r="H24" s="30"/>
      <c r="I24" s="32" t="s">
        <v>77</v>
      </c>
      <c r="J24" s="32" t="s">
        <v>80</v>
      </c>
    </row>
    <row r="25">
      <c r="A25" s="37"/>
      <c r="B25" s="37"/>
      <c r="C25" s="52" t="s">
        <v>81</v>
      </c>
      <c r="D25" s="30"/>
      <c r="E25" s="50"/>
      <c r="F25" s="37"/>
      <c r="G25" s="37"/>
      <c r="H25" s="30"/>
      <c r="I25" s="53"/>
      <c r="J25" s="53"/>
    </row>
    <row r="26">
      <c r="A26" s="43" t="s">
        <v>82</v>
      </c>
      <c r="B26" s="44" t="s">
        <v>83</v>
      </c>
      <c r="C26" s="39" t="s">
        <v>84</v>
      </c>
      <c r="D26" s="30"/>
      <c r="E26" s="45">
        <f>IFERROR(__xludf.DUMMYFUNCTION("IMPORTRANGE(""https://docs.google.com/spreadsheets/d/1wUVtOyO-XNnsM2MyNUqaz7fUtRybTxAZb80EBpwMKGA/edit#gid=0"", Hidden!G12)"),0.5766666666666668)</f>
        <v>0.5766666667</v>
      </c>
      <c r="F26" s="31">
        <f>IFERROR(__xludf.DUMMYFUNCTION("""COMPUTED_VALUE"""),0.6090476190476191)</f>
        <v>0.609047619</v>
      </c>
      <c r="G26" s="31">
        <f>IFERROR(__xludf.DUMMYFUNCTION("""COMPUTED_VALUE"""),0.559047619047619)</f>
        <v>0.559047619</v>
      </c>
      <c r="H26" s="30"/>
      <c r="I26" s="32" t="s">
        <v>82</v>
      </c>
      <c r="J26" s="55" t="s">
        <v>85</v>
      </c>
    </row>
    <row r="27" ht="35.25" customHeight="1">
      <c r="A27" s="37"/>
      <c r="B27" s="34"/>
      <c r="C27" s="46" t="s">
        <v>86</v>
      </c>
      <c r="D27" s="30"/>
      <c r="E27" s="47"/>
      <c r="F27" s="34"/>
      <c r="G27" s="34"/>
      <c r="H27" s="30"/>
      <c r="I27" s="53"/>
      <c r="J27" s="53"/>
    </row>
    <row r="28">
      <c r="A28" s="43" t="s">
        <v>87</v>
      </c>
      <c r="B28" s="34"/>
      <c r="C28" s="39" t="s">
        <v>88</v>
      </c>
      <c r="D28" s="30"/>
      <c r="E28" s="47"/>
      <c r="F28" s="34"/>
      <c r="G28" s="34"/>
      <c r="H28" s="30"/>
      <c r="I28" s="32" t="s">
        <v>87</v>
      </c>
      <c r="J28" s="55" t="s">
        <v>89</v>
      </c>
    </row>
    <row r="29">
      <c r="A29" s="34"/>
      <c r="B29" s="34"/>
      <c r="C29" s="46" t="s">
        <v>90</v>
      </c>
      <c r="D29" s="30"/>
      <c r="E29" s="47"/>
      <c r="F29" s="34"/>
      <c r="G29" s="34"/>
      <c r="H29" s="30"/>
      <c r="I29" s="36"/>
      <c r="J29" s="36"/>
    </row>
    <row r="30">
      <c r="A30" s="37"/>
      <c r="B30" s="37"/>
      <c r="C30" s="39" t="s">
        <v>91</v>
      </c>
      <c r="D30" s="30"/>
      <c r="E30" s="50"/>
      <c r="F30" s="37"/>
      <c r="G30" s="37"/>
      <c r="H30" s="30"/>
      <c r="I30" s="38"/>
      <c r="J30" s="38"/>
    </row>
    <row r="31">
      <c r="A31" s="49" t="s">
        <v>92</v>
      </c>
      <c r="B31" s="29" t="s">
        <v>93</v>
      </c>
      <c r="C31" s="42" t="s">
        <v>94</v>
      </c>
      <c r="D31" s="30"/>
      <c r="E31" s="41">
        <f>IFERROR(__xludf.DUMMYFUNCTION("IMPORTRANGE(""https://docs.google.com/spreadsheets/d/1wUVtOyO-XNnsM2MyNUqaz7fUtRybTxAZb80EBpwMKGA/edit#gid=0"", Hidden!G13)"),0.5514285714285714)</f>
        <v>0.5514285714</v>
      </c>
      <c r="F31" s="41">
        <f>IFERROR(__xludf.DUMMYFUNCTION("""COMPUTED_VALUE"""),0.5433333333333333)</f>
        <v>0.5433333333</v>
      </c>
      <c r="G31" s="41">
        <f>IFERROR(__xludf.DUMMYFUNCTION("""COMPUTED_VALUE"""),0.6166666666666667)</f>
        <v>0.6166666667</v>
      </c>
      <c r="H31" s="30"/>
      <c r="I31" s="51" t="s">
        <v>92</v>
      </c>
      <c r="J31" s="51" t="s">
        <v>95</v>
      </c>
    </row>
  </sheetData>
  <mergeCells count="60">
    <mergeCell ref="B22:B23"/>
    <mergeCell ref="B26:B30"/>
    <mergeCell ref="A9:A12"/>
    <mergeCell ref="A14:A15"/>
    <mergeCell ref="B14:B15"/>
    <mergeCell ref="B16:B19"/>
    <mergeCell ref="B20:B21"/>
    <mergeCell ref="A22:A23"/>
    <mergeCell ref="A26:A27"/>
    <mergeCell ref="A28:A30"/>
    <mergeCell ref="I28:I30"/>
    <mergeCell ref="J28:J30"/>
    <mergeCell ref="I7:I8"/>
    <mergeCell ref="I9:I12"/>
    <mergeCell ref="I14:I15"/>
    <mergeCell ref="I22:I23"/>
    <mergeCell ref="J22:J23"/>
    <mergeCell ref="I26:I27"/>
    <mergeCell ref="J26:J27"/>
    <mergeCell ref="G4:G6"/>
    <mergeCell ref="I4:I6"/>
    <mergeCell ref="J4:J6"/>
    <mergeCell ref="A1:B1"/>
    <mergeCell ref="C1:D1"/>
    <mergeCell ref="E1:H1"/>
    <mergeCell ref="A4:A6"/>
    <mergeCell ref="B4:B6"/>
    <mergeCell ref="E4:E6"/>
    <mergeCell ref="F4:F6"/>
    <mergeCell ref="A7:A8"/>
    <mergeCell ref="J7:J8"/>
    <mergeCell ref="B9:B13"/>
    <mergeCell ref="E9:E13"/>
    <mergeCell ref="F9:F13"/>
    <mergeCell ref="G9:G13"/>
    <mergeCell ref="J9:J12"/>
    <mergeCell ref="E14:E15"/>
    <mergeCell ref="F14:F15"/>
    <mergeCell ref="G14:G15"/>
    <mergeCell ref="J14:J15"/>
    <mergeCell ref="F16:F19"/>
    <mergeCell ref="G16:G19"/>
    <mergeCell ref="J18:J19"/>
    <mergeCell ref="A24:A25"/>
    <mergeCell ref="B24:B25"/>
    <mergeCell ref="E24:E25"/>
    <mergeCell ref="F24:F25"/>
    <mergeCell ref="G24:G25"/>
    <mergeCell ref="I24:I25"/>
    <mergeCell ref="J24:J25"/>
    <mergeCell ref="E26:E30"/>
    <mergeCell ref="F26:F30"/>
    <mergeCell ref="G26:G30"/>
    <mergeCell ref="E16:E19"/>
    <mergeCell ref="E20:E21"/>
    <mergeCell ref="F20:F21"/>
    <mergeCell ref="G20:G21"/>
    <mergeCell ref="E22:E23"/>
    <mergeCell ref="F22:F23"/>
    <mergeCell ref="G22:G23"/>
  </mergeCells>
  <conditionalFormatting sqref="C1:D1 I1:J1">
    <cfRule type="colorScale" priority="1">
      <colorScale>
        <cfvo type="formula" val="0"/>
        <cfvo type="formula" val="0.7"/>
        <cfvo type="formula" val="1"/>
        <color rgb="FFFF0000"/>
        <color rgb="FFFFF2CC"/>
        <color rgb="FF34A853"/>
      </colorScale>
    </cfRule>
  </conditionalFormatting>
  <conditionalFormatting sqref="E4:G31">
    <cfRule type="colorScale" priority="2">
      <colorScale>
        <cfvo type="formula" val="0"/>
        <cfvo type="formula" val="0.7"/>
        <cfvo type="formula" val="1"/>
        <color rgb="FFFF0000"/>
        <color rgb="FFFFF2CC"/>
        <color rgb="FF34A853"/>
      </colorScale>
    </cfRule>
  </conditionalFormatting>
  <hyperlinks>
    <hyperlink r:id="rId2" ref="I4"/>
    <hyperlink r:id="rId3" ref="I7"/>
    <hyperlink r:id="rId4" ref="J7"/>
    <hyperlink r:id="rId5" ref="I9"/>
    <hyperlink r:id="rId6" ref="J9"/>
    <hyperlink r:id="rId7" ref="I13"/>
    <hyperlink r:id="rId8" ref="J13"/>
    <hyperlink r:id="rId9" ref="I14"/>
    <hyperlink r:id="rId10" ref="J14"/>
    <hyperlink r:id="rId11" ref="I16"/>
    <hyperlink r:id="rId12" ref="J16"/>
    <hyperlink r:id="rId13" ref="I17"/>
    <hyperlink r:id="rId14" ref="J17"/>
    <hyperlink r:id="rId15" ref="I18"/>
    <hyperlink r:id="rId16" ref="J18"/>
    <hyperlink r:id="rId17" ref="I19"/>
    <hyperlink r:id="rId18" ref="I20"/>
    <hyperlink r:id="rId19" ref="J20"/>
    <hyperlink r:id="rId20" ref="I21"/>
    <hyperlink r:id="rId21" ref="J21"/>
    <hyperlink r:id="rId22" ref="I22"/>
    <hyperlink r:id="rId23" ref="J22"/>
    <hyperlink r:id="rId24" ref="I24"/>
    <hyperlink r:id="rId25" ref="J24"/>
    <hyperlink r:id="rId26" ref="I26"/>
    <hyperlink r:id="rId27" ref="J26"/>
    <hyperlink r:id="rId28" ref="I28"/>
    <hyperlink r:id="rId29" ref="J28"/>
    <hyperlink r:id="rId30" ref="I31"/>
    <hyperlink r:id="rId31" ref="J31"/>
  </hyperlinks>
  <drawing r:id="rId32"/>
  <legacy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88"/>
    <col customWidth="1" min="4" max="4" width="2.0"/>
    <col customWidth="1" min="5" max="5" width="9.88"/>
    <col customWidth="1" min="6" max="7" width="8.75"/>
    <col customWidth="1" min="8" max="8" width="2.38"/>
  </cols>
  <sheetData>
    <row r="1">
      <c r="A1" s="18" t="s">
        <v>96</v>
      </c>
      <c r="B1" s="3"/>
      <c r="C1" s="19">
        <f>if(countif(E4:G21,"=0")=counta(E4:G21),0, averageif(E4:G21,"&gt;0"))</f>
        <v>0.5984424603</v>
      </c>
      <c r="D1" s="3"/>
      <c r="E1" s="18" t="s">
        <v>20</v>
      </c>
      <c r="F1" s="20"/>
      <c r="G1" s="20"/>
      <c r="H1" s="3"/>
      <c r="I1" s="21">
        <f>'Course Totals'!C7</f>
        <v>0.5859914473</v>
      </c>
      <c r="J1" s="56"/>
    </row>
    <row r="2" ht="11.25" customHeight="1">
      <c r="A2" s="57"/>
      <c r="B2" s="20"/>
      <c r="C2" s="20"/>
      <c r="D2" s="20"/>
      <c r="E2" s="20"/>
      <c r="F2" s="20"/>
      <c r="G2" s="20"/>
      <c r="H2" s="20"/>
      <c r="I2" s="20"/>
      <c r="J2" s="3"/>
    </row>
    <row r="3" ht="32.25" customHeight="1">
      <c r="A3" s="24" t="s">
        <v>21</v>
      </c>
      <c r="B3" s="24" t="s">
        <v>22</v>
      </c>
      <c r="C3" s="24" t="s">
        <v>23</v>
      </c>
      <c r="D3" s="25"/>
      <c r="E3" s="24" t="s">
        <v>24</v>
      </c>
      <c r="F3" s="24" t="s">
        <v>25</v>
      </c>
      <c r="G3" s="24" t="s">
        <v>26</v>
      </c>
      <c r="H3" s="26"/>
      <c r="I3" s="24" t="s">
        <v>27</v>
      </c>
      <c r="J3" s="24" t="s">
        <v>28</v>
      </c>
    </row>
    <row r="4">
      <c r="A4" s="43" t="s">
        <v>97</v>
      </c>
      <c r="B4" s="29" t="s">
        <v>98</v>
      </c>
      <c r="C4" s="58" t="s">
        <v>99</v>
      </c>
      <c r="D4" s="59"/>
      <c r="E4" s="60">
        <f>IFERROR(__xludf.DUMMYFUNCTION("IMPORTRANGE(""https://docs.google.com/spreadsheets/d/1wUVtOyO-XNnsM2MyNUqaz7fUtRybTxAZb80EBpwMKGA/edit#gid=0"", Hidden!J2)"),0.5561904761904761)</f>
        <v>0.5561904762</v>
      </c>
      <c r="F4" s="61">
        <f>IFERROR(__xludf.DUMMYFUNCTION("""COMPUTED_VALUE"""),0.5714285714285714)</f>
        <v>0.5714285714</v>
      </c>
      <c r="G4" s="61">
        <f>IFERROR(__xludf.DUMMYFUNCTION("""COMPUTED_VALUE"""),0.5990476190476192)</f>
        <v>0.599047619</v>
      </c>
      <c r="H4" s="59"/>
      <c r="I4" s="55" t="s">
        <v>97</v>
      </c>
      <c r="J4" s="62" t="s">
        <v>100</v>
      </c>
    </row>
    <row r="5">
      <c r="A5" s="37"/>
      <c r="B5" s="44" t="s">
        <v>101</v>
      </c>
      <c r="C5" s="63" t="s">
        <v>102</v>
      </c>
      <c r="D5" s="34"/>
      <c r="E5" s="64">
        <f>IFERROR(__xludf.DUMMYFUNCTION("IMPORTRANGE(""https://docs.google.com/spreadsheets/d/1wUVtOyO-XNnsM2MyNUqaz7fUtRybTxAZb80EBpwMKGA/edit#gid=0"", Hidden!J3)"),0.5928571428571427)</f>
        <v>0.5928571429</v>
      </c>
      <c r="F5" s="65">
        <f>IFERROR(__xludf.DUMMYFUNCTION("""COMPUTED_VALUE"""),0.6657142857142857)</f>
        <v>0.6657142857</v>
      </c>
      <c r="G5" s="65">
        <f>IFERROR(__xludf.DUMMYFUNCTION("""COMPUTED_VALUE"""),0.5895238095238096)</f>
        <v>0.5895238095</v>
      </c>
      <c r="H5" s="34"/>
      <c r="I5" s="37"/>
      <c r="J5" s="34"/>
    </row>
    <row r="6">
      <c r="A6" s="43" t="s">
        <v>103</v>
      </c>
      <c r="B6" s="34"/>
      <c r="C6" s="66" t="s">
        <v>104</v>
      </c>
      <c r="D6" s="34"/>
      <c r="E6" s="34"/>
      <c r="F6" s="34"/>
      <c r="G6" s="34"/>
      <c r="H6" s="34"/>
      <c r="I6" s="55" t="s">
        <v>103</v>
      </c>
      <c r="J6" s="34"/>
    </row>
    <row r="7">
      <c r="A7" s="34"/>
      <c r="B7" s="34"/>
      <c r="C7" s="63" t="s">
        <v>105</v>
      </c>
      <c r="D7" s="34"/>
      <c r="E7" s="34"/>
      <c r="F7" s="34"/>
      <c r="G7" s="34"/>
      <c r="H7" s="34"/>
      <c r="I7" s="34"/>
      <c r="J7" s="34"/>
    </row>
    <row r="8">
      <c r="A8" s="34"/>
      <c r="B8" s="37"/>
      <c r="C8" s="66" t="s">
        <v>106</v>
      </c>
      <c r="D8" s="34"/>
      <c r="E8" s="37"/>
      <c r="F8" s="37"/>
      <c r="G8" s="37"/>
      <c r="H8" s="34"/>
      <c r="I8" s="34"/>
      <c r="J8" s="34"/>
    </row>
    <row r="9">
      <c r="A9" s="37"/>
      <c r="B9" s="29" t="s">
        <v>107</v>
      </c>
      <c r="C9" s="58" t="s">
        <v>108</v>
      </c>
      <c r="D9" s="34"/>
      <c r="E9" s="60">
        <f>IFERROR(__xludf.DUMMYFUNCTION("IMPORTRANGE(""https://docs.google.com/spreadsheets/d/1wUVtOyO-XNnsM2MyNUqaz7fUtRybTxAZb80EBpwMKGA/edit#gid=0"", Hidden!J4)"),0.6019047619047619)</f>
        <v>0.6019047619</v>
      </c>
      <c r="F9" s="61">
        <f>IFERROR(__xludf.DUMMYFUNCTION("""COMPUTED_VALUE"""),0.5695238095238094)</f>
        <v>0.5695238095</v>
      </c>
      <c r="G9" s="61">
        <f>IFERROR(__xludf.DUMMYFUNCTION("""COMPUTED_VALUE"""),0.6109523809523809)</f>
        <v>0.610952381</v>
      </c>
      <c r="H9" s="34"/>
      <c r="I9" s="37"/>
      <c r="J9" s="37"/>
    </row>
    <row r="10">
      <c r="A10" s="43" t="s">
        <v>109</v>
      </c>
      <c r="B10" s="44" t="s">
        <v>110</v>
      </c>
      <c r="C10" s="63" t="s">
        <v>111</v>
      </c>
      <c r="D10" s="34"/>
      <c r="E10" s="64">
        <f>IFERROR(__xludf.DUMMYFUNCTION("IMPORTRANGE(""https://docs.google.com/spreadsheets/d/1wUVtOyO-XNnsM2MyNUqaz7fUtRybTxAZb80EBpwMKGA/edit#gid=0"", Hidden!J5)"),0.5504761904761905)</f>
        <v>0.5504761905</v>
      </c>
      <c r="F10" s="65">
        <f>IFERROR(__xludf.DUMMYFUNCTION("""COMPUTED_VALUE"""),0.6157142857142857)</f>
        <v>0.6157142857</v>
      </c>
      <c r="G10" s="65">
        <f>IFERROR(__xludf.DUMMYFUNCTION("""COMPUTED_VALUE"""),0.5866666666666668)</f>
        <v>0.5866666667</v>
      </c>
      <c r="H10" s="34"/>
      <c r="I10" s="55" t="s">
        <v>109</v>
      </c>
      <c r="J10" s="67" t="s">
        <v>112</v>
      </c>
    </row>
    <row r="11">
      <c r="A11" s="37"/>
      <c r="B11" s="37"/>
      <c r="C11" s="66" t="s">
        <v>113</v>
      </c>
      <c r="D11" s="34"/>
      <c r="E11" s="37"/>
      <c r="F11" s="37"/>
      <c r="G11" s="37"/>
      <c r="H11" s="34"/>
      <c r="I11" s="37"/>
      <c r="J11" s="68"/>
    </row>
    <row r="12">
      <c r="A12" s="43" t="s">
        <v>114</v>
      </c>
      <c r="B12" s="28" t="s">
        <v>115</v>
      </c>
      <c r="C12" s="58" t="s">
        <v>116</v>
      </c>
      <c r="D12" s="34"/>
      <c r="E12" s="64">
        <f>IFERROR(__xludf.DUMMYFUNCTION("IMPORTRANGE(""https://docs.google.com/spreadsheets/d/1wUVtOyO-XNnsM2MyNUqaz7fUtRybTxAZb80EBpwMKGA/edit#gid=0"", Hidden!J7)"),0.5995238095238096)</f>
        <v>0.5995238095</v>
      </c>
      <c r="F12" s="65">
        <f>IFERROR(__xludf.DUMMYFUNCTION("""COMPUTED_VALUE"""),0.5647619047619049)</f>
        <v>0.5647619048</v>
      </c>
      <c r="G12" s="65">
        <f>IFERROR(__xludf.DUMMYFUNCTION("""COMPUTED_VALUE"""),0.6525)</f>
        <v>0.6525</v>
      </c>
      <c r="H12" s="34"/>
      <c r="I12" s="55" t="s">
        <v>114</v>
      </c>
      <c r="J12" s="55" t="s">
        <v>117</v>
      </c>
    </row>
    <row r="13">
      <c r="A13" s="37"/>
      <c r="B13" s="37"/>
      <c r="C13" s="69" t="s">
        <v>118</v>
      </c>
      <c r="D13" s="34"/>
      <c r="E13" s="37"/>
      <c r="F13" s="37"/>
      <c r="G13" s="37"/>
      <c r="H13" s="34"/>
      <c r="I13" s="37"/>
      <c r="J13" s="37"/>
    </row>
    <row r="14">
      <c r="A14" s="49" t="s">
        <v>119</v>
      </c>
      <c r="B14" s="44" t="s">
        <v>120</v>
      </c>
      <c r="C14" s="63" t="s">
        <v>121</v>
      </c>
      <c r="D14" s="34"/>
      <c r="E14" s="64">
        <f>IFERROR(__xludf.DUMMYFUNCTION("IMPORTRANGE(""https://docs.google.com/spreadsheets/d/1wUVtOyO-XNnsM2MyNUqaz7fUtRybTxAZb80EBpwMKGA/edit#gid=0"", Hidden!J7)"),0.5995238095238096)</f>
        <v>0.5995238095</v>
      </c>
      <c r="F14" s="65">
        <f>IFERROR(__xludf.DUMMYFUNCTION("""COMPUTED_VALUE"""),0.5647619047619049)</f>
        <v>0.5647619048</v>
      </c>
      <c r="G14" s="65">
        <f>IFERROR(__xludf.DUMMYFUNCTION("""COMPUTED_VALUE"""),0.6525)</f>
        <v>0.6525</v>
      </c>
      <c r="H14" s="34"/>
      <c r="I14" s="67" t="s">
        <v>119</v>
      </c>
      <c r="J14" s="67" t="s">
        <v>122</v>
      </c>
    </row>
    <row r="15">
      <c r="A15" s="43" t="s">
        <v>123</v>
      </c>
      <c r="B15" s="34"/>
      <c r="C15" s="66" t="s">
        <v>124</v>
      </c>
      <c r="D15" s="34"/>
      <c r="E15" s="34"/>
      <c r="F15" s="34"/>
      <c r="G15" s="34"/>
      <c r="H15" s="34"/>
      <c r="I15" s="55" t="s">
        <v>123</v>
      </c>
      <c r="J15" s="67" t="s">
        <v>125</v>
      </c>
    </row>
    <row r="16">
      <c r="A16" s="37"/>
      <c r="B16" s="34"/>
      <c r="C16" s="63" t="s">
        <v>126</v>
      </c>
      <c r="D16" s="34"/>
      <c r="E16" s="34"/>
      <c r="F16" s="34"/>
      <c r="G16" s="34"/>
      <c r="H16" s="34"/>
      <c r="I16" s="37"/>
      <c r="J16" s="67" t="s">
        <v>127</v>
      </c>
    </row>
    <row r="17">
      <c r="A17" s="43" t="s">
        <v>128</v>
      </c>
      <c r="B17" s="37"/>
      <c r="C17" s="66" t="s">
        <v>129</v>
      </c>
      <c r="D17" s="34"/>
      <c r="E17" s="37"/>
      <c r="F17" s="37"/>
      <c r="G17" s="37"/>
      <c r="H17" s="34"/>
      <c r="I17" s="55" t="s">
        <v>128</v>
      </c>
      <c r="J17" s="55" t="s">
        <v>130</v>
      </c>
    </row>
    <row r="18">
      <c r="A18" s="37"/>
      <c r="B18" s="29" t="s">
        <v>131</v>
      </c>
      <c r="C18" s="58" t="s">
        <v>132</v>
      </c>
      <c r="D18" s="34"/>
      <c r="E18" s="60">
        <f>IFERROR(__xludf.DUMMYFUNCTION("IMPORTRANGE(""https://docs.google.com/spreadsheets/d/1wUVtOyO-XNnsM2MyNUqaz7fUtRybTxAZb80EBpwMKGA/edit#gid=0"", Hidden!J8)"),0.590952380952381)</f>
        <v>0.590952381</v>
      </c>
      <c r="F18" s="61">
        <f>IFERROR(__xludf.DUMMYFUNCTION("""COMPUTED_VALUE"""),0.5661904761904764)</f>
        <v>0.5661904762</v>
      </c>
      <c r="G18" s="61">
        <f>IFERROR(__xludf.DUMMYFUNCTION("""COMPUTED_VALUE"""),0.6319047619047617)</f>
        <v>0.6319047619</v>
      </c>
      <c r="H18" s="34"/>
      <c r="I18" s="37"/>
      <c r="J18" s="37"/>
    </row>
    <row r="19">
      <c r="A19" s="49" t="s">
        <v>133</v>
      </c>
      <c r="B19" s="44" t="s">
        <v>134</v>
      </c>
      <c r="C19" s="63" t="s">
        <v>135</v>
      </c>
      <c r="D19" s="34"/>
      <c r="E19" s="64">
        <f>IFERROR(__xludf.DUMMYFUNCTION("IMPORTRANGE(""https://docs.google.com/spreadsheets/d/1wUVtOyO-XNnsM2MyNUqaz7fUtRybTxAZb80EBpwMKGA/edit#gid=0"", Hidden!J9)"),0.6800000000000002)</f>
        <v>0.68</v>
      </c>
      <c r="F19" s="65">
        <f>IFERROR(__xludf.DUMMYFUNCTION("""COMPUTED_VALUE"""),0.6)</f>
        <v>0.6</v>
      </c>
      <c r="G19" s="65">
        <f>IFERROR(__xludf.DUMMYFUNCTION("""COMPUTED_VALUE"""),0.55)</f>
        <v>0.55</v>
      </c>
      <c r="H19" s="34"/>
      <c r="I19" s="67" t="s">
        <v>133</v>
      </c>
      <c r="J19" s="67" t="s">
        <v>136</v>
      </c>
    </row>
    <row r="20">
      <c r="A20" s="49" t="s">
        <v>137</v>
      </c>
      <c r="B20" s="34"/>
      <c r="C20" s="66" t="s">
        <v>138</v>
      </c>
      <c r="D20" s="34"/>
      <c r="E20" s="34"/>
      <c r="F20" s="34"/>
      <c r="G20" s="34"/>
      <c r="H20" s="34"/>
      <c r="I20" s="67" t="s">
        <v>137</v>
      </c>
      <c r="J20" s="67" t="s">
        <v>139</v>
      </c>
    </row>
    <row r="21">
      <c r="A21" s="49" t="s">
        <v>140</v>
      </c>
      <c r="B21" s="37"/>
      <c r="C21" s="63" t="s">
        <v>141</v>
      </c>
      <c r="D21" s="37"/>
      <c r="E21" s="37"/>
      <c r="F21" s="37"/>
      <c r="G21" s="37"/>
      <c r="H21" s="37"/>
      <c r="I21" s="67" t="s">
        <v>140</v>
      </c>
      <c r="J21" s="67" t="s">
        <v>130</v>
      </c>
    </row>
  </sheetData>
  <mergeCells count="41">
    <mergeCell ref="I4:I5"/>
    <mergeCell ref="J4:J9"/>
    <mergeCell ref="I6:I9"/>
    <mergeCell ref="F5:F8"/>
    <mergeCell ref="G5:G8"/>
    <mergeCell ref="A6:A9"/>
    <mergeCell ref="A10:A11"/>
    <mergeCell ref="B10:B11"/>
    <mergeCell ref="E10:E11"/>
    <mergeCell ref="F10:F11"/>
    <mergeCell ref="G10:G11"/>
    <mergeCell ref="A4:A5"/>
    <mergeCell ref="A12:A13"/>
    <mergeCell ref="B12:B13"/>
    <mergeCell ref="E12:E13"/>
    <mergeCell ref="A17:A18"/>
    <mergeCell ref="I17:I18"/>
    <mergeCell ref="E19:E21"/>
    <mergeCell ref="F19:F21"/>
    <mergeCell ref="A1:B1"/>
    <mergeCell ref="C1:D1"/>
    <mergeCell ref="E1:H1"/>
    <mergeCell ref="A2:J2"/>
    <mergeCell ref="D4:D21"/>
    <mergeCell ref="H4:H21"/>
    <mergeCell ref="J17:J18"/>
    <mergeCell ref="G19:G21"/>
    <mergeCell ref="B5:B8"/>
    <mergeCell ref="E5:E8"/>
    <mergeCell ref="F12:F13"/>
    <mergeCell ref="G12:G13"/>
    <mergeCell ref="I12:I13"/>
    <mergeCell ref="J12:J13"/>
    <mergeCell ref="B14:B17"/>
    <mergeCell ref="E14:E17"/>
    <mergeCell ref="F14:F17"/>
    <mergeCell ref="G14:G17"/>
    <mergeCell ref="I10:I11"/>
    <mergeCell ref="I15:I16"/>
    <mergeCell ref="A15:A16"/>
    <mergeCell ref="B19:B21"/>
  </mergeCells>
  <conditionalFormatting sqref="C1:F1 I1 E4:G21">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6"/>
    <hyperlink r:id="rId5" ref="I10"/>
    <hyperlink r:id="rId6" ref="J10"/>
    <hyperlink r:id="rId7" ref="I12"/>
    <hyperlink r:id="rId8" ref="J12"/>
    <hyperlink r:id="rId9" ref="I14"/>
    <hyperlink r:id="rId10" ref="J14"/>
    <hyperlink r:id="rId11" ref="I15"/>
    <hyperlink r:id="rId12" ref="J15"/>
    <hyperlink r:id="rId13" ref="J16"/>
    <hyperlink r:id="rId14" ref="I17"/>
    <hyperlink r:id="rId15" ref="J17"/>
    <hyperlink r:id="rId16" ref="I19"/>
    <hyperlink r:id="rId17" ref="J19"/>
    <hyperlink r:id="rId18" ref="I20"/>
    <hyperlink r:id="rId19" ref="J20"/>
    <hyperlink r:id="rId20" ref="I21"/>
    <hyperlink r:id="rId21" ref="J21"/>
  </hyperlinks>
  <drawing r:id="rId22"/>
  <legacy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88"/>
    <col customWidth="1" min="4" max="4" width="2.0"/>
    <col customWidth="1" min="5" max="5" width="9.25"/>
    <col customWidth="1" min="6" max="7" width="8.75"/>
    <col customWidth="1" min="8" max="8" width="2.38"/>
  </cols>
  <sheetData>
    <row r="1">
      <c r="A1" s="18" t="s">
        <v>142</v>
      </c>
      <c r="B1" s="3"/>
      <c r="C1" s="19">
        <f>if(countif(E4:G10,"=0")=counta(E4:G10),0,averageif(E4:G10,"&gt;0"))</f>
        <v>0.5884623016</v>
      </c>
      <c r="D1" s="3"/>
      <c r="E1" s="18" t="s">
        <v>20</v>
      </c>
      <c r="F1" s="20"/>
      <c r="G1" s="20"/>
      <c r="H1" s="3"/>
      <c r="I1" s="70">
        <f>'Course Totals'!C8</f>
        <v>0.5724015237</v>
      </c>
      <c r="J1" s="56"/>
    </row>
    <row r="2" ht="11.25" customHeight="1">
      <c r="A2" s="23"/>
      <c r="B2" s="23"/>
      <c r="C2" s="23"/>
      <c r="D2" s="12"/>
      <c r="E2" s="23"/>
      <c r="F2" s="23"/>
      <c r="G2" s="23"/>
      <c r="H2" s="12"/>
      <c r="I2" s="23"/>
      <c r="J2" s="23"/>
    </row>
    <row r="3" ht="33.75" customHeight="1">
      <c r="A3" s="24" t="s">
        <v>21</v>
      </c>
      <c r="B3" s="24" t="s">
        <v>22</v>
      </c>
      <c r="C3" s="24" t="s">
        <v>23</v>
      </c>
      <c r="D3" s="25"/>
      <c r="E3" s="24" t="s">
        <v>24</v>
      </c>
      <c r="F3" s="24" t="s">
        <v>25</v>
      </c>
      <c r="G3" s="24" t="s">
        <v>26</v>
      </c>
      <c r="H3" s="26"/>
      <c r="I3" s="24" t="s">
        <v>27</v>
      </c>
      <c r="J3" s="24" t="s">
        <v>28</v>
      </c>
    </row>
    <row r="4">
      <c r="A4" s="49" t="s">
        <v>143</v>
      </c>
      <c r="B4" s="29" t="s">
        <v>144</v>
      </c>
      <c r="C4" s="58" t="s">
        <v>145</v>
      </c>
      <c r="D4" s="30"/>
      <c r="E4" s="40">
        <f>IFERROR(__xludf.DUMMYFUNCTION("IMPORTRANGE(""https://docs.google.com/spreadsheets/d/1wUVtOyO-XNnsM2MyNUqaz7fUtRybTxAZb80EBpwMKGA/edit#gid=0"", Hidden!M2)"),0.561904761904762)</f>
        <v>0.5619047619</v>
      </c>
      <c r="F4" s="41">
        <f>IFERROR(__xludf.DUMMYFUNCTION("""COMPUTED_VALUE"""),0.5904761904761906)</f>
        <v>0.5904761905</v>
      </c>
      <c r="G4" s="41">
        <f>IFERROR(__xludf.DUMMYFUNCTION("""COMPUTED_VALUE"""),0.6669999999999999)</f>
        <v>0.667</v>
      </c>
      <c r="H4" s="30"/>
      <c r="I4" s="71" t="s">
        <v>143</v>
      </c>
      <c r="J4" s="71" t="s">
        <v>146</v>
      </c>
    </row>
    <row r="5">
      <c r="A5" s="49" t="s">
        <v>147</v>
      </c>
      <c r="B5" s="39" t="s">
        <v>148</v>
      </c>
      <c r="C5" s="63" t="s">
        <v>149</v>
      </c>
      <c r="D5" s="30"/>
      <c r="E5" s="40">
        <f>IFERROR(__xludf.DUMMYFUNCTION("IMPORTRANGE(""https://docs.google.com/spreadsheets/d/1wUVtOyO-XNnsM2MyNUqaz7fUtRybTxAZb80EBpwMKGA/edit#gid=0"", Hidden!M3)"),0.548095238095238)</f>
        <v>0.5480952381</v>
      </c>
      <c r="F5" s="41">
        <f>IFERROR(__xludf.DUMMYFUNCTION("""COMPUTED_VALUE"""),0.560952380952381)</f>
        <v>0.560952381</v>
      </c>
      <c r="G5" s="41">
        <f>IFERROR(__xludf.DUMMYFUNCTION("""COMPUTED_VALUE"""),0.6055)</f>
        <v>0.6055</v>
      </c>
      <c r="H5" s="30"/>
      <c r="I5" s="71" t="s">
        <v>147</v>
      </c>
      <c r="J5" s="71" t="s">
        <v>150</v>
      </c>
    </row>
    <row r="6">
      <c r="A6" s="49" t="s">
        <v>151</v>
      </c>
      <c r="B6" s="28" t="s">
        <v>152</v>
      </c>
      <c r="C6" s="58" t="s">
        <v>153</v>
      </c>
      <c r="D6" s="30"/>
      <c r="E6" s="72">
        <f>IFERROR(__xludf.DUMMYFUNCTION("IMPORTRANGE(""https://docs.google.com/spreadsheets/d/1wUVtOyO-XNnsM2MyNUqaz7fUtRybTxAZb80EBpwMKGA/edit#gid=0"", Hidden!M4)"),0.6342857142857142)</f>
        <v>0.6342857143</v>
      </c>
      <c r="F6" s="31">
        <f>IFERROR(__xludf.DUMMYFUNCTION("""COMPUTED_VALUE"""),0.6347619047619047)</f>
        <v>0.6347619048</v>
      </c>
      <c r="G6" s="31">
        <f>IFERROR(__xludf.DUMMYFUNCTION("""COMPUTED_VALUE"""),0.5623809523809523)</f>
        <v>0.5623809524</v>
      </c>
      <c r="H6" s="30"/>
      <c r="I6" s="71" t="s">
        <v>151</v>
      </c>
      <c r="J6" s="71" t="s">
        <v>154</v>
      </c>
    </row>
    <row r="7">
      <c r="A7" s="49" t="s">
        <v>155</v>
      </c>
      <c r="B7" s="34"/>
      <c r="C7" s="69" t="s">
        <v>156</v>
      </c>
      <c r="D7" s="30"/>
      <c r="E7" s="34"/>
      <c r="F7" s="34"/>
      <c r="G7" s="34"/>
      <c r="H7" s="30"/>
      <c r="I7" s="71" t="s">
        <v>155</v>
      </c>
      <c r="J7" s="71" t="s">
        <v>157</v>
      </c>
    </row>
    <row r="8">
      <c r="A8" s="49" t="s">
        <v>158</v>
      </c>
      <c r="B8" s="37"/>
      <c r="C8" s="73"/>
      <c r="D8" s="30"/>
      <c r="E8" s="37"/>
      <c r="F8" s="37"/>
      <c r="G8" s="37"/>
      <c r="H8" s="30"/>
      <c r="I8" s="71" t="s">
        <v>158</v>
      </c>
      <c r="J8" s="71" t="s">
        <v>159</v>
      </c>
    </row>
    <row r="9">
      <c r="A9" s="43" t="s">
        <v>160</v>
      </c>
      <c r="B9" s="44" t="s">
        <v>161</v>
      </c>
      <c r="C9" s="63" t="s">
        <v>162</v>
      </c>
      <c r="D9" s="30"/>
      <c r="E9" s="72">
        <f>IFERROR(__xludf.DUMMYFUNCTION("IMPORTRANGE(""https://docs.google.com/spreadsheets/d/1wUVtOyO-XNnsM2MyNUqaz7fUtRybTxAZb80EBpwMKGA/edit#gid=0"", Hidden!M5)"),0.6109523809523809)</f>
        <v>0.610952381</v>
      </c>
      <c r="F9" s="31">
        <f>IFERROR(__xludf.DUMMYFUNCTION("""COMPUTED_VALUE"""),0.49142857142857144)</f>
        <v>0.4914285714</v>
      </c>
      <c r="G9" s="31">
        <f>IFERROR(__xludf.DUMMYFUNCTION("""COMPUTED_VALUE"""),0.5938095238095238)</f>
        <v>0.5938095238</v>
      </c>
      <c r="H9" s="30"/>
      <c r="I9" s="74" t="s">
        <v>160</v>
      </c>
      <c r="J9" s="74" t="s">
        <v>163</v>
      </c>
    </row>
    <row r="10">
      <c r="A10" s="37"/>
      <c r="B10" s="37"/>
      <c r="C10" s="66" t="s">
        <v>164</v>
      </c>
      <c r="D10" s="30"/>
      <c r="E10" s="37"/>
      <c r="F10" s="37"/>
      <c r="G10" s="37"/>
      <c r="H10" s="30"/>
      <c r="I10" s="37"/>
      <c r="J10" s="37"/>
    </row>
  </sheetData>
  <mergeCells count="14">
    <mergeCell ref="A9:A10"/>
    <mergeCell ref="B9:B10"/>
    <mergeCell ref="E9:E10"/>
    <mergeCell ref="F9:F10"/>
    <mergeCell ref="G9:G10"/>
    <mergeCell ref="I9:I10"/>
    <mergeCell ref="J9:J10"/>
    <mergeCell ref="A1:B1"/>
    <mergeCell ref="C1:D1"/>
    <mergeCell ref="E1:H1"/>
    <mergeCell ref="B6:B8"/>
    <mergeCell ref="E6:E8"/>
    <mergeCell ref="F6:F8"/>
    <mergeCell ref="G6:G8"/>
  </mergeCells>
  <conditionalFormatting sqref="C1:F1 I1 E4:G9">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6"/>
    <hyperlink r:id="rId7" ref="J6"/>
    <hyperlink r:id="rId8" ref="I7"/>
    <hyperlink r:id="rId9" ref="J7"/>
    <hyperlink r:id="rId10" ref="I8"/>
    <hyperlink r:id="rId11" ref="J8"/>
    <hyperlink r:id="rId12" ref="I9"/>
    <hyperlink r:id="rId13" ref="J9"/>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88"/>
    <col customWidth="1" min="4" max="4" width="2.0"/>
    <col customWidth="1" min="5" max="7" width="8.75"/>
    <col customWidth="1" min="8" max="8" width="2.38"/>
  </cols>
  <sheetData>
    <row r="1">
      <c r="A1" s="18" t="s">
        <v>165</v>
      </c>
      <c r="B1" s="3"/>
      <c r="C1" s="19">
        <f>if(countif(E4:G15,"=0")=counta(E4:G15),0,averageif(E4:G15,"&gt;0"))</f>
        <v>0.6027751323</v>
      </c>
      <c r="D1" s="3"/>
      <c r="E1" s="18" t="s">
        <v>20</v>
      </c>
      <c r="F1" s="20"/>
      <c r="G1" s="20"/>
      <c r="H1" s="3"/>
      <c r="I1" s="70">
        <f>'Course Totals'!C9</f>
        <v>0.5878425947</v>
      </c>
      <c r="J1" s="56"/>
    </row>
    <row r="2" ht="11.25" customHeight="1">
      <c r="A2" s="23"/>
      <c r="B2" s="23"/>
      <c r="C2" s="23"/>
      <c r="D2" s="12"/>
      <c r="E2" s="23"/>
      <c r="F2" s="23"/>
      <c r="G2" s="23"/>
      <c r="H2" s="12"/>
      <c r="I2" s="23"/>
      <c r="J2" s="23"/>
    </row>
    <row r="3" ht="33.75" customHeight="1">
      <c r="A3" s="24" t="s">
        <v>21</v>
      </c>
      <c r="B3" s="24" t="s">
        <v>22</v>
      </c>
      <c r="C3" s="24" t="s">
        <v>23</v>
      </c>
      <c r="D3" s="25"/>
      <c r="E3" s="24" t="s">
        <v>166</v>
      </c>
      <c r="F3" s="24" t="s">
        <v>25</v>
      </c>
      <c r="G3" s="24" t="s">
        <v>26</v>
      </c>
      <c r="H3" s="26"/>
      <c r="I3" s="75" t="s">
        <v>27</v>
      </c>
      <c r="J3" s="75" t="s">
        <v>28</v>
      </c>
    </row>
    <row r="4">
      <c r="A4" s="43" t="s">
        <v>167</v>
      </c>
      <c r="B4" s="28" t="s">
        <v>168</v>
      </c>
      <c r="C4" s="58" t="s">
        <v>169</v>
      </c>
      <c r="D4" s="33"/>
      <c r="E4" s="72">
        <f>IFERROR(__xludf.DUMMYFUNCTION("IMPORTRANGE(""https://docs.google.com/spreadsheets/d/1wUVtOyO-XNnsM2MyNUqaz7fUtRybTxAZb80EBpwMKGA/edit#gid=0"", Hidden!P2)"),0.626)</f>
        <v>0.626</v>
      </c>
      <c r="F4" s="31">
        <f>IFERROR(__xludf.DUMMYFUNCTION("""COMPUTED_VALUE"""),0.6635)</f>
        <v>0.6635</v>
      </c>
      <c r="G4" s="31">
        <f>IFERROR(__xludf.DUMMYFUNCTION("""COMPUTED_VALUE"""),0.6314999999999998)</f>
        <v>0.6315</v>
      </c>
      <c r="H4" s="33"/>
      <c r="I4" s="32" t="s">
        <v>167</v>
      </c>
      <c r="J4" s="55" t="s">
        <v>170</v>
      </c>
    </row>
    <row r="5">
      <c r="A5" s="34"/>
      <c r="B5" s="34"/>
      <c r="C5" s="69" t="s">
        <v>171</v>
      </c>
      <c r="D5" s="34"/>
      <c r="E5" s="34"/>
      <c r="F5" s="34"/>
      <c r="G5" s="34"/>
      <c r="H5" s="34"/>
      <c r="I5" s="34"/>
      <c r="J5" s="34"/>
    </row>
    <row r="6">
      <c r="A6" s="37"/>
      <c r="B6" s="37"/>
      <c r="C6" s="58" t="s">
        <v>172</v>
      </c>
      <c r="D6" s="37"/>
      <c r="E6" s="37"/>
      <c r="F6" s="37"/>
      <c r="G6" s="37"/>
      <c r="H6" s="37"/>
      <c r="I6" s="37"/>
      <c r="J6" s="37"/>
    </row>
    <row r="7">
      <c r="A7" s="49" t="s">
        <v>173</v>
      </c>
      <c r="B7" s="39" t="s">
        <v>174</v>
      </c>
      <c r="C7" s="63" t="s">
        <v>175</v>
      </c>
      <c r="D7" s="30"/>
      <c r="E7" s="40">
        <f>IFERROR(__xludf.DUMMYFUNCTION("IMPORTRANGE(""https://docs.google.com/spreadsheets/d/1wUVtOyO-XNnsM2MyNUqaz7fUtRybTxAZb80EBpwMKGA/edit#gid=0"", Hidden!P3)"),0.6647619047619046)</f>
        <v>0.6647619048</v>
      </c>
      <c r="F7" s="41">
        <f>IFERROR(__xludf.DUMMYFUNCTION("""COMPUTED_VALUE"""),0.5676190476190476)</f>
        <v>0.5676190476</v>
      </c>
      <c r="G7" s="41">
        <f>IFERROR(__xludf.DUMMYFUNCTION("""COMPUTED_VALUE"""),0.6170000000000001)</f>
        <v>0.617</v>
      </c>
      <c r="H7" s="30"/>
      <c r="I7" s="51" t="s">
        <v>173</v>
      </c>
      <c r="J7" s="67" t="s">
        <v>176</v>
      </c>
    </row>
    <row r="8">
      <c r="A8" s="49" t="s">
        <v>177</v>
      </c>
      <c r="B8" s="29" t="s">
        <v>178</v>
      </c>
      <c r="C8" s="58" t="s">
        <v>179</v>
      </c>
      <c r="D8" s="30"/>
      <c r="E8" s="40">
        <f>IFERROR(__xludf.DUMMYFUNCTION("IMPORTRANGE(""https://docs.google.com/spreadsheets/d/1wUVtOyO-XNnsM2MyNUqaz7fUtRybTxAZb80EBpwMKGA/edit#gid=0"", Hidden!P4)"),0.5666666666666667)</f>
        <v>0.5666666667</v>
      </c>
      <c r="F8" s="41">
        <f>IFERROR(__xludf.DUMMYFUNCTION("""COMPUTED_VALUE"""),0.6319047619047619)</f>
        <v>0.6319047619</v>
      </c>
      <c r="G8" s="41">
        <f>IFERROR(__xludf.DUMMYFUNCTION("""COMPUTED_VALUE"""),0.5133333333333334)</f>
        <v>0.5133333333</v>
      </c>
      <c r="H8" s="30"/>
      <c r="I8" s="51" t="s">
        <v>177</v>
      </c>
      <c r="J8" s="67" t="s">
        <v>180</v>
      </c>
    </row>
    <row r="9">
      <c r="A9" s="43" t="s">
        <v>181</v>
      </c>
      <c r="B9" s="44" t="s">
        <v>182</v>
      </c>
      <c r="C9" s="63" t="s">
        <v>183</v>
      </c>
      <c r="D9" s="33"/>
      <c r="E9" s="72">
        <f>IFERROR(__xludf.DUMMYFUNCTION("IMPORTRANGE(""https://docs.google.com/spreadsheets/d/1wUVtOyO-XNnsM2MyNUqaz7fUtRybTxAZb80EBpwMKGA/edit#gid=0"", Hidden!P5)"),0.5357142857142857)</f>
        <v>0.5357142857</v>
      </c>
      <c r="F9" s="31">
        <f>IFERROR(__xludf.DUMMYFUNCTION("""COMPUTED_VALUE"""),0.5509999999999999)</f>
        <v>0.551</v>
      </c>
      <c r="G9" s="31">
        <f>IFERROR(__xludf.DUMMYFUNCTION("""COMPUTED_VALUE"""),0.6247619047619049)</f>
        <v>0.6247619048</v>
      </c>
      <c r="H9" s="33"/>
      <c r="I9" s="32" t="s">
        <v>181</v>
      </c>
      <c r="J9" s="55" t="s">
        <v>184</v>
      </c>
    </row>
    <row r="10">
      <c r="A10" s="37"/>
      <c r="B10" s="37"/>
      <c r="C10" s="66" t="s">
        <v>185</v>
      </c>
      <c r="D10" s="37"/>
      <c r="E10" s="37"/>
      <c r="F10" s="37"/>
      <c r="G10" s="37"/>
      <c r="H10" s="37"/>
      <c r="I10" s="37"/>
      <c r="J10" s="37"/>
    </row>
    <row r="11">
      <c r="A11" s="49" t="s">
        <v>186</v>
      </c>
      <c r="B11" s="29" t="s">
        <v>187</v>
      </c>
      <c r="C11" s="58" t="s">
        <v>188</v>
      </c>
      <c r="D11" s="30"/>
      <c r="E11" s="40">
        <f>IFERROR(__xludf.DUMMYFUNCTION("IMPORTRANGE(""https://docs.google.com/spreadsheets/d/1wUVtOyO-XNnsM2MyNUqaz7fUtRybTxAZb80EBpwMKGA/edit#gid=0"", Hidden!P6)"),0.6161904761904763)</f>
        <v>0.6161904762</v>
      </c>
      <c r="F11" s="41">
        <f>IFERROR(__xludf.DUMMYFUNCTION("""COMPUTED_VALUE"""),0.5976190476190476)</f>
        <v>0.5976190476</v>
      </c>
      <c r="G11" s="41">
        <f>IFERROR(__xludf.DUMMYFUNCTION("""COMPUTED_VALUE"""),0.5947619047619047)</f>
        <v>0.5947619048</v>
      </c>
      <c r="H11" s="30"/>
      <c r="I11" s="51" t="s">
        <v>186</v>
      </c>
      <c r="J11" s="67" t="s">
        <v>189</v>
      </c>
    </row>
    <row r="12">
      <c r="A12" s="43" t="s">
        <v>190</v>
      </c>
      <c r="B12" s="44" t="s">
        <v>191</v>
      </c>
      <c r="C12" s="63" t="s">
        <v>192</v>
      </c>
      <c r="D12" s="33"/>
      <c r="E12" s="72">
        <f>IFERROR(__xludf.DUMMYFUNCTION("IMPORTRANGE(""https://docs.google.com/spreadsheets/d/1wUVtOyO-XNnsM2MyNUqaz7fUtRybTxAZb80EBpwMKGA/edit#gid=0"", Hidden!P7)"),0.6233333333333333)</f>
        <v>0.6233333333</v>
      </c>
      <c r="F12" s="31">
        <f>IFERROR(__xludf.DUMMYFUNCTION("""COMPUTED_VALUE"""),0.6123809523809524)</f>
        <v>0.6123809524</v>
      </c>
      <c r="G12" s="31">
        <f>IFERROR(__xludf.DUMMYFUNCTION("""COMPUTED_VALUE"""),0.6119047619047618)</f>
        <v>0.6119047619</v>
      </c>
      <c r="H12" s="33"/>
      <c r="I12" s="32" t="s">
        <v>190</v>
      </c>
      <c r="J12" s="67" t="s">
        <v>193</v>
      </c>
    </row>
    <row r="13">
      <c r="A13" s="37"/>
      <c r="B13" s="37"/>
      <c r="C13" s="66" t="s">
        <v>194</v>
      </c>
      <c r="D13" s="37"/>
      <c r="E13" s="37"/>
      <c r="F13" s="37"/>
      <c r="G13" s="37"/>
      <c r="H13" s="37"/>
      <c r="I13" s="37"/>
      <c r="J13" s="76"/>
    </row>
    <row r="14">
      <c r="A14" s="43" t="s">
        <v>195</v>
      </c>
      <c r="B14" s="28" t="s">
        <v>196</v>
      </c>
      <c r="C14" s="58" t="s">
        <v>197</v>
      </c>
      <c r="D14" s="33"/>
      <c r="E14" s="72">
        <f>IFERROR(__xludf.DUMMYFUNCTION("IMPORTRANGE(""https://docs.google.com/spreadsheets/d/1wUVtOyO-XNnsM2MyNUqaz7fUtRybTxAZb80EBpwMKGA/edit#gid=0"", Hidden!P8)"),0.0)</f>
        <v>0</v>
      </c>
      <c r="F14" s="31">
        <f>IFERROR(__xludf.DUMMYFUNCTION("""COMPUTED_VALUE"""),0.0)</f>
        <v>0</v>
      </c>
      <c r="G14" s="31">
        <f>IFERROR(__xludf.DUMMYFUNCTION("""COMPUTED_VALUE"""),0.0)</f>
        <v>0</v>
      </c>
      <c r="H14" s="33"/>
      <c r="I14" s="32" t="s">
        <v>195</v>
      </c>
      <c r="J14" s="55" t="s">
        <v>198</v>
      </c>
    </row>
    <row r="15">
      <c r="A15" s="37"/>
      <c r="B15" s="37"/>
      <c r="C15" s="69" t="s">
        <v>199</v>
      </c>
      <c r="D15" s="37"/>
      <c r="E15" s="37"/>
      <c r="F15" s="37"/>
      <c r="G15" s="37"/>
      <c r="H15" s="37"/>
      <c r="I15" s="37"/>
      <c r="J15" s="37"/>
    </row>
  </sheetData>
  <mergeCells count="38">
    <mergeCell ref="F4:F6"/>
    <mergeCell ref="G4:G6"/>
    <mergeCell ref="H4:H6"/>
    <mergeCell ref="I4:I6"/>
    <mergeCell ref="J4:J6"/>
    <mergeCell ref="A1:B1"/>
    <mergeCell ref="C1:D1"/>
    <mergeCell ref="E1:H1"/>
    <mergeCell ref="A4:A6"/>
    <mergeCell ref="B4:B6"/>
    <mergeCell ref="D4:D6"/>
    <mergeCell ref="E4:E6"/>
    <mergeCell ref="I9:I10"/>
    <mergeCell ref="J9:J10"/>
    <mergeCell ref="A9:A10"/>
    <mergeCell ref="B9:B10"/>
    <mergeCell ref="D9:D10"/>
    <mergeCell ref="E9:E10"/>
    <mergeCell ref="F9:F10"/>
    <mergeCell ref="G9:G10"/>
    <mergeCell ref="H9:H10"/>
    <mergeCell ref="B12:B13"/>
    <mergeCell ref="D12:D13"/>
    <mergeCell ref="E12:E13"/>
    <mergeCell ref="F12:F13"/>
    <mergeCell ref="G12:G13"/>
    <mergeCell ref="H12:H13"/>
    <mergeCell ref="I12:I13"/>
    <mergeCell ref="H14:H15"/>
    <mergeCell ref="I14:I15"/>
    <mergeCell ref="J14:J15"/>
    <mergeCell ref="A12:A13"/>
    <mergeCell ref="A14:A15"/>
    <mergeCell ref="B14:B15"/>
    <mergeCell ref="D14:D15"/>
    <mergeCell ref="E14:E15"/>
    <mergeCell ref="F14:F15"/>
    <mergeCell ref="G14:G15"/>
  </mergeCells>
  <conditionalFormatting sqref="C1:F1 I1 E4:G14">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7"/>
    <hyperlink r:id="rId5" ref="J7"/>
    <hyperlink r:id="rId6" ref="I8"/>
    <hyperlink r:id="rId7" ref="J8"/>
    <hyperlink r:id="rId8" ref="I9"/>
    <hyperlink r:id="rId9" ref="J9"/>
    <hyperlink r:id="rId10" ref="I11"/>
    <hyperlink r:id="rId11" ref="J11"/>
    <hyperlink r:id="rId12" ref="I12"/>
    <hyperlink r:id="rId13" ref="J12"/>
    <hyperlink r:id="rId14" ref="I14"/>
    <hyperlink r:id="rId15" ref="J14"/>
  </hyperlinks>
  <drawing r:id="rId16"/>
  <legacy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88"/>
    <col customWidth="1" min="4" max="4" width="2.0"/>
    <col customWidth="1" min="5" max="7" width="8.75"/>
    <col customWidth="1" min="8" max="8" width="2.38"/>
  </cols>
  <sheetData>
    <row r="1">
      <c r="A1" s="18" t="s">
        <v>200</v>
      </c>
      <c r="B1" s="3"/>
      <c r="C1" s="19">
        <f>if(countif(E4:G23,"=0")=counta(E4:G23),0,averageif(E4:G23,"&gt;0"))</f>
        <v>0.5805488095</v>
      </c>
      <c r="D1" s="3"/>
      <c r="E1" s="18" t="s">
        <v>20</v>
      </c>
      <c r="F1" s="20"/>
      <c r="G1" s="20"/>
      <c r="H1" s="20"/>
      <c r="I1" s="70">
        <f>'Course Totals'!C10</f>
        <v>0.5816315193</v>
      </c>
      <c r="J1" s="56"/>
    </row>
    <row r="2" ht="11.25" customHeight="1">
      <c r="A2" s="23"/>
      <c r="B2" s="23"/>
      <c r="C2" s="23"/>
      <c r="D2" s="12"/>
      <c r="E2" s="23"/>
      <c r="F2" s="23"/>
      <c r="G2" s="23"/>
      <c r="H2" s="12"/>
      <c r="I2" s="23"/>
      <c r="J2" s="23"/>
    </row>
    <row r="3" ht="33.75" customHeight="1">
      <c r="A3" s="24" t="s">
        <v>21</v>
      </c>
      <c r="B3" s="24" t="s">
        <v>22</v>
      </c>
      <c r="C3" s="24" t="s">
        <v>23</v>
      </c>
      <c r="D3" s="25"/>
      <c r="E3" s="24" t="s">
        <v>166</v>
      </c>
      <c r="F3" s="24" t="s">
        <v>25</v>
      </c>
      <c r="G3" s="24" t="s">
        <v>26</v>
      </c>
      <c r="H3" s="26"/>
      <c r="I3" s="75" t="s">
        <v>27</v>
      </c>
      <c r="J3" s="75" t="s">
        <v>28</v>
      </c>
    </row>
    <row r="4">
      <c r="A4" s="49" t="s">
        <v>201</v>
      </c>
      <c r="B4" s="29" t="s">
        <v>202</v>
      </c>
      <c r="C4" s="29" t="s">
        <v>203</v>
      </c>
      <c r="D4" s="30"/>
      <c r="E4" s="61">
        <f>IFERROR(__xludf.DUMMYFUNCTION("IMPORTRANGE(""https://docs.google.com/spreadsheets/d/1wUVtOyO-XNnsM2MyNUqaz7fUtRybTxAZb80EBpwMKGA/edit#gid=0"", Hidden!S2)"),0.6359999999999998)</f>
        <v>0.636</v>
      </c>
      <c r="F4" s="61">
        <f>IFERROR(__xludf.DUMMYFUNCTION("""COMPUTED_VALUE"""),0.5834999999999999)</f>
        <v>0.5835</v>
      </c>
      <c r="G4" s="61">
        <f>IFERROR(__xludf.DUMMYFUNCTION("""COMPUTED_VALUE"""),0.5345000000000002)</f>
        <v>0.5345</v>
      </c>
      <c r="H4" s="30"/>
      <c r="I4" s="51" t="s">
        <v>201</v>
      </c>
      <c r="J4" s="51" t="s">
        <v>204</v>
      </c>
    </row>
    <row r="5">
      <c r="A5" s="43" t="s">
        <v>205</v>
      </c>
      <c r="B5" s="44" t="s">
        <v>206</v>
      </c>
      <c r="C5" s="39" t="s">
        <v>207</v>
      </c>
      <c r="D5" s="30"/>
      <c r="E5" s="65">
        <f>IFERROR(__xludf.DUMMYFUNCTION("IMPORTRANGE(""https://docs.google.com/spreadsheets/d/1wUVtOyO-XNnsM2MyNUqaz7fUtRybTxAZb80EBpwMKGA/edit#gid=0"", Hidden!S3)"),0.5355000000000001)</f>
        <v>0.5355</v>
      </c>
      <c r="F5" s="65">
        <f>IFERROR(__xludf.DUMMYFUNCTION("""COMPUTED_VALUE"""),0.5795)</f>
        <v>0.5795</v>
      </c>
      <c r="G5" s="65">
        <f>IFERROR(__xludf.DUMMYFUNCTION("""COMPUTED_VALUE"""),0.0)</f>
        <v>0</v>
      </c>
      <c r="H5" s="30"/>
      <c r="I5" s="32" t="s">
        <v>205</v>
      </c>
      <c r="J5" s="32" t="s">
        <v>208</v>
      </c>
    </row>
    <row r="6">
      <c r="A6" s="34"/>
      <c r="B6" s="34"/>
      <c r="C6" s="46" t="s">
        <v>209</v>
      </c>
      <c r="D6" s="30"/>
      <c r="E6" s="34"/>
      <c r="F6" s="34"/>
      <c r="G6" s="34"/>
      <c r="H6" s="30"/>
      <c r="I6" s="34"/>
      <c r="J6" s="34"/>
    </row>
    <row r="7">
      <c r="A7" s="37"/>
      <c r="B7" s="37"/>
      <c r="C7" s="39" t="s">
        <v>210</v>
      </c>
      <c r="D7" s="30"/>
      <c r="E7" s="37"/>
      <c r="F7" s="37"/>
      <c r="G7" s="37"/>
      <c r="H7" s="30"/>
      <c r="I7" s="37"/>
      <c r="J7" s="37"/>
    </row>
    <row r="8">
      <c r="A8" s="49" t="s">
        <v>211</v>
      </c>
      <c r="B8" s="28" t="s">
        <v>212</v>
      </c>
      <c r="C8" s="29" t="s">
        <v>213</v>
      </c>
      <c r="D8" s="30"/>
      <c r="E8" s="65">
        <f>IFERROR(__xludf.DUMMYFUNCTION("IMPORTRANGE(""https://docs.google.com/spreadsheets/d/1wUVtOyO-XNnsM2MyNUqaz7fUtRybTxAZb80EBpwMKGA/edit#gid=0"", Hidden!S4)"),0.5680952380952382)</f>
        <v>0.5680952381</v>
      </c>
      <c r="F8" s="65">
        <f>IFERROR(__xludf.DUMMYFUNCTION("""COMPUTED_VALUE"""),0.5514285714285714)</f>
        <v>0.5514285714</v>
      </c>
      <c r="G8" s="65">
        <f>IFERROR(__xludf.DUMMYFUNCTION("""COMPUTED_VALUE"""),0.5933333333333333)</f>
        <v>0.5933333333</v>
      </c>
      <c r="H8" s="30"/>
      <c r="I8" s="32" t="s">
        <v>211</v>
      </c>
      <c r="J8" s="55" t="s">
        <v>214</v>
      </c>
    </row>
    <row r="9">
      <c r="A9" s="49" t="s">
        <v>215</v>
      </c>
      <c r="B9" s="34"/>
      <c r="C9" s="35" t="s">
        <v>216</v>
      </c>
      <c r="D9" s="30"/>
      <c r="E9" s="34"/>
      <c r="F9" s="34"/>
      <c r="G9" s="34"/>
      <c r="H9" s="30"/>
      <c r="I9" s="77" t="s">
        <v>215</v>
      </c>
      <c r="J9" s="77" t="s">
        <v>217</v>
      </c>
    </row>
    <row r="10">
      <c r="A10" s="49" t="s">
        <v>218</v>
      </c>
      <c r="B10" s="34"/>
      <c r="C10" s="29" t="s">
        <v>219</v>
      </c>
      <c r="D10" s="30"/>
      <c r="E10" s="34"/>
      <c r="F10" s="34"/>
      <c r="G10" s="34"/>
      <c r="H10" s="30"/>
      <c r="I10" s="77" t="s">
        <v>218</v>
      </c>
      <c r="J10" s="77" t="s">
        <v>220</v>
      </c>
    </row>
    <row r="11">
      <c r="A11" s="43" t="s">
        <v>221</v>
      </c>
      <c r="B11" s="34"/>
      <c r="C11" s="35" t="s">
        <v>222</v>
      </c>
      <c r="D11" s="30"/>
      <c r="E11" s="34"/>
      <c r="F11" s="34"/>
      <c r="G11" s="34"/>
      <c r="H11" s="30"/>
      <c r="I11" s="77" t="s">
        <v>221</v>
      </c>
      <c r="J11" s="77" t="s">
        <v>223</v>
      </c>
    </row>
    <row r="12">
      <c r="A12" s="34"/>
      <c r="B12" s="34"/>
      <c r="C12" s="29" t="s">
        <v>224</v>
      </c>
      <c r="D12" s="30"/>
      <c r="E12" s="34"/>
      <c r="F12" s="34"/>
      <c r="G12" s="34"/>
      <c r="H12" s="30"/>
      <c r="I12" s="34"/>
      <c r="J12" s="34"/>
    </row>
    <row r="13">
      <c r="A13" s="37"/>
      <c r="B13" s="34"/>
      <c r="C13" s="35" t="s">
        <v>225</v>
      </c>
      <c r="D13" s="30"/>
      <c r="E13" s="34"/>
      <c r="F13" s="34"/>
      <c r="G13" s="34"/>
      <c r="H13" s="30"/>
      <c r="I13" s="34"/>
      <c r="J13" s="77" t="s">
        <v>226</v>
      </c>
    </row>
    <row r="14">
      <c r="A14" s="43" t="s">
        <v>227</v>
      </c>
      <c r="B14" s="34"/>
      <c r="C14" s="29" t="s">
        <v>228</v>
      </c>
      <c r="D14" s="30"/>
      <c r="E14" s="34"/>
      <c r="F14" s="34"/>
      <c r="G14" s="34"/>
      <c r="H14" s="30"/>
      <c r="I14" s="77" t="s">
        <v>227</v>
      </c>
      <c r="J14" s="77" t="s">
        <v>229</v>
      </c>
    </row>
    <row r="15">
      <c r="A15" s="37"/>
      <c r="B15" s="34"/>
      <c r="C15" s="35" t="s">
        <v>230</v>
      </c>
      <c r="D15" s="30"/>
      <c r="E15" s="34"/>
      <c r="F15" s="34"/>
      <c r="G15" s="34"/>
      <c r="H15" s="30"/>
      <c r="I15" s="34"/>
      <c r="J15" s="78"/>
    </row>
    <row r="16">
      <c r="A16" s="43" t="s">
        <v>231</v>
      </c>
      <c r="B16" s="34"/>
      <c r="C16" s="29" t="s">
        <v>232</v>
      </c>
      <c r="D16" s="30"/>
      <c r="E16" s="34"/>
      <c r="F16" s="34"/>
      <c r="G16" s="34"/>
      <c r="H16" s="30"/>
      <c r="I16" s="77" t="s">
        <v>231</v>
      </c>
      <c r="J16" s="77" t="s">
        <v>233</v>
      </c>
    </row>
    <row r="17">
      <c r="A17" s="37"/>
      <c r="B17" s="34"/>
      <c r="C17" s="35" t="s">
        <v>234</v>
      </c>
      <c r="D17" s="30"/>
      <c r="E17" s="34"/>
      <c r="F17" s="34"/>
      <c r="G17" s="34"/>
      <c r="H17" s="30"/>
      <c r="I17" s="34"/>
      <c r="J17" s="34"/>
    </row>
    <row r="18">
      <c r="A18" s="49" t="s">
        <v>235</v>
      </c>
      <c r="B18" s="37"/>
      <c r="C18" s="29" t="s">
        <v>236</v>
      </c>
      <c r="D18" s="30"/>
      <c r="E18" s="37"/>
      <c r="F18" s="37"/>
      <c r="G18" s="37"/>
      <c r="H18" s="30"/>
      <c r="I18" s="79" t="s">
        <v>235</v>
      </c>
      <c r="J18" s="80" t="s">
        <v>237</v>
      </c>
    </row>
    <row r="19">
      <c r="A19" s="49" t="s">
        <v>238</v>
      </c>
      <c r="B19" s="39" t="s">
        <v>239</v>
      </c>
      <c r="C19" s="39" t="s">
        <v>240</v>
      </c>
      <c r="D19" s="30"/>
      <c r="E19" s="61">
        <f>IFERROR(__xludf.DUMMYFUNCTION("IMPORTRANGE(""https://docs.google.com/spreadsheets/d/1wUVtOyO-XNnsM2MyNUqaz7fUtRybTxAZb80EBpwMKGA/edit#gid=0"", Hidden!S5)"),0.5533333333333332)</f>
        <v>0.5533333333</v>
      </c>
      <c r="F19" s="61">
        <f>IFERROR(__xludf.DUMMYFUNCTION("""COMPUTED_VALUE"""),0.6119047619047618)</f>
        <v>0.6119047619</v>
      </c>
      <c r="G19" s="61">
        <f>IFERROR(__xludf.DUMMYFUNCTION("""COMPUTED_VALUE"""),0.544285714285714)</f>
        <v>0.5442857143</v>
      </c>
      <c r="H19" s="30"/>
      <c r="I19" s="51" t="s">
        <v>238</v>
      </c>
      <c r="J19" s="32" t="s">
        <v>241</v>
      </c>
    </row>
    <row r="20">
      <c r="A20" s="49" t="s">
        <v>242</v>
      </c>
      <c r="B20" s="29" t="s">
        <v>243</v>
      </c>
      <c r="C20" s="29" t="s">
        <v>244</v>
      </c>
      <c r="D20" s="30"/>
      <c r="E20" s="61">
        <f>IFERROR(__xludf.DUMMYFUNCTION("IMPORTRANGE(""https://docs.google.com/spreadsheets/d/1wUVtOyO-XNnsM2MyNUqaz7fUtRybTxAZb80EBpwMKGA/edit#gid=0"", Hidden!S6)"),0.6715)</f>
        <v>0.6715</v>
      </c>
      <c r="F20" s="61">
        <f>IFERROR(__xludf.DUMMYFUNCTION("""COMPUTED_VALUE"""),0.5319047619047618)</f>
        <v>0.5319047619</v>
      </c>
      <c r="G20" s="61">
        <f>IFERROR(__xludf.DUMMYFUNCTION("""COMPUTED_VALUE"""),0.5671428571428571)</f>
        <v>0.5671428571</v>
      </c>
      <c r="H20" s="30"/>
      <c r="I20" s="51" t="s">
        <v>242</v>
      </c>
      <c r="J20" s="37"/>
    </row>
    <row r="21">
      <c r="A21" s="43" t="s">
        <v>245</v>
      </c>
      <c r="B21" s="39" t="s">
        <v>246</v>
      </c>
      <c r="C21" s="39" t="s">
        <v>247</v>
      </c>
      <c r="D21" s="30"/>
      <c r="E21" s="61">
        <f>IFERROR(__xludf.DUMMYFUNCTION("IMPORTRANGE(""https://docs.google.com/spreadsheets/d/1wUVtOyO-XNnsM2MyNUqaz7fUtRybTxAZb80EBpwMKGA/edit#gid=0"", Hidden!S7)"),0.6214285714285714)</f>
        <v>0.6214285714</v>
      </c>
      <c r="F21" s="61">
        <f>IFERROR(__xludf.DUMMYFUNCTION("""COMPUTED_VALUE"""),0.6128571428571428)</f>
        <v>0.6128571429</v>
      </c>
      <c r="G21" s="61">
        <f>IFERROR(__xludf.DUMMYFUNCTION("""COMPUTED_VALUE"""),0.599047619047619)</f>
        <v>0.599047619</v>
      </c>
      <c r="H21" s="30"/>
      <c r="I21" s="32" t="s">
        <v>245</v>
      </c>
      <c r="J21" s="55" t="s">
        <v>248</v>
      </c>
    </row>
    <row r="22">
      <c r="A22" s="34"/>
      <c r="B22" s="28" t="s">
        <v>249</v>
      </c>
      <c r="C22" s="29" t="s">
        <v>250</v>
      </c>
      <c r="D22" s="30"/>
      <c r="E22" s="65">
        <f>IFERROR(__xludf.DUMMYFUNCTION("IMPORTRANGE(""https://docs.google.com/spreadsheets/d/1wUVtOyO-XNnsM2MyNUqaz7fUtRybTxAZb80EBpwMKGA/edit#gid=0"", Hidden!S8)"),0.5838095238095237)</f>
        <v>0.5838095238</v>
      </c>
      <c r="F22" s="65">
        <f>IFERROR(__xludf.DUMMYFUNCTION("""COMPUTED_VALUE"""),0.5642857142857144)</f>
        <v>0.5642857143</v>
      </c>
      <c r="G22" s="65">
        <f>IFERROR(__xludf.DUMMYFUNCTION("""COMPUTED_VALUE"""),0.5676190476190477)</f>
        <v>0.5676190476</v>
      </c>
      <c r="H22" s="30"/>
      <c r="I22" s="34"/>
      <c r="J22" s="34"/>
    </row>
    <row r="23">
      <c r="A23" s="37"/>
      <c r="B23" s="37"/>
      <c r="C23" s="35" t="s">
        <v>251</v>
      </c>
      <c r="D23" s="30"/>
      <c r="E23" s="37"/>
      <c r="F23" s="37"/>
      <c r="G23" s="37"/>
      <c r="H23" s="30"/>
      <c r="I23" s="37"/>
      <c r="J23" s="37"/>
    </row>
  </sheetData>
  <mergeCells count="30">
    <mergeCell ref="B22:B23"/>
    <mergeCell ref="E22:E23"/>
    <mergeCell ref="A16:A17"/>
    <mergeCell ref="I16:I17"/>
    <mergeCell ref="J16:J17"/>
    <mergeCell ref="J19:J20"/>
    <mergeCell ref="A21:A23"/>
    <mergeCell ref="I21:I23"/>
    <mergeCell ref="J21:J23"/>
    <mergeCell ref="G5:G7"/>
    <mergeCell ref="I5:I7"/>
    <mergeCell ref="J5:J7"/>
    <mergeCell ref="E5:E7"/>
    <mergeCell ref="E8:E18"/>
    <mergeCell ref="F8:F18"/>
    <mergeCell ref="G8:G18"/>
    <mergeCell ref="A11:A13"/>
    <mergeCell ref="I11:I13"/>
    <mergeCell ref="J11:J12"/>
    <mergeCell ref="A14:A15"/>
    <mergeCell ref="I14:I15"/>
    <mergeCell ref="A1:B1"/>
    <mergeCell ref="C1:D1"/>
    <mergeCell ref="E1:H1"/>
    <mergeCell ref="A5:A7"/>
    <mergeCell ref="B5:B7"/>
    <mergeCell ref="F5:F7"/>
    <mergeCell ref="B8:B18"/>
    <mergeCell ref="F22:F23"/>
    <mergeCell ref="G22:G23"/>
  </mergeCells>
  <conditionalFormatting sqref="C1:F1 I1 E4:G23">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8"/>
    <hyperlink r:id="rId7" ref="J8"/>
    <hyperlink r:id="rId8" ref="I9"/>
    <hyperlink r:id="rId9" ref="J9"/>
    <hyperlink r:id="rId10" ref="I10"/>
    <hyperlink r:id="rId11" ref="J10"/>
    <hyperlink r:id="rId12" ref="I11"/>
    <hyperlink r:id="rId13" ref="J11"/>
    <hyperlink r:id="rId14" ref="J13"/>
    <hyperlink r:id="rId15" ref="I14"/>
    <hyperlink r:id="rId16" ref="J14"/>
    <hyperlink r:id="rId17" ref="I16"/>
    <hyperlink r:id="rId18" ref="J16"/>
    <hyperlink r:id="rId19" ref="I18"/>
    <hyperlink r:id="rId20" ref="J18"/>
    <hyperlink r:id="rId21" ref="I19"/>
    <hyperlink r:id="rId22" ref="J19"/>
    <hyperlink r:id="rId23" ref="I20"/>
    <hyperlink r:id="rId24" ref="I21"/>
    <hyperlink r:id="rId25" ref="J21"/>
  </hyperlinks>
  <drawing r:id="rId26"/>
  <legacy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2" width="17.88"/>
    <col customWidth="1" min="4" max="4" width="2.0"/>
    <col customWidth="1" min="5" max="7" width="8.75"/>
    <col customWidth="1" min="8" max="8" width="2.38"/>
    <col customWidth="1" min="10" max="10" width="15.75"/>
  </cols>
  <sheetData>
    <row r="1">
      <c r="A1" s="18" t="s">
        <v>252</v>
      </c>
      <c r="B1" s="3"/>
      <c r="C1" s="19">
        <f>if(countif(E4:G30,"=0")=counta(E4:G30),0,AVERAGEIF(E4:G30,"&gt;0"))</f>
        <v>0.599186067</v>
      </c>
      <c r="D1" s="3"/>
      <c r="E1" s="18" t="s">
        <v>20</v>
      </c>
      <c r="F1" s="20"/>
      <c r="G1" s="20"/>
      <c r="H1" s="20"/>
      <c r="I1" s="70">
        <f>'Course Totals'!C11</f>
        <v>0.597989418</v>
      </c>
      <c r="J1" s="56"/>
    </row>
    <row r="2" ht="11.25" customHeight="1">
      <c r="A2" s="23"/>
      <c r="B2" s="23"/>
      <c r="C2" s="23"/>
      <c r="D2" s="12"/>
      <c r="E2" s="23"/>
      <c r="F2" s="23"/>
      <c r="G2" s="23"/>
      <c r="H2" s="12"/>
      <c r="I2" s="23"/>
      <c r="J2" s="23"/>
    </row>
    <row r="3" ht="33.75" customHeight="1">
      <c r="A3" s="24" t="s">
        <v>21</v>
      </c>
      <c r="B3" s="24" t="s">
        <v>22</v>
      </c>
      <c r="C3" s="24" t="s">
        <v>23</v>
      </c>
      <c r="D3" s="25"/>
      <c r="E3" s="24" t="s">
        <v>166</v>
      </c>
      <c r="F3" s="24" t="s">
        <v>25</v>
      </c>
      <c r="G3" s="24" t="s">
        <v>26</v>
      </c>
      <c r="H3" s="26"/>
      <c r="I3" s="75" t="s">
        <v>27</v>
      </c>
      <c r="J3" s="75" t="s">
        <v>28</v>
      </c>
    </row>
    <row r="4">
      <c r="A4" s="43" t="s">
        <v>253</v>
      </c>
      <c r="B4" s="81" t="s">
        <v>254</v>
      </c>
      <c r="C4" s="58" t="s">
        <v>255</v>
      </c>
      <c r="D4" s="12"/>
      <c r="E4" s="45">
        <f>IFERROR(__xludf.DUMMYFUNCTION("IMPORTRANGE(""https://docs.google.com/spreadsheets/d/1wUVtOyO-XNnsM2MyNUqaz7fUtRybTxAZb80EBpwMKGA/edit#gid=0"", Hidden!V2)"),0.602857142857143)</f>
        <v>0.6028571429</v>
      </c>
      <c r="F4" s="65">
        <f>IFERROR(__xludf.DUMMYFUNCTION("""COMPUTED_VALUE"""),0.6052380952380952)</f>
        <v>0.6052380952</v>
      </c>
      <c r="G4" s="65">
        <f>IFERROR(__xludf.DUMMYFUNCTION("""COMPUTED_VALUE"""),0.5757142857142856)</f>
        <v>0.5757142857</v>
      </c>
      <c r="H4" s="12"/>
      <c r="I4" s="32" t="s">
        <v>253</v>
      </c>
      <c r="J4" s="55" t="s">
        <v>256</v>
      </c>
    </row>
    <row r="5">
      <c r="A5" s="34"/>
      <c r="B5" s="34"/>
      <c r="C5" s="69" t="s">
        <v>257</v>
      </c>
      <c r="D5" s="12"/>
      <c r="E5" s="47"/>
      <c r="F5" s="34"/>
      <c r="G5" s="34"/>
      <c r="H5" s="12"/>
      <c r="I5" s="34"/>
      <c r="J5" s="34"/>
    </row>
    <row r="6">
      <c r="A6" s="34"/>
      <c r="B6" s="34"/>
      <c r="C6" s="58" t="s">
        <v>258</v>
      </c>
      <c r="D6" s="12"/>
      <c r="E6" s="47"/>
      <c r="F6" s="34"/>
      <c r="G6" s="34"/>
      <c r="H6" s="12"/>
      <c r="I6" s="34"/>
      <c r="J6" s="34"/>
    </row>
    <row r="7">
      <c r="A7" s="37"/>
      <c r="B7" s="37"/>
      <c r="C7" s="69" t="s">
        <v>259</v>
      </c>
      <c r="D7" s="12"/>
      <c r="E7" s="50"/>
      <c r="F7" s="37"/>
      <c r="G7" s="37"/>
      <c r="H7" s="12"/>
      <c r="I7" s="37"/>
      <c r="J7" s="37"/>
    </row>
    <row r="8">
      <c r="A8" s="43" t="s">
        <v>260</v>
      </c>
      <c r="B8" s="82" t="s">
        <v>261</v>
      </c>
      <c r="C8" s="63" t="s">
        <v>262</v>
      </c>
      <c r="D8" s="12"/>
      <c r="E8" s="65">
        <f>IFERROR(__xludf.DUMMYFUNCTION("IMPORTRANGE(""https://docs.google.com/spreadsheets/d/1wUVtOyO-XNnsM2MyNUqaz7fUtRybTxAZb80EBpwMKGA/edit#gid=0"", Hidden!V3)"),0.5838095238095238)</f>
        <v>0.5838095238</v>
      </c>
      <c r="F8" s="65">
        <f>IFERROR(__xludf.DUMMYFUNCTION("""COMPUTED_VALUE"""),0.6352380952380953)</f>
        <v>0.6352380952</v>
      </c>
      <c r="G8" s="65">
        <f>IFERROR(__xludf.DUMMYFUNCTION("""COMPUTED_VALUE"""),0.5619047619047619)</f>
        <v>0.5619047619</v>
      </c>
      <c r="H8" s="12"/>
      <c r="I8" s="32" t="s">
        <v>260</v>
      </c>
      <c r="J8" s="55" t="s">
        <v>263</v>
      </c>
    </row>
    <row r="9">
      <c r="A9" s="34"/>
      <c r="B9" s="34"/>
      <c r="C9" s="66" t="s">
        <v>264</v>
      </c>
      <c r="D9" s="12"/>
      <c r="E9" s="34"/>
      <c r="F9" s="34"/>
      <c r="G9" s="34"/>
      <c r="H9" s="12"/>
      <c r="I9" s="34"/>
      <c r="J9" s="34"/>
    </row>
    <row r="10">
      <c r="A10" s="34"/>
      <c r="B10" s="34"/>
      <c r="C10" s="63" t="s">
        <v>265</v>
      </c>
      <c r="D10" s="12"/>
      <c r="E10" s="34"/>
      <c r="F10" s="34"/>
      <c r="G10" s="34"/>
      <c r="H10" s="12"/>
      <c r="I10" s="34"/>
      <c r="J10" s="34"/>
    </row>
    <row r="11">
      <c r="A11" s="37"/>
      <c r="B11" s="37"/>
      <c r="C11" s="66" t="s">
        <v>266</v>
      </c>
      <c r="D11" s="12"/>
      <c r="E11" s="37"/>
      <c r="F11" s="37"/>
      <c r="G11" s="37"/>
      <c r="H11" s="12"/>
      <c r="I11" s="37"/>
      <c r="J11" s="37"/>
    </row>
    <row r="12">
      <c r="A12" s="43" t="s">
        <v>267</v>
      </c>
      <c r="B12" s="81" t="s">
        <v>268</v>
      </c>
      <c r="C12" s="58" t="s">
        <v>269</v>
      </c>
      <c r="D12" s="12"/>
      <c r="E12" s="65">
        <f>IFERROR(__xludf.DUMMYFUNCTION("IMPORTRANGE(""https://docs.google.com/spreadsheets/d/1wUVtOyO-XNnsM2MyNUqaz7fUtRybTxAZb80EBpwMKGA/edit#gid=0"", Hidden!V4)"),0.6095238095238096)</f>
        <v>0.6095238095</v>
      </c>
      <c r="F12" s="65">
        <f>IFERROR(__xludf.DUMMYFUNCTION("""COMPUTED_VALUE"""),0.5276190476190477)</f>
        <v>0.5276190476</v>
      </c>
      <c r="G12" s="65">
        <f>IFERROR(__xludf.DUMMYFUNCTION("""COMPUTED_VALUE"""),0.599)</f>
        <v>0.599</v>
      </c>
      <c r="H12" s="12"/>
      <c r="I12" s="32" t="s">
        <v>267</v>
      </c>
      <c r="J12" s="55" t="s">
        <v>270</v>
      </c>
    </row>
    <row r="13">
      <c r="A13" s="34"/>
      <c r="B13" s="37"/>
      <c r="C13" s="69" t="s">
        <v>271</v>
      </c>
      <c r="D13" s="12"/>
      <c r="E13" s="37"/>
      <c r="F13" s="37"/>
      <c r="G13" s="37"/>
      <c r="H13" s="12"/>
      <c r="I13" s="34"/>
      <c r="J13" s="34"/>
    </row>
    <row r="14">
      <c r="A14" s="34"/>
      <c r="B14" s="82" t="s">
        <v>272</v>
      </c>
      <c r="C14" s="63" t="s">
        <v>273</v>
      </c>
      <c r="D14" s="12"/>
      <c r="E14" s="65">
        <f>IFERROR(__xludf.DUMMYFUNCTION("IMPORTRANGE(""https://docs.google.com/spreadsheets/d/1wUVtOyO-XNnsM2MyNUqaz7fUtRybTxAZb80EBpwMKGA/edit#gid=0"", Hidden!V5)"),0.6214285714285713)</f>
        <v>0.6214285714</v>
      </c>
      <c r="F14" s="65">
        <f>IFERROR(__xludf.DUMMYFUNCTION("""COMPUTED_VALUE"""),0.6338095238095239)</f>
        <v>0.6338095238</v>
      </c>
      <c r="G14" s="65">
        <f>IFERROR(__xludf.DUMMYFUNCTION("""COMPUTED_VALUE"""),0.6395000000000001)</f>
        <v>0.6395</v>
      </c>
      <c r="H14" s="12"/>
      <c r="I14" s="34"/>
      <c r="J14" s="34"/>
    </row>
    <row r="15">
      <c r="A15" s="37"/>
      <c r="B15" s="37"/>
      <c r="C15" s="66" t="s">
        <v>274</v>
      </c>
      <c r="D15" s="12"/>
      <c r="E15" s="37"/>
      <c r="F15" s="37"/>
      <c r="G15" s="37"/>
      <c r="H15" s="12"/>
      <c r="I15" s="37"/>
      <c r="J15" s="37"/>
    </row>
    <row r="16" ht="20.25" customHeight="1">
      <c r="A16" s="43" t="s">
        <v>275</v>
      </c>
      <c r="B16" s="81" t="s">
        <v>276</v>
      </c>
      <c r="C16" s="58" t="s">
        <v>277</v>
      </c>
      <c r="D16" s="12"/>
      <c r="E16" s="65">
        <f>IFERROR(__xludf.DUMMYFUNCTION("IMPORTRANGE(""https://docs.google.com/spreadsheets/d/1wUVtOyO-XNnsM2MyNUqaz7fUtRybTxAZb80EBpwMKGA/edit#gid=0"", Hidden!V6)"),0.6276190476190476)</f>
        <v>0.6276190476</v>
      </c>
      <c r="F16" s="65">
        <f>IFERROR(__xludf.DUMMYFUNCTION("""COMPUTED_VALUE"""),0.6342857142857143)</f>
        <v>0.6342857143</v>
      </c>
      <c r="G16" s="65">
        <f>IFERROR(__xludf.DUMMYFUNCTION("""COMPUTED_VALUE"""),0.6242857142857142)</f>
        <v>0.6242857143</v>
      </c>
      <c r="H16" s="12"/>
      <c r="I16" s="32" t="s">
        <v>275</v>
      </c>
      <c r="J16" s="55" t="s">
        <v>278</v>
      </c>
    </row>
    <row r="17" ht="20.25" customHeight="1">
      <c r="A17" s="37"/>
      <c r="B17" s="34"/>
      <c r="C17" s="69" t="s">
        <v>279</v>
      </c>
      <c r="D17" s="12"/>
      <c r="E17" s="34"/>
      <c r="F17" s="34"/>
      <c r="G17" s="34"/>
      <c r="H17" s="12"/>
      <c r="I17" s="34"/>
      <c r="J17" s="34"/>
    </row>
    <row r="18">
      <c r="A18" s="49" t="s">
        <v>280</v>
      </c>
      <c r="B18" s="37"/>
      <c r="C18" s="58" t="s">
        <v>281</v>
      </c>
      <c r="D18" s="12"/>
      <c r="E18" s="37"/>
      <c r="F18" s="37"/>
      <c r="G18" s="37"/>
      <c r="H18" s="12"/>
      <c r="I18" s="79" t="s">
        <v>280</v>
      </c>
      <c r="J18" s="80" t="s">
        <v>282</v>
      </c>
    </row>
    <row r="19" ht="21.75" customHeight="1">
      <c r="A19" s="43" t="s">
        <v>283</v>
      </c>
      <c r="B19" s="82" t="s">
        <v>284</v>
      </c>
      <c r="C19" s="63" t="s">
        <v>285</v>
      </c>
      <c r="D19" s="12"/>
      <c r="E19" s="65">
        <f>IFERROR(__xludf.DUMMYFUNCTION("IMPORTRANGE(""https://docs.google.com/spreadsheets/d/1wUVtOyO-XNnsM2MyNUqaz7fUtRybTxAZb80EBpwMKGA/edit#gid=0"", Hidden!V7)"),0.5742857142857143)</f>
        <v>0.5742857143</v>
      </c>
      <c r="F19" s="65">
        <f>IFERROR(__xludf.DUMMYFUNCTION("""COMPUTED_VALUE"""),0.5542857142857143)</f>
        <v>0.5542857143</v>
      </c>
      <c r="G19" s="65">
        <f>IFERROR(__xludf.DUMMYFUNCTION("""COMPUTED_VALUE"""),0.4990476190476191)</f>
        <v>0.499047619</v>
      </c>
      <c r="H19" s="12"/>
      <c r="I19" s="32" t="s">
        <v>283</v>
      </c>
      <c r="J19" s="55" t="s">
        <v>286</v>
      </c>
    </row>
    <row r="20" ht="21.75" customHeight="1">
      <c r="A20" s="34"/>
      <c r="B20" s="34"/>
      <c r="C20" s="66" t="s">
        <v>287</v>
      </c>
      <c r="D20" s="12"/>
      <c r="E20" s="34"/>
      <c r="F20" s="34"/>
      <c r="G20" s="34"/>
      <c r="H20" s="12"/>
      <c r="I20" s="34"/>
      <c r="J20" s="34"/>
    </row>
    <row r="21">
      <c r="A21" s="37"/>
      <c r="B21" s="37"/>
      <c r="C21" s="63" t="s">
        <v>288</v>
      </c>
      <c r="D21" s="12"/>
      <c r="E21" s="37"/>
      <c r="F21" s="37"/>
      <c r="G21" s="37"/>
      <c r="H21" s="12"/>
      <c r="I21" s="37"/>
      <c r="J21" s="83"/>
    </row>
    <row r="22">
      <c r="A22" s="43" t="s">
        <v>289</v>
      </c>
      <c r="B22" s="81" t="s">
        <v>290</v>
      </c>
      <c r="C22" s="58" t="s">
        <v>291</v>
      </c>
      <c r="D22" s="12"/>
      <c r="E22" s="65">
        <f>IFERROR(__xludf.DUMMYFUNCTION("IMPORTRANGE(""https://docs.google.com/spreadsheets/d/1wUVtOyO-XNnsM2MyNUqaz7fUtRybTxAZb80EBpwMKGA/edit#gid=0"", Hidden!V8)"),0.6214285714285714)</f>
        <v>0.6214285714</v>
      </c>
      <c r="F22" s="65">
        <f>IFERROR(__xludf.DUMMYFUNCTION("""COMPUTED_VALUE"""),0.63)</f>
        <v>0.63</v>
      </c>
      <c r="G22" s="65">
        <f>IFERROR(__xludf.DUMMYFUNCTION("""COMPUTED_VALUE"""),0.6147619047619047)</f>
        <v>0.6147619048</v>
      </c>
      <c r="H22" s="12"/>
      <c r="I22" s="32" t="s">
        <v>289</v>
      </c>
      <c r="J22" s="55" t="s">
        <v>292</v>
      </c>
    </row>
    <row r="23">
      <c r="A23" s="34"/>
      <c r="B23" s="34"/>
      <c r="C23" s="69" t="s">
        <v>293</v>
      </c>
      <c r="D23" s="12"/>
      <c r="E23" s="34"/>
      <c r="F23" s="34"/>
      <c r="G23" s="34"/>
      <c r="H23" s="12"/>
      <c r="I23" s="34"/>
      <c r="J23" s="34"/>
    </row>
    <row r="24">
      <c r="A24" s="37"/>
      <c r="B24" s="37"/>
      <c r="C24" s="58" t="s">
        <v>294</v>
      </c>
      <c r="D24" s="12"/>
      <c r="E24" s="37"/>
      <c r="F24" s="37"/>
      <c r="G24" s="37"/>
      <c r="H24" s="12"/>
      <c r="I24" s="37"/>
      <c r="J24" s="37"/>
    </row>
    <row r="25" ht="39.0" customHeight="1">
      <c r="A25" s="43" t="s">
        <v>295</v>
      </c>
      <c r="B25" s="82" t="s">
        <v>296</v>
      </c>
      <c r="C25" s="63" t="s">
        <v>297</v>
      </c>
      <c r="D25" s="12"/>
      <c r="E25" s="65">
        <f>IFERROR(__xludf.DUMMYFUNCTION("IMPORTRANGE(""https://docs.google.com/spreadsheets/d/1wUVtOyO-XNnsM2MyNUqaz7fUtRybTxAZb80EBpwMKGA/edit#gid=0"", Hidden!V9)"),0.58)</f>
        <v>0.58</v>
      </c>
      <c r="F25" s="65">
        <f>IFERROR(__xludf.DUMMYFUNCTION("""COMPUTED_VALUE"""),0.5895238095238095)</f>
        <v>0.5895238095</v>
      </c>
      <c r="G25" s="65">
        <f>IFERROR(__xludf.DUMMYFUNCTION("""COMPUTED_VALUE"""),0.6395238095238096)</f>
        <v>0.6395238095</v>
      </c>
      <c r="H25" s="12"/>
      <c r="I25" s="32" t="s">
        <v>295</v>
      </c>
      <c r="J25" s="55" t="s">
        <v>298</v>
      </c>
    </row>
    <row r="26" ht="39.0" customHeight="1">
      <c r="A26" s="34"/>
      <c r="B26" s="34"/>
      <c r="C26" s="66" t="s">
        <v>299</v>
      </c>
      <c r="D26" s="12"/>
      <c r="E26" s="34"/>
      <c r="F26" s="34"/>
      <c r="G26" s="34"/>
      <c r="H26" s="12"/>
      <c r="I26" s="34"/>
      <c r="J26" s="34"/>
    </row>
    <row r="27">
      <c r="A27" s="37"/>
      <c r="B27" s="37"/>
      <c r="C27" s="63" t="s">
        <v>300</v>
      </c>
      <c r="D27" s="12"/>
      <c r="E27" s="37"/>
      <c r="F27" s="37"/>
      <c r="G27" s="37"/>
      <c r="H27" s="12"/>
      <c r="I27" s="37"/>
      <c r="J27" s="84"/>
    </row>
    <row r="28">
      <c r="A28" s="43" t="s">
        <v>301</v>
      </c>
      <c r="B28" s="81" t="s">
        <v>302</v>
      </c>
      <c r="C28" s="58" t="s">
        <v>303</v>
      </c>
      <c r="D28" s="12"/>
      <c r="E28" s="65">
        <f>IFERROR(__xludf.DUMMYFUNCTION("IMPORTRANGE(""https://docs.google.com/spreadsheets/d/1wUVtOyO-XNnsM2MyNUqaz7fUtRybTxAZb80EBpwMKGA/edit#gid=0"", Hidden!V10)"),0.626190476190476)</f>
        <v>0.6261904762</v>
      </c>
      <c r="F28" s="65">
        <f>IFERROR(__xludf.DUMMYFUNCTION("""COMPUTED_VALUE"""),0.6257142857142858)</f>
        <v>0.6257142857</v>
      </c>
      <c r="G28" s="65">
        <f>IFERROR(__xludf.DUMMYFUNCTION("""COMPUTED_VALUE"""),0.5414285714285713)</f>
        <v>0.5414285714</v>
      </c>
      <c r="H28" s="12"/>
      <c r="I28" s="32" t="s">
        <v>301</v>
      </c>
      <c r="J28" s="55" t="s">
        <v>304</v>
      </c>
    </row>
    <row r="29">
      <c r="A29" s="37"/>
      <c r="B29" s="34"/>
      <c r="C29" s="69" t="s">
        <v>305</v>
      </c>
      <c r="D29" s="12"/>
      <c r="E29" s="34"/>
      <c r="F29" s="34"/>
      <c r="G29" s="34"/>
      <c r="H29" s="12"/>
      <c r="I29" s="34"/>
      <c r="J29" s="85"/>
    </row>
    <row r="30">
      <c r="A30" s="49" t="s">
        <v>306</v>
      </c>
      <c r="B30" s="37"/>
      <c r="C30" s="58" t="s">
        <v>307</v>
      </c>
      <c r="D30" s="12"/>
      <c r="E30" s="37"/>
      <c r="F30" s="37"/>
      <c r="G30" s="37"/>
      <c r="H30" s="12"/>
      <c r="I30" s="79" t="s">
        <v>306</v>
      </c>
      <c r="J30" s="80" t="s">
        <v>308</v>
      </c>
    </row>
  </sheetData>
  <mergeCells count="62">
    <mergeCell ref="E12:E13"/>
    <mergeCell ref="F12:F13"/>
    <mergeCell ref="E14:E15"/>
    <mergeCell ref="F14:F15"/>
    <mergeCell ref="E16:E18"/>
    <mergeCell ref="F16:F18"/>
    <mergeCell ref="G16:G18"/>
    <mergeCell ref="F19:F21"/>
    <mergeCell ref="G19:G21"/>
    <mergeCell ref="I22:I24"/>
    <mergeCell ref="I25:I27"/>
    <mergeCell ref="I8:I11"/>
    <mergeCell ref="I12:I15"/>
    <mergeCell ref="I16:I17"/>
    <mergeCell ref="J16:J17"/>
    <mergeCell ref="I19:I21"/>
    <mergeCell ref="J19:J20"/>
    <mergeCell ref="J22:J24"/>
    <mergeCell ref="J25:J26"/>
    <mergeCell ref="E28:E30"/>
    <mergeCell ref="F28:F30"/>
    <mergeCell ref="G28:G30"/>
    <mergeCell ref="E19:E21"/>
    <mergeCell ref="E22:E24"/>
    <mergeCell ref="F22:F24"/>
    <mergeCell ref="G22:G24"/>
    <mergeCell ref="E25:E27"/>
    <mergeCell ref="F25:F27"/>
    <mergeCell ref="G25:G27"/>
    <mergeCell ref="G4:G7"/>
    <mergeCell ref="I4:I7"/>
    <mergeCell ref="J4:J7"/>
    <mergeCell ref="A1:B1"/>
    <mergeCell ref="C1:D1"/>
    <mergeCell ref="E1:H1"/>
    <mergeCell ref="A4:A7"/>
    <mergeCell ref="B4:B7"/>
    <mergeCell ref="E4:E7"/>
    <mergeCell ref="F4:F7"/>
    <mergeCell ref="B8:B11"/>
    <mergeCell ref="B12:B13"/>
    <mergeCell ref="A8:A11"/>
    <mergeCell ref="E8:E11"/>
    <mergeCell ref="F8:F11"/>
    <mergeCell ref="G8:G11"/>
    <mergeCell ref="J8:J11"/>
    <mergeCell ref="G12:G13"/>
    <mergeCell ref="J12:J15"/>
    <mergeCell ref="G14:G15"/>
    <mergeCell ref="A22:A24"/>
    <mergeCell ref="A25:A27"/>
    <mergeCell ref="A28:A29"/>
    <mergeCell ref="B25:B27"/>
    <mergeCell ref="B28:B30"/>
    <mergeCell ref="I28:I29"/>
    <mergeCell ref="A12:A15"/>
    <mergeCell ref="B14:B15"/>
    <mergeCell ref="A16:A17"/>
    <mergeCell ref="B16:B18"/>
    <mergeCell ref="A19:A21"/>
    <mergeCell ref="B19:B21"/>
    <mergeCell ref="B22:B24"/>
  </mergeCells>
  <conditionalFormatting sqref="C1:F1 I1 E4:G30">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8"/>
    <hyperlink r:id="rId5" ref="J8"/>
    <hyperlink r:id="rId6" ref="I12"/>
    <hyperlink r:id="rId7" ref="J12"/>
    <hyperlink r:id="rId8" ref="I16"/>
    <hyperlink r:id="rId9" ref="J16"/>
    <hyperlink r:id="rId10" ref="I18"/>
    <hyperlink r:id="rId11" ref="J18"/>
    <hyperlink r:id="rId12" ref="I19"/>
    <hyperlink r:id="rId13" ref="J19"/>
    <hyperlink r:id="rId14" ref="I22"/>
    <hyperlink r:id="rId15" ref="J22"/>
    <hyperlink r:id="rId16" ref="I25"/>
    <hyperlink r:id="rId17" ref="J25"/>
    <hyperlink r:id="rId18" ref="I28"/>
    <hyperlink r:id="rId19" ref="J28"/>
    <hyperlink r:id="rId20" ref="I30"/>
    <hyperlink r:id="rId21" ref="J30"/>
  </hyperlinks>
  <drawing r:id="rId22"/>
  <legacy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88"/>
    <col customWidth="1" min="4" max="4" width="2.0"/>
    <col customWidth="1" min="5" max="7" width="8.75"/>
    <col customWidth="1" min="8" max="8" width="2.38"/>
  </cols>
  <sheetData>
    <row r="1">
      <c r="A1" s="18" t="s">
        <v>309</v>
      </c>
      <c r="B1" s="3"/>
      <c r="C1" s="19">
        <f>if(countif(E4:G17,"=0")=counta(E4:G17),0,averageif(E4:G17,"&gt;0"))</f>
        <v>0.5920861678</v>
      </c>
      <c r="D1" s="3"/>
      <c r="E1" s="18" t="s">
        <v>20</v>
      </c>
      <c r="F1" s="20"/>
      <c r="G1" s="20"/>
      <c r="H1" s="20"/>
      <c r="I1" s="70">
        <f>'Course Totals'!C12</f>
        <v>0.593298723</v>
      </c>
      <c r="J1" s="56"/>
    </row>
    <row r="2" ht="11.25" customHeight="1">
      <c r="A2" s="23"/>
      <c r="B2" s="23"/>
      <c r="C2" s="23"/>
      <c r="D2" s="12"/>
      <c r="E2" s="23"/>
      <c r="F2" s="23"/>
      <c r="G2" s="23"/>
      <c r="H2" s="12"/>
      <c r="I2" s="23"/>
      <c r="J2" s="23"/>
    </row>
    <row r="3" ht="33.75" customHeight="1">
      <c r="A3" s="24" t="s">
        <v>21</v>
      </c>
      <c r="B3" s="24" t="s">
        <v>22</v>
      </c>
      <c r="C3" s="24" t="s">
        <v>23</v>
      </c>
      <c r="D3" s="25"/>
      <c r="E3" s="24" t="s">
        <v>166</v>
      </c>
      <c r="F3" s="24" t="s">
        <v>25</v>
      </c>
      <c r="G3" s="24" t="s">
        <v>26</v>
      </c>
      <c r="H3" s="26"/>
      <c r="I3" s="75" t="s">
        <v>27</v>
      </c>
      <c r="J3" s="75" t="s">
        <v>28</v>
      </c>
    </row>
    <row r="4">
      <c r="A4" s="49" t="s">
        <v>310</v>
      </c>
      <c r="B4" s="29" t="s">
        <v>311</v>
      </c>
      <c r="C4" s="29" t="s">
        <v>312</v>
      </c>
      <c r="D4" s="30"/>
      <c r="E4" s="61">
        <f>IFERROR(__xludf.DUMMYFUNCTION("IMPORTRANGE(""https://docs.google.com/spreadsheets/d/1wUVtOyO-XNnsM2MyNUqaz7fUtRybTxAZb80EBpwMKGA/edit#gid=0"", Hidden!Y2)"),0.5919047619047619)</f>
        <v>0.5919047619</v>
      </c>
      <c r="F4" s="61">
        <f>IFERROR(__xludf.DUMMYFUNCTION("""COMPUTED_VALUE"""),0.6457142857142857)</f>
        <v>0.6457142857</v>
      </c>
      <c r="G4" s="61">
        <f>IFERROR(__xludf.DUMMYFUNCTION("""COMPUTED_VALUE"""),0.6157142857142857)</f>
        <v>0.6157142857</v>
      </c>
      <c r="H4" s="30"/>
      <c r="I4" s="51" t="s">
        <v>310</v>
      </c>
      <c r="J4" s="51" t="s">
        <v>313</v>
      </c>
    </row>
    <row r="5">
      <c r="A5" s="43" t="s">
        <v>314</v>
      </c>
      <c r="B5" s="44" t="s">
        <v>315</v>
      </c>
      <c r="C5" s="39" t="s">
        <v>316</v>
      </c>
      <c r="D5" s="30"/>
      <c r="E5" s="65">
        <f>IFERROR(__xludf.DUMMYFUNCTION("IMPORTRANGE(""https://docs.google.com/spreadsheets/d/1wUVtOyO-XNnsM2MyNUqaz7fUtRybTxAZb80EBpwMKGA/edit#gid=0"", Hidden!Y3)"),0.5585714285714284)</f>
        <v>0.5585714286</v>
      </c>
      <c r="F5" s="65">
        <f>IFERROR(__xludf.DUMMYFUNCTION("""COMPUTED_VALUE"""),0.6223809523809526)</f>
        <v>0.6223809524</v>
      </c>
      <c r="G5" s="65">
        <f>IFERROR(__xludf.DUMMYFUNCTION("""COMPUTED_VALUE"""),0.6128571428571428)</f>
        <v>0.6128571429</v>
      </c>
      <c r="H5" s="30"/>
      <c r="I5" s="32" t="s">
        <v>314</v>
      </c>
      <c r="J5" s="55" t="s">
        <v>317</v>
      </c>
    </row>
    <row r="6">
      <c r="A6" s="37"/>
      <c r="B6" s="37"/>
      <c r="C6" s="46" t="s">
        <v>318</v>
      </c>
      <c r="D6" s="30"/>
      <c r="E6" s="37"/>
      <c r="F6" s="37"/>
      <c r="G6" s="37"/>
      <c r="H6" s="30"/>
      <c r="I6" s="37"/>
      <c r="J6" s="37"/>
    </row>
    <row r="7">
      <c r="A7" s="43" t="s">
        <v>319</v>
      </c>
      <c r="B7" s="28" t="s">
        <v>320</v>
      </c>
      <c r="C7" s="29" t="s">
        <v>321</v>
      </c>
      <c r="D7" s="30"/>
      <c r="E7" s="65">
        <f>IFERROR(__xludf.DUMMYFUNCTION("IMPORTRANGE(""https://docs.google.com/spreadsheets/d/1wUVtOyO-XNnsM2MyNUqaz7fUtRybTxAZb80EBpwMKGA/edit#gid=0"", Hidden!Y4)"),0.5652380952380952)</f>
        <v>0.5652380952</v>
      </c>
      <c r="F7" s="65">
        <f>IFERROR(__xludf.DUMMYFUNCTION("""COMPUTED_VALUE"""),0.6223809523809526)</f>
        <v>0.6223809524</v>
      </c>
      <c r="G7" s="65">
        <f>IFERROR(__xludf.DUMMYFUNCTION("""COMPUTED_VALUE"""),0.5385714285714285)</f>
        <v>0.5385714286</v>
      </c>
      <c r="H7" s="30"/>
      <c r="I7" s="32" t="s">
        <v>319</v>
      </c>
      <c r="J7" s="32" t="s">
        <v>322</v>
      </c>
    </row>
    <row r="8">
      <c r="A8" s="37"/>
      <c r="B8" s="34"/>
      <c r="C8" s="35" t="s">
        <v>323</v>
      </c>
      <c r="D8" s="30"/>
      <c r="E8" s="34"/>
      <c r="F8" s="34"/>
      <c r="G8" s="34"/>
      <c r="H8" s="30"/>
      <c r="I8" s="34"/>
      <c r="J8" s="86" t="s">
        <v>324</v>
      </c>
    </row>
    <row r="9">
      <c r="A9" s="49" t="s">
        <v>325</v>
      </c>
      <c r="B9" s="37"/>
      <c r="C9" s="29" t="s">
        <v>326</v>
      </c>
      <c r="D9" s="30"/>
      <c r="E9" s="37"/>
      <c r="F9" s="37"/>
      <c r="G9" s="37"/>
      <c r="H9" s="30"/>
      <c r="I9" s="77" t="s">
        <v>325</v>
      </c>
      <c r="J9" s="34"/>
    </row>
    <row r="10">
      <c r="A10" s="43" t="s">
        <v>327</v>
      </c>
      <c r="B10" s="44" t="s">
        <v>328</v>
      </c>
      <c r="C10" s="39" t="s">
        <v>329</v>
      </c>
      <c r="D10" s="30"/>
      <c r="E10" s="65">
        <f>IFERROR(__xludf.DUMMYFUNCTION("IMPORTRANGE(""https://docs.google.com/spreadsheets/d/1wUVtOyO-XNnsM2MyNUqaz7fUtRybTxAZb80EBpwMKGA/edit#gid=0"", Hidden!Y5)"),0.5495238095238094)</f>
        <v>0.5495238095</v>
      </c>
      <c r="F10" s="65">
        <f>IFERROR(__xludf.DUMMYFUNCTION("""COMPUTED_VALUE"""),0.5685714285714285)</f>
        <v>0.5685714286</v>
      </c>
      <c r="G10" s="65">
        <f>IFERROR(__xludf.DUMMYFUNCTION("""COMPUTED_VALUE"""),0.6147619047619048)</f>
        <v>0.6147619048</v>
      </c>
      <c r="H10" s="30"/>
      <c r="I10" s="32" t="s">
        <v>327</v>
      </c>
      <c r="J10" s="55" t="s">
        <v>330</v>
      </c>
    </row>
    <row r="11">
      <c r="A11" s="37"/>
      <c r="B11" s="37"/>
      <c r="C11" s="46" t="s">
        <v>331</v>
      </c>
      <c r="D11" s="30"/>
      <c r="E11" s="37"/>
      <c r="F11" s="37"/>
      <c r="G11" s="37"/>
      <c r="H11" s="30"/>
      <c r="I11" s="37"/>
      <c r="J11" s="37"/>
    </row>
    <row r="12">
      <c r="A12" s="43" t="s">
        <v>332</v>
      </c>
      <c r="B12" s="28" t="s">
        <v>333</v>
      </c>
      <c r="C12" s="29" t="s">
        <v>334</v>
      </c>
      <c r="D12" s="30"/>
      <c r="E12" s="65">
        <f>IFERROR(__xludf.DUMMYFUNCTION("IMPORTRANGE(""https://docs.google.com/spreadsheets/d/1wUVtOyO-XNnsM2MyNUqaz7fUtRybTxAZb80EBpwMKGA/edit#gid=0"", Hidden!Y6)"),0.6176190476190475)</f>
        <v>0.6176190476</v>
      </c>
      <c r="F12" s="65">
        <f>IFERROR(__xludf.DUMMYFUNCTION("""COMPUTED_VALUE"""),0.5723809523809523)</f>
        <v>0.5723809524</v>
      </c>
      <c r="G12" s="65">
        <f>IFERROR(__xludf.DUMMYFUNCTION("""COMPUTED_VALUE"""),0.6442857142857144)</f>
        <v>0.6442857143</v>
      </c>
      <c r="H12" s="30"/>
      <c r="I12" s="32" t="s">
        <v>332</v>
      </c>
      <c r="J12" s="55" t="s">
        <v>335</v>
      </c>
    </row>
    <row r="13">
      <c r="A13" s="34"/>
      <c r="B13" s="34"/>
      <c r="C13" s="35" t="s">
        <v>336</v>
      </c>
      <c r="D13" s="30"/>
      <c r="E13" s="34"/>
      <c r="F13" s="34"/>
      <c r="G13" s="34"/>
      <c r="H13" s="30"/>
      <c r="I13" s="34"/>
      <c r="J13" s="34"/>
    </row>
    <row r="14">
      <c r="A14" s="37"/>
      <c r="B14" s="37"/>
      <c r="C14" s="29" t="s">
        <v>337</v>
      </c>
      <c r="D14" s="30"/>
      <c r="E14" s="37"/>
      <c r="F14" s="37"/>
      <c r="G14" s="37"/>
      <c r="H14" s="30"/>
      <c r="I14" s="37"/>
      <c r="J14" s="37"/>
    </row>
    <row r="15">
      <c r="A15" s="43" t="s">
        <v>338</v>
      </c>
      <c r="B15" s="44" t="s">
        <v>339</v>
      </c>
      <c r="C15" s="39" t="s">
        <v>340</v>
      </c>
      <c r="D15" s="30"/>
      <c r="E15" s="65">
        <f>IFERROR(__xludf.DUMMYFUNCTION("IMPORTRANGE(""https://docs.google.com/spreadsheets/d/1wUVtOyO-XNnsM2MyNUqaz7fUtRybTxAZb80EBpwMKGA/edit#gid=0"", Hidden!Y7)"),0.5714285714285714)</f>
        <v>0.5714285714</v>
      </c>
      <c r="F15" s="65">
        <f>IFERROR(__xludf.DUMMYFUNCTION("""COMPUTED_VALUE"""),0.6466666666666665)</f>
        <v>0.6466666667</v>
      </c>
      <c r="G15" s="65">
        <f>IFERROR(__xludf.DUMMYFUNCTION("""COMPUTED_VALUE"""),0.579047619047619)</f>
        <v>0.579047619</v>
      </c>
      <c r="H15" s="30"/>
      <c r="I15" s="32" t="s">
        <v>338</v>
      </c>
      <c r="J15" s="55" t="s">
        <v>341</v>
      </c>
    </row>
    <row r="16">
      <c r="A16" s="34"/>
      <c r="B16" s="37"/>
      <c r="C16" s="46" t="s">
        <v>342</v>
      </c>
      <c r="D16" s="30"/>
      <c r="E16" s="37"/>
      <c r="F16" s="37"/>
      <c r="G16" s="37"/>
      <c r="H16" s="30"/>
      <c r="I16" s="34"/>
      <c r="J16" s="34"/>
    </row>
    <row r="17">
      <c r="A17" s="37"/>
      <c r="B17" s="29" t="s">
        <v>343</v>
      </c>
      <c r="C17" s="29" t="s">
        <v>344</v>
      </c>
      <c r="D17" s="30"/>
      <c r="E17" s="61">
        <f>IFERROR(__xludf.DUMMYFUNCTION("IMPORTRANGE(""https://docs.google.com/spreadsheets/d/1wUVtOyO-XNnsM2MyNUqaz7fUtRybTxAZb80EBpwMKGA/edit#gid=0"", Hidden!Y8)"),0.5747619047619048)</f>
        <v>0.5747619048</v>
      </c>
      <c r="F17" s="61">
        <f>IFERROR(__xludf.DUMMYFUNCTION("""COMPUTED_VALUE"""),0.5428571428571429)</f>
        <v>0.5428571429</v>
      </c>
      <c r="G17" s="61">
        <f>IFERROR(__xludf.DUMMYFUNCTION("""COMPUTED_VALUE"""),0.5785714285714285)</f>
        <v>0.5785714286</v>
      </c>
      <c r="H17" s="30"/>
      <c r="I17" s="37"/>
      <c r="J17" s="37"/>
    </row>
  </sheetData>
  <mergeCells count="38">
    <mergeCell ref="G5:G6"/>
    <mergeCell ref="I5:I6"/>
    <mergeCell ref="J5:J6"/>
    <mergeCell ref="B5:B6"/>
    <mergeCell ref="B7:B9"/>
    <mergeCell ref="A10:A11"/>
    <mergeCell ref="B10:B11"/>
    <mergeCell ref="A12:A14"/>
    <mergeCell ref="B12:B14"/>
    <mergeCell ref="A15:A17"/>
    <mergeCell ref="B15:B16"/>
    <mergeCell ref="A1:B1"/>
    <mergeCell ref="C1:D1"/>
    <mergeCell ref="E1:H1"/>
    <mergeCell ref="A5:A6"/>
    <mergeCell ref="E5:E6"/>
    <mergeCell ref="F5:F6"/>
    <mergeCell ref="A7:A8"/>
    <mergeCell ref="I7:I8"/>
    <mergeCell ref="I10:I11"/>
    <mergeCell ref="I12:I14"/>
    <mergeCell ref="J12:J14"/>
    <mergeCell ref="I15:I17"/>
    <mergeCell ref="J15:J17"/>
    <mergeCell ref="E10:E11"/>
    <mergeCell ref="E12:E14"/>
    <mergeCell ref="F12:F14"/>
    <mergeCell ref="G12:G14"/>
    <mergeCell ref="E15:E16"/>
    <mergeCell ref="F15:F16"/>
    <mergeCell ref="G15:G16"/>
    <mergeCell ref="E7:E9"/>
    <mergeCell ref="F7:F9"/>
    <mergeCell ref="G7:G9"/>
    <mergeCell ref="J8:J9"/>
    <mergeCell ref="F10:F11"/>
    <mergeCell ref="G10:G11"/>
    <mergeCell ref="J10:J11"/>
  </mergeCells>
  <conditionalFormatting sqref="C1:F1 I1 E4:G17">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7"/>
    <hyperlink r:id="rId7" ref="J7"/>
    <hyperlink r:id="rId8" ref="J8"/>
    <hyperlink r:id="rId9" ref="I9"/>
    <hyperlink r:id="rId10" ref="I10"/>
    <hyperlink r:id="rId11" ref="J10"/>
    <hyperlink r:id="rId12" ref="I12"/>
    <hyperlink r:id="rId13" ref="J12"/>
    <hyperlink r:id="rId14" ref="I15"/>
    <hyperlink r:id="rId15" ref="J15"/>
  </hyperlinks>
  <drawing r:id="rId16"/>
  <legacy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2" width="17.88"/>
    <col customWidth="1" min="4" max="4" width="2.0"/>
    <col customWidth="1" min="5" max="7" width="8.75"/>
    <col customWidth="1" min="8" max="8" width="2.38"/>
  </cols>
  <sheetData>
    <row r="1">
      <c r="A1" s="18" t="s">
        <v>345</v>
      </c>
      <c r="B1" s="3"/>
      <c r="C1" s="19">
        <f>if(countif(E4:G18,"=0")=counta(E4:G18),0,averageif(E4:G18,"&gt;0"))</f>
        <v>0.5832369615</v>
      </c>
      <c r="D1" s="3"/>
      <c r="E1" s="18" t="s">
        <v>20</v>
      </c>
      <c r="F1" s="20"/>
      <c r="G1" s="20"/>
      <c r="H1" s="20"/>
      <c r="I1" s="70">
        <f>'Course Totals'!C13</f>
        <v>0.5814818594</v>
      </c>
      <c r="J1" s="56"/>
    </row>
    <row r="2" ht="11.25" customHeight="1">
      <c r="A2" s="23"/>
      <c r="B2" s="23"/>
      <c r="C2" s="23"/>
      <c r="D2" s="12"/>
      <c r="E2" s="23"/>
      <c r="F2" s="23"/>
      <c r="G2" s="23"/>
      <c r="H2" s="12"/>
      <c r="I2" s="23"/>
      <c r="J2" s="23"/>
    </row>
    <row r="3" ht="33.75" customHeight="1">
      <c r="A3" s="24" t="s">
        <v>21</v>
      </c>
      <c r="B3" s="24" t="s">
        <v>22</v>
      </c>
      <c r="C3" s="24" t="s">
        <v>23</v>
      </c>
      <c r="D3" s="25"/>
      <c r="E3" s="24" t="s">
        <v>166</v>
      </c>
      <c r="F3" s="24" t="s">
        <v>25</v>
      </c>
      <c r="G3" s="24" t="s">
        <v>26</v>
      </c>
      <c r="H3" s="26"/>
      <c r="I3" s="75" t="s">
        <v>27</v>
      </c>
      <c r="J3" s="75" t="s">
        <v>28</v>
      </c>
    </row>
    <row r="4">
      <c r="A4" s="49" t="s">
        <v>346</v>
      </c>
      <c r="B4" s="29" t="s">
        <v>347</v>
      </c>
      <c r="C4" s="29" t="s">
        <v>348</v>
      </c>
      <c r="D4" s="30"/>
      <c r="E4" s="61">
        <f>IFERROR(__xludf.DUMMYFUNCTION("IMPORTRANGE(""https://docs.google.com/spreadsheets/d/1wUVtOyO-XNnsM2MyNUqaz7fUtRybTxAZb80EBpwMKGA/edit#gid=0"", Hidden!AB2)"),0.5576190476190475)</f>
        <v>0.5576190476</v>
      </c>
      <c r="F4" s="61">
        <f>IFERROR(__xludf.DUMMYFUNCTION("""COMPUTED_VALUE"""),0.5747619047619048)</f>
        <v>0.5747619048</v>
      </c>
      <c r="G4" s="61">
        <f>IFERROR(__xludf.DUMMYFUNCTION("""COMPUTED_VALUE"""),0.5735000000000001)</f>
        <v>0.5735</v>
      </c>
      <c r="H4" s="30"/>
      <c r="I4" s="51" t="s">
        <v>346</v>
      </c>
      <c r="J4" s="87" t="s">
        <v>349</v>
      </c>
    </row>
    <row r="5">
      <c r="A5" s="49" t="s">
        <v>350</v>
      </c>
      <c r="B5" s="39" t="s">
        <v>351</v>
      </c>
      <c r="C5" s="39" t="s">
        <v>352</v>
      </c>
      <c r="D5" s="30"/>
      <c r="E5" s="61">
        <f>IFERROR(__xludf.DUMMYFUNCTION("IMPORTRANGE(""https://docs.google.com/spreadsheets/d/1wUVtOyO-XNnsM2MyNUqaz7fUtRybTxAZb80EBpwMKGA/edit#gid=0"", Hidden!AB3)"),0.6176190476190476)</f>
        <v>0.6176190476</v>
      </c>
      <c r="F5" s="61">
        <f>IFERROR(__xludf.DUMMYFUNCTION("""COMPUTED_VALUE"""),0.599047619047619)</f>
        <v>0.599047619</v>
      </c>
      <c r="G5" s="61">
        <f>IFERROR(__xludf.DUMMYFUNCTION("""COMPUTED_VALUE"""),0.5761904761904763)</f>
        <v>0.5761904762</v>
      </c>
      <c r="H5" s="30"/>
      <c r="I5" s="51" t="s">
        <v>350</v>
      </c>
      <c r="J5" s="87" t="s">
        <v>176</v>
      </c>
    </row>
    <row r="6">
      <c r="A6" s="43" t="s">
        <v>353</v>
      </c>
      <c r="B6" s="28" t="s">
        <v>354</v>
      </c>
      <c r="C6" s="29" t="s">
        <v>355</v>
      </c>
      <c r="D6" s="30"/>
      <c r="E6" s="65">
        <f>IFERROR(__xludf.DUMMYFUNCTION("IMPORTRANGE(""https://docs.google.com/spreadsheets/d/1wUVtOyO-XNnsM2MyNUqaz7fUtRybTxAZb80EBpwMKGA/edit#gid=0"", Hidden!AB4)"),0.5228571428571428)</f>
        <v>0.5228571429</v>
      </c>
      <c r="F6" s="65">
        <f>IFERROR(__xludf.DUMMYFUNCTION("""COMPUTED_VALUE"""),0.5971428571428571)</f>
        <v>0.5971428571</v>
      </c>
      <c r="G6" s="65">
        <f>IFERROR(__xludf.DUMMYFUNCTION("""COMPUTED_VALUE"""),0.6014285714285716)</f>
        <v>0.6014285714</v>
      </c>
      <c r="H6" s="30"/>
      <c r="I6" s="32" t="s">
        <v>353</v>
      </c>
      <c r="J6" s="88" t="s">
        <v>356</v>
      </c>
    </row>
    <row r="7">
      <c r="A7" s="34"/>
      <c r="B7" s="37"/>
      <c r="C7" s="35" t="s">
        <v>357</v>
      </c>
      <c r="D7" s="30"/>
      <c r="E7" s="37"/>
      <c r="F7" s="37"/>
      <c r="G7" s="37"/>
      <c r="H7" s="30"/>
      <c r="I7" s="34"/>
      <c r="J7" s="34"/>
    </row>
    <row r="8">
      <c r="A8" s="37"/>
      <c r="B8" s="39" t="s">
        <v>358</v>
      </c>
      <c r="C8" s="39" t="s">
        <v>359</v>
      </c>
      <c r="D8" s="30"/>
      <c r="E8" s="61">
        <f>IFERROR(__xludf.DUMMYFUNCTION("IMPORTRANGE(""https://docs.google.com/spreadsheets/d/1wUVtOyO-XNnsM2MyNUqaz7fUtRybTxAZb80EBpwMKGA/edit#gid=0"", Hidden!AB5)"),0.5747619047619047)</f>
        <v>0.5747619048</v>
      </c>
      <c r="F8" s="61">
        <f>IFERROR(__xludf.DUMMYFUNCTION("""COMPUTED_VALUE"""),0.5740000000000001)</f>
        <v>0.574</v>
      </c>
      <c r="G8" s="61">
        <f>IFERROR(__xludf.DUMMYFUNCTION("""COMPUTED_VALUE"""),0.5747619047619048)</f>
        <v>0.5747619048</v>
      </c>
      <c r="H8" s="30"/>
      <c r="I8" s="37"/>
      <c r="J8" s="37"/>
    </row>
    <row r="9">
      <c r="A9" s="49" t="s">
        <v>360</v>
      </c>
      <c r="B9" s="28" t="s">
        <v>361</v>
      </c>
      <c r="C9" s="29" t="s">
        <v>362</v>
      </c>
      <c r="D9" s="30"/>
      <c r="E9" s="65">
        <f>IFERROR(__xludf.DUMMYFUNCTION("IMPORTRANGE(""https://docs.google.com/spreadsheets/d/1wUVtOyO-XNnsM2MyNUqaz7fUtRybTxAZb80EBpwMKGA/edit#gid=0"", Hidden!AB6)"),0.6580952380952383)</f>
        <v>0.6580952381</v>
      </c>
      <c r="F9" s="65">
        <f>IFERROR(__xludf.DUMMYFUNCTION("""COMPUTED_VALUE"""),0.5680952380952382)</f>
        <v>0.5680952381</v>
      </c>
      <c r="G9" s="65">
        <f>IFERROR(__xludf.DUMMYFUNCTION("""COMPUTED_VALUE"""),0.6061904761904762)</f>
        <v>0.6061904762</v>
      </c>
      <c r="H9" s="30"/>
      <c r="I9" s="51" t="s">
        <v>360</v>
      </c>
      <c r="J9" s="89" t="s">
        <v>363</v>
      </c>
    </row>
    <row r="10">
      <c r="A10" s="49" t="s">
        <v>364</v>
      </c>
      <c r="B10" s="34"/>
      <c r="C10" s="35" t="s">
        <v>365</v>
      </c>
      <c r="D10" s="30"/>
      <c r="E10" s="34"/>
      <c r="F10" s="34"/>
      <c r="G10" s="34"/>
      <c r="H10" s="30"/>
      <c r="I10" s="51" t="s">
        <v>364</v>
      </c>
      <c r="J10" s="90" t="s">
        <v>366</v>
      </c>
    </row>
    <row r="11">
      <c r="A11" s="49" t="s">
        <v>367</v>
      </c>
      <c r="B11" s="37"/>
      <c r="C11" s="29" t="s">
        <v>368</v>
      </c>
      <c r="D11" s="30"/>
      <c r="E11" s="37"/>
      <c r="F11" s="37"/>
      <c r="G11" s="37"/>
      <c r="H11" s="30"/>
      <c r="I11" s="51" t="s">
        <v>367</v>
      </c>
      <c r="J11" s="91" t="s">
        <v>369</v>
      </c>
    </row>
    <row r="12">
      <c r="A12" s="49" t="s">
        <v>370</v>
      </c>
      <c r="B12" s="44" t="s">
        <v>371</v>
      </c>
      <c r="C12" s="39" t="s">
        <v>372</v>
      </c>
      <c r="D12" s="30"/>
      <c r="E12" s="65">
        <f>IFERROR(__xludf.DUMMYFUNCTION("IMPORTRANGE(""https://docs.google.com/spreadsheets/d/1wUVtOyO-XNnsM2MyNUqaz7fUtRybTxAZb80EBpwMKGA/edit#gid=0"", Hidden!AB7)"),0.5752380952380951)</f>
        <v>0.5752380952</v>
      </c>
      <c r="F12" s="65">
        <f>IFERROR(__xludf.DUMMYFUNCTION("""COMPUTED_VALUE"""),0.5633333333333334)</f>
        <v>0.5633333333</v>
      </c>
      <c r="G12" s="65">
        <f>IFERROR(__xludf.DUMMYFUNCTION("""COMPUTED_VALUE"""),0.5823809523809524)</f>
        <v>0.5823809524</v>
      </c>
      <c r="H12" s="30"/>
      <c r="I12" s="51" t="s">
        <v>370</v>
      </c>
      <c r="J12" s="89" t="s">
        <v>373</v>
      </c>
    </row>
    <row r="13">
      <c r="A13" s="43" t="s">
        <v>374</v>
      </c>
      <c r="B13" s="34"/>
      <c r="C13" s="46" t="s">
        <v>375</v>
      </c>
      <c r="D13" s="30"/>
      <c r="E13" s="34"/>
      <c r="F13" s="34"/>
      <c r="G13" s="34"/>
      <c r="H13" s="30"/>
      <c r="I13" s="32" t="s">
        <v>374</v>
      </c>
      <c r="J13" s="90" t="s">
        <v>376</v>
      </c>
    </row>
    <row r="14">
      <c r="A14" s="37"/>
      <c r="B14" s="37"/>
      <c r="C14" s="39" t="s">
        <v>377</v>
      </c>
      <c r="D14" s="30"/>
      <c r="E14" s="37"/>
      <c r="F14" s="37"/>
      <c r="G14" s="37"/>
      <c r="H14" s="30"/>
      <c r="I14" s="37"/>
      <c r="J14" s="84"/>
    </row>
    <row r="15">
      <c r="A15" s="49" t="s">
        <v>378</v>
      </c>
      <c r="B15" s="28" t="s">
        <v>379</v>
      </c>
      <c r="C15" s="29" t="s">
        <v>380</v>
      </c>
      <c r="D15" s="30"/>
      <c r="E15" s="65">
        <f>IFERROR(__xludf.DUMMYFUNCTION("IMPORTRANGE(""https://docs.google.com/spreadsheets/d/1wUVtOyO-XNnsM2MyNUqaz7fUtRybTxAZb80EBpwMKGA/edit#gid=0"", Hidden!AB8)"),0.5804761904761906)</f>
        <v>0.5804761905</v>
      </c>
      <c r="F15" s="65">
        <f>IFERROR(__xludf.DUMMYFUNCTION("""COMPUTED_VALUE"""),0.5476190476190477)</f>
        <v>0.5476190476</v>
      </c>
      <c r="G15" s="65">
        <f>IFERROR(__xludf.DUMMYFUNCTION("""COMPUTED_VALUE"""),0.6228571428571428)</f>
        <v>0.6228571429</v>
      </c>
      <c r="H15" s="30"/>
      <c r="I15" s="51" t="s">
        <v>378</v>
      </c>
      <c r="J15" s="89" t="s">
        <v>381</v>
      </c>
    </row>
    <row r="16">
      <c r="A16" s="49" t="s">
        <v>382</v>
      </c>
      <c r="B16" s="34"/>
      <c r="C16" s="35" t="s">
        <v>383</v>
      </c>
      <c r="D16" s="30"/>
      <c r="E16" s="34"/>
      <c r="F16" s="34"/>
      <c r="G16" s="34"/>
      <c r="H16" s="30"/>
      <c r="I16" s="51" t="s">
        <v>382</v>
      </c>
      <c r="J16" s="90" t="s">
        <v>384</v>
      </c>
    </row>
    <row r="17">
      <c r="A17" s="49" t="s">
        <v>385</v>
      </c>
      <c r="B17" s="34"/>
      <c r="C17" s="29" t="s">
        <v>386</v>
      </c>
      <c r="D17" s="30"/>
      <c r="E17" s="34"/>
      <c r="F17" s="34"/>
      <c r="G17" s="34"/>
      <c r="H17" s="30"/>
      <c r="I17" s="51" t="s">
        <v>385</v>
      </c>
      <c r="J17" s="90" t="s">
        <v>387</v>
      </c>
    </row>
    <row r="18">
      <c r="A18" s="49" t="s">
        <v>388</v>
      </c>
      <c r="B18" s="37"/>
      <c r="C18" s="35" t="s">
        <v>389</v>
      </c>
      <c r="D18" s="30"/>
      <c r="E18" s="37"/>
      <c r="F18" s="37"/>
      <c r="G18" s="37"/>
      <c r="H18" s="30"/>
      <c r="I18" s="51" t="s">
        <v>388</v>
      </c>
      <c r="J18" s="91" t="s">
        <v>390</v>
      </c>
    </row>
  </sheetData>
  <mergeCells count="24">
    <mergeCell ref="G6:G7"/>
    <mergeCell ref="I6:I8"/>
    <mergeCell ref="J6:J8"/>
    <mergeCell ref="E6:E7"/>
    <mergeCell ref="E9:E11"/>
    <mergeCell ref="F9:F11"/>
    <mergeCell ref="G9:G11"/>
    <mergeCell ref="A1:B1"/>
    <mergeCell ref="C1:D1"/>
    <mergeCell ref="E1:H1"/>
    <mergeCell ref="A6:A8"/>
    <mergeCell ref="B6:B7"/>
    <mergeCell ref="F6:F7"/>
    <mergeCell ref="B9:B11"/>
    <mergeCell ref="E15:E18"/>
    <mergeCell ref="F15:F18"/>
    <mergeCell ref="B12:B14"/>
    <mergeCell ref="E12:E14"/>
    <mergeCell ref="F12:F14"/>
    <mergeCell ref="G12:G14"/>
    <mergeCell ref="A13:A14"/>
    <mergeCell ref="I13:I14"/>
    <mergeCell ref="B15:B18"/>
    <mergeCell ref="G15:G18"/>
  </mergeCells>
  <conditionalFormatting sqref="C1:F1 I1 E4:G18">
    <cfRule type="colorScale" priority="1">
      <colorScale>
        <cfvo type="formula" val="0"/>
        <cfvo type="formula" val="0.7"/>
        <cfvo type="formula" val="1"/>
        <color rgb="FFFF0000"/>
        <color rgb="FFFFF2CC"/>
        <color rgb="FF34A853"/>
      </colorScale>
    </cfRule>
  </conditionalFormatting>
  <hyperlinks>
    <hyperlink r:id="rId2" ref="I4"/>
    <hyperlink r:id="rId3" ref="J4"/>
    <hyperlink r:id="rId4" ref="I5"/>
    <hyperlink r:id="rId5" ref="J5"/>
    <hyperlink r:id="rId6" ref="I6"/>
    <hyperlink r:id="rId7" ref="J6"/>
    <hyperlink r:id="rId8" ref="I9"/>
    <hyperlink r:id="rId9" ref="J9"/>
    <hyperlink r:id="rId10" ref="I10"/>
    <hyperlink r:id="rId11" ref="J10"/>
    <hyperlink r:id="rId12" ref="I11"/>
    <hyperlink r:id="rId13" ref="J11"/>
    <hyperlink r:id="rId14" ref="I12"/>
    <hyperlink r:id="rId15" ref="J12"/>
    <hyperlink r:id="rId16" ref="I13"/>
    <hyperlink r:id="rId17" ref="J13"/>
    <hyperlink r:id="rId18" ref="I15"/>
    <hyperlink r:id="rId19" ref="J15"/>
    <hyperlink r:id="rId20" ref="I16"/>
    <hyperlink r:id="rId21" ref="J16"/>
    <hyperlink r:id="rId22" ref="I17"/>
    <hyperlink r:id="rId23" ref="J17"/>
    <hyperlink r:id="rId24" ref="I18"/>
    <hyperlink r:id="rId25" ref="J18"/>
  </hyperlinks>
  <drawing r:id="rId26"/>
  <legacyDrawing r:id="rId27"/>
</worksheet>
</file>